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xr:revisionPtr revIDLastSave="0" documentId="13_ncr:1_{C932227D-6FA5-4817-843D-D31BE29E30C1}" xr6:coauthVersionLast="45" xr6:coauthVersionMax="45" xr10:uidLastSave="{00000000-0000-0000-0000-000000000000}"/>
  <bookViews>
    <workbookView xWindow="840" yWindow="930" windowWidth="27720" windowHeight="15510" tabRatio="789" activeTab="10" xr2:uid="{00000000-000D-0000-FFFF-FFFF00000000}"/>
  </bookViews>
  <sheets>
    <sheet name="Setup" sheetId="1" r:id="rId1"/>
    <sheet name="Gear" sheetId="2" r:id="rId2"/>
    <sheet name="Jump" sheetId="3" r:id="rId3"/>
    <sheet name="HJump" sheetId="4" r:id="rId4"/>
    <sheet name="Breath" sheetId="25" r:id="rId5"/>
    <sheet name="Data" sheetId="5" r:id="rId6"/>
    <sheet name="Breath Data" sheetId="26" r:id="rId7"/>
    <sheet name="Weaponskill" sheetId="18" r:id="rId8"/>
    <sheet name="Melee" sheetId="16" r:id="rId9"/>
    <sheet name="Augments" sheetId="21" r:id="rId10"/>
    <sheet name="Gear Lists" sheetId="11" r:id="rId11"/>
    <sheet name="Other Lists" sheetId="12" r:id="rId12"/>
    <sheet name="Stats" sheetId="13" r:id="rId13"/>
    <sheet name="notes" sheetId="19" r:id="rId14"/>
  </sheets>
  <definedNames>
    <definedName name="AM2Table">Data!$P$53:$R$61</definedName>
    <definedName name="Ammo">'Gear Lists'!$A$97:$AN$119</definedName>
    <definedName name="AmmoList">'Gear Lists'!$A$98:$A$119</definedName>
    <definedName name="AtmaHeader">'Other Lists'!$A$74:$R$74</definedName>
    <definedName name="AtmaList">'Other Lists'!$A$75:$R$94</definedName>
    <definedName name="Atmas">'Other Lists'!$A$75:$A$94</definedName>
    <definedName name="AugBack">Augments!$A$66:$BC$78</definedName>
    <definedName name="AugBackList">Augments!$A$67:$A$78</definedName>
    <definedName name="AugBody">Augments!$A$32:$BC$46</definedName>
    <definedName name="AugBodyList">Augments!$A$33:$A$46</definedName>
    <definedName name="AugFeet">Augments!$A$98:$BC$112</definedName>
    <definedName name="AugFeetList">Augments!$A$99:$A$112</definedName>
    <definedName name="AugHands">Augments!$A$49:$BC$63</definedName>
    <definedName name="AugHandsList">Augments!$A$50:$A$63</definedName>
    <definedName name="AugHead">Augments!$A$15:$BC$29</definedName>
    <definedName name="AugHeadList">Augments!$A$16:$A$29</definedName>
    <definedName name="AugLegs">Augments!$A$81:$BC$95</definedName>
    <definedName name="AugLegsList">Augments!$A$82:$A$95</definedName>
    <definedName name="AugStatHeader">Augments!$A$1:$BC$1</definedName>
    <definedName name="AugWeapon">Augments!$A$4:$BC$12</definedName>
    <definedName name="AugWeaponList">Augments!$A$5:$A$12</definedName>
    <definedName name="AvgHighHitsPerRound1">Melee!$E$278</definedName>
    <definedName name="AvgHighHitsPerRound2">Melee!$E$318</definedName>
    <definedName name="AvgHitsPerRound1">Melee!$E$38</definedName>
    <definedName name="AvgHitsPerRound2">Melee!$E$78</definedName>
    <definedName name="AvgJumpHitsPerRound1">Melee!$E$118</definedName>
    <definedName name="AvgJumpHitsPerRound2">Melee!$E$158</definedName>
    <definedName name="AvgRoundsSet1">Melee!$Q$12:$R$62</definedName>
    <definedName name="AvgRoundsSet2">Melee!$T$12:$U$62</definedName>
    <definedName name="AvgSoulHitsPerRound1">Melee!$E$358</definedName>
    <definedName name="AvgSoulHitsPerRound2">Melee!$E$398</definedName>
    <definedName name="AvgSpiritHitsPerRound1">Melee!$E$198</definedName>
    <definedName name="AvgSpiritHitsPerRound2">Melee!$E$238</definedName>
    <definedName name="Back">'Gear Lists'!$A$575:$AN$636</definedName>
    <definedName name="BackList">'Gear Lists'!$A$576:$A$636</definedName>
    <definedName name="BaseAugArmor">'Gear Lists'!$A$897:$AN$932</definedName>
    <definedName name="BaseAugArmorList">'Gear Lists'!$A$898:$A$932</definedName>
    <definedName name="BaseAugBackList">'Gear Lists'!$A$919:$A$920</definedName>
    <definedName name="BaseAugBodyList">'Gear Lists'!$A$906:$A$911</definedName>
    <definedName name="BaseAugFeetList">'Gear Lists'!$A$926:$A$932</definedName>
    <definedName name="BaseAugHandsList">'Gear Lists'!$A$912:$A$918</definedName>
    <definedName name="BaseAugHeadList">'Gear Lists'!$A$898:$A$905</definedName>
    <definedName name="BaseAugLegsList">'Gear Lists'!$A$921:$A$925</definedName>
    <definedName name="BaseAugWeapon">'Gear Lists'!$A$889:$AP$894</definedName>
    <definedName name="BaseAugWeaponList">'Gear Lists'!$A$890:$A$894</definedName>
    <definedName name="Body">'Gear Lists'!$A$334:$AN$429</definedName>
    <definedName name="BodyList">'Gear Lists'!$A$335:$A$429</definedName>
    <definedName name="Boosts">'Other Lists'!$A$166:$A$167</definedName>
    <definedName name="BRDsongs">'Other Lists'!$A$359:$C$364</definedName>
    <definedName name="BRDsongslist">'Other Lists'!$A$360:$A$364</definedName>
    <definedName name="BreathToWS">'Other Lists'!$A$286:$C$293</definedName>
    <definedName name="BreathToWSList">'Other Lists'!$A$287:$A$293</definedName>
    <definedName name="BST">'Other Lists'!$A$251:$A$257</definedName>
    <definedName name="Cheers">'Other Lists'!$A$179:$I$210</definedName>
    <definedName name="CheersHeader">'Other Lists'!$A$179:$I$179</definedName>
    <definedName name="CheersList">'Other Lists'!$A$180:$A$210</definedName>
    <definedName name="Circles">'Other Lists'!$A$238:$B$242</definedName>
    <definedName name="CirclesHeader">'Other Lists'!$A$238:$B$238</definedName>
    <definedName name="CirclesList">'Other Lists'!$A$239:$A$242</definedName>
    <definedName name="Cookie">'Other Lists'!$A$250:$A$257</definedName>
    <definedName name="CORChaosList">'Other Lists'!$A$312:$A$330</definedName>
    <definedName name="CORChaosNumbers">'Other Lists'!$A$335:$A$345</definedName>
    <definedName name="CORChaosRoll">'Other Lists'!$A$335:$B$345</definedName>
    <definedName name="CORFightersList">'Other Lists'!$C$312:$C$330</definedName>
    <definedName name="CORFightersNumbers">'Other Lists'!$E$335:$E$345</definedName>
    <definedName name="CORFightersRoll">'Other Lists'!$E$335:$F$345</definedName>
    <definedName name="CORHuntersList">'Other Lists'!$B$312:$B$330</definedName>
    <definedName name="CORHuntersNumbers">'Other Lists'!$C$335:$C$345</definedName>
    <definedName name="CORHuntersRoll">'Other Lists'!$C$335:$D$345</definedName>
    <definedName name="CORMisersList">'Other Lists'!$G$312:$G$320</definedName>
    <definedName name="CORMisersNumbers">'Other Lists'!$M$335:$M$345</definedName>
    <definedName name="CORMisersRoll">'Other Lists'!$M$335:$N$345</definedName>
    <definedName name="CORRoguesList">'Other Lists'!$D$312:$D$330</definedName>
    <definedName name="CORRoguesNumbers">'Other Lists'!$G$335:$G$345</definedName>
    <definedName name="CORRoguesRoll">'Other Lists'!$G$335:$H$345</definedName>
    <definedName name="CORRollStates">'Other Lists'!$A$302:$C$307</definedName>
    <definedName name="CORSamuraiList">'Other Lists'!$E$312:$E$330</definedName>
    <definedName name="CORSamuraiNumbers">'Other Lists'!$I$335:$I$345</definedName>
    <definedName name="CORSamuraiRoll">'Other Lists'!$I$335:$J$345</definedName>
    <definedName name="CORTacticiansList">'Other Lists'!$F$312:$F$328</definedName>
    <definedName name="CORTacticiansNumbers">'Other Lists'!$K$335:$K$345</definedName>
    <definedName name="CORTacticiansRoll">'Other Lists'!$K$335:$L$345</definedName>
    <definedName name="Earring">'Gear Lists'!$A$281:$AN$331</definedName>
    <definedName name="EarringList">'Gear Lists'!$A$282:$A$331</definedName>
    <definedName name="EmpyreanAM">'Other Lists'!$A$214:$A$217</definedName>
    <definedName name="Families">'Other Lists'!$A$245:$B$257</definedName>
    <definedName name="Feet">'Gear Lists'!$A$799:$AN$884</definedName>
    <definedName name="FeetList">'Gear Lists'!$A$800:$A$884</definedName>
    <definedName name="Food">'Other Lists'!$A$2:$N$48</definedName>
    <definedName name="FoodHeader">'Other Lists'!$A$2:$N$2</definedName>
    <definedName name="FoodList">'Other Lists'!$A$3:$A$48</definedName>
    <definedName name="Geomancy">'Other Lists'!$A$169:$C$176</definedName>
    <definedName name="GeomancyHeader">'Other Lists'!$A$169:$C$169</definedName>
    <definedName name="GeomancyList">'Other Lists'!$A$170:$A$176</definedName>
    <definedName name="GradeRates">Stats!$A$38:$J$45</definedName>
    <definedName name="Grades">Stats!$A$8:$I$35</definedName>
    <definedName name="Grip">'Gear Lists'!$A$64:$AN$94</definedName>
    <definedName name="GripList">'Gear Lists'!$A$65:$A$94</definedName>
    <definedName name="Hands">'Gear Lists'!$A$432:$AN$514</definedName>
    <definedName name="HandsList">'Gear Lists'!$A$433:$A$514</definedName>
    <definedName name="Hastes">'Other Lists'!$A$162:$A$163</definedName>
    <definedName name="Head">'Gear Lists'!$A$122:$AN$227</definedName>
    <definedName name="HeadList">'Gear Lists'!$A$123:$A$227</definedName>
    <definedName name="HealingBreath">'Other Lists'!$A$270:$C$274</definedName>
    <definedName name="HealingBreathList">'Other Lists'!$A$271:$A$274</definedName>
    <definedName name="HighJumpTypes">'Other Lists'!$A$138:$A$140</definedName>
    <definedName name="HighSet1">HJump!$A$2:$S$21</definedName>
    <definedName name="HighSet1Gear">HJump!$B$3:$B$17</definedName>
    <definedName name="HighSet2">HJump!$V$2:$AN$21</definedName>
    <definedName name="HighSet2Gear">HJump!$W$3:$W$17</definedName>
    <definedName name="Ionis">'Other Lists'!$A$154:$B$158</definedName>
    <definedName name="JumpSet1">Jump!$A$2:$S$21</definedName>
    <definedName name="JumpSet1Gear">Jump!$B$3:$B$17</definedName>
    <definedName name="JumpSet2">Jump!$V$2:$AN$21</definedName>
    <definedName name="JumpSet2Gear">Jump!$W$3:$W$17</definedName>
    <definedName name="JumpTypes">'Other Lists'!$A$133:$A$135</definedName>
    <definedName name="Legs">'Gear Lists'!$A$710:$AN$796</definedName>
    <definedName name="LegsList">'Gear Lists'!$A$711:$A$796</definedName>
    <definedName name="MobHeader">'Other Lists'!$A$97:$M$97</definedName>
    <definedName name="MobNames">'Other Lists'!$A$98:$A$115</definedName>
    <definedName name="Mobs">'Other Lists'!$A$98:$M$115</definedName>
    <definedName name="MythicAM">'Other Lists'!$A$220:$A$223</definedName>
    <definedName name="Neck">'Gear Lists'!$A$230:$AN$278</definedName>
    <definedName name="NeckList">'Gear Lists'!$A$231:$A$278</definedName>
    <definedName name="Override">'Other Lists'!$A$297:$A$299</definedName>
    <definedName name="PlayerStats">Stats!$A$2:$I$3</definedName>
    <definedName name="Races">'Other Lists'!$A$125:$A$129</definedName>
    <definedName name="RateTiers">Stats!$A$38:$J$38</definedName>
    <definedName name="Ring">'Gear Lists'!$A$517:$AN$572</definedName>
    <definedName name="RingList">'Gear Lists'!$A$518:$A$572</definedName>
    <definedName name="Set1AM3">Weaponskill!$E$6</definedName>
    <definedName name="Set1AM32">Weaponskill!$E$7</definedName>
    <definedName name="Set1AM33">Weaponskill!$E$8</definedName>
    <definedName name="Set1ConserveTP">Data!$D$176</definedName>
    <definedName name="Set1CRatio">Data!$D$103</definedName>
    <definedName name="Set1CritDmg">Data!$D$96</definedName>
    <definedName name="Set1CritMain">Data!$D$94</definedName>
    <definedName name="Set1CritOff">Data!$D$94</definedName>
    <definedName name="Set1DA">Data!$D$79</definedName>
    <definedName name="Set1Fotia">Data!$D$177</definedName>
    <definedName name="Set1FTP">Data!$D$174</definedName>
    <definedName name="Set1MainDmg">Data!$D$142</definedName>
    <definedName name="Set1MeleeTP">Data!$B$90</definedName>
    <definedName name="Set1MinTP">Setup!$F$55</definedName>
    <definedName name="Set1OffDmg">Data!$D$142</definedName>
    <definedName name="Set1OverTP">Setup!$F$53</definedName>
    <definedName name="Set1QA">Data!$D$81</definedName>
    <definedName name="Set1Regain">Data!$D$181</definedName>
    <definedName name="Set1SaveTP">Data!$G$16</definedName>
    <definedName name="Set1TA">Data!$D$80</definedName>
    <definedName name="Set1TPBonus">Data!$D$175</definedName>
    <definedName name="Set1WSAgi">Data!$D$37</definedName>
    <definedName name="Set1WSDex">Data!$D$36</definedName>
    <definedName name="Set1WSDmg">Data!$D$178</definedName>
    <definedName name="Set1WSHitRate">Data!$D$98</definedName>
    <definedName name="Set1WSStoreTP">Data!$D$89</definedName>
    <definedName name="Set1WSStr">Data!$D$35</definedName>
    <definedName name="Set1WSTP">Data!$D$90</definedName>
    <definedName name="Set1WSVit">Data!$D$38</definedName>
    <definedName name="Set2AM3">Weaponskill!$E$539</definedName>
    <definedName name="Set2AM32">Weaponskill!$E$540</definedName>
    <definedName name="Set2AM33">Weaponskill!$E$541</definedName>
    <definedName name="Set2ConserveTP">Data!$E$176</definedName>
    <definedName name="Set2CRatio">Data!$E$103</definedName>
    <definedName name="Set2CritDmg">Data!$E$96</definedName>
    <definedName name="Set2CritMain">Data!$E$94</definedName>
    <definedName name="Set2CritOff">Data!$E$94</definedName>
    <definedName name="Set2DA">Data!$E$79</definedName>
    <definedName name="Set2Fotia">Data!$E$177</definedName>
    <definedName name="Set2FTP">Data!$E$174</definedName>
    <definedName name="Set2MainDmg">Data!$E$142</definedName>
    <definedName name="Set2MeleeTP">Data!$C$90</definedName>
    <definedName name="Set2MinTP">Setup!$G$55</definedName>
    <definedName name="Set2OffDmg">Data!$E$142</definedName>
    <definedName name="Set2OverTP">Setup!$G$53</definedName>
    <definedName name="Set2QA">Data!$E$81</definedName>
    <definedName name="Set2Regain">Data!$E$181</definedName>
    <definedName name="Set2SaveTP">Data!$H$16</definedName>
    <definedName name="Set2TA">Data!$E$80</definedName>
    <definedName name="Set2TPBonus">Data!$E$175</definedName>
    <definedName name="Set2WSAgi">Data!$E$37</definedName>
    <definedName name="Set2WSDex">Data!$E$36</definedName>
    <definedName name="Set2WSDmg">Data!$E$178</definedName>
    <definedName name="Set2WSHitRate">Data!$E$98</definedName>
    <definedName name="Set2WSStoreTP">Data!$E$89</definedName>
    <definedName name="Set2WSStr">Data!$E$35</definedName>
    <definedName name="Set2WSTP">Data!$E$90</definedName>
    <definedName name="Set2WSVit">Data!$E$38</definedName>
    <definedName name="SetBonusLookup">'Other Lists'!$D$143:$W$150</definedName>
    <definedName name="Slots">Gear!$A$3:$A$21</definedName>
    <definedName name="SoulSet1">HJump!$A$26:$S$45</definedName>
    <definedName name="SoulSet1Gear">HJump!$B$27:$B$41</definedName>
    <definedName name="SoulSet2">HJump!$V$26:$AN$45</definedName>
    <definedName name="SoulSet2Gear">HJump!$W$27:$W$41</definedName>
    <definedName name="SpiritSet1">Jump!$A$26:$S$45</definedName>
    <definedName name="SpiritSet1Gear">Jump!$B$27:$B$41</definedName>
    <definedName name="SpiritSet2">Jump!$V$26:$AN$45</definedName>
    <definedName name="SpiritSet2Gear">Jump!$W$27:$W$41</definedName>
    <definedName name="StatHeader">'Gear Lists'!$A$1:$BA$1</definedName>
    <definedName name="Stats">Stats!$A$8:$I$8</definedName>
    <definedName name="Subjobs">'Other Lists'!$A$119:$A$122</definedName>
    <definedName name="Toggle">'Other Lists'!$A$68:$A$69</definedName>
    <definedName name="TPSet1">Gear!$A$2:$T$21</definedName>
    <definedName name="TPSet1Gear">Gear!$B$3:$B$17</definedName>
    <definedName name="TPSet2">Gear!$W$2:$AP$21</definedName>
    <definedName name="TPSet2Gear">Gear!$X$3:$X$17</definedName>
    <definedName name="Waist">'Gear Lists'!$A$639:$AN$707</definedName>
    <definedName name="WaistList">'Gear Lists'!$A$640:$A$707</definedName>
    <definedName name="Weapon">'Gear Lists'!$A$4:$BA$61</definedName>
    <definedName name="WeaponList">'Gear Lists'!$A$5:$A$61</definedName>
    <definedName name="WeaponskillData">'Other Lists'!$A$52:$T$63</definedName>
    <definedName name="WeaponskillDataCols">'Other Lists'!$A$51:$T$51</definedName>
    <definedName name="Weaponskills">'Other Lists'!$A$52:$A$63</definedName>
    <definedName name="WSSet1">Gear!$A$25:$T$44</definedName>
    <definedName name="WSSet1Gear">Gear!$B$26:$B$40</definedName>
    <definedName name="WSSet2">Gear!$W$25:$AP$44</definedName>
    <definedName name="WSSet2Gear">Gear!$X$26:$X$40</definedName>
    <definedName name="WyvBack">'Gear Lists'!$A$967:$A$972</definedName>
    <definedName name="WyvBody">'Gear Lists'!$A$954:$A$959</definedName>
    <definedName name="WyvEarring">'Gear Lists'!$A$951:$A$953</definedName>
    <definedName name="WyvernEXP">'Other Lists'!$A$278:$A$283</definedName>
    <definedName name="WyvernGear">'Gear Lists'!$A$937:$F$994</definedName>
    <definedName name="WyvernHeader">'Gear Lists'!$A$937:$F$937</definedName>
    <definedName name="WyvernLevel">'Other Lists'!$A$260:$B$267</definedName>
    <definedName name="WyvernLevelList">'Other Lists'!$A$261:$A$267</definedName>
    <definedName name="WyvFeet">'Gear Lists'!$A$987:$A$994</definedName>
    <definedName name="WyvHands">'Gear Lists'!$A$960:$A$965</definedName>
    <definedName name="WyvHead">'Gear Lists'!$A$938:$A$947</definedName>
    <definedName name="WyvLegs">'Gear Lists'!$A$975:$A$986</definedName>
    <definedName name="WyvNeck">'Gear Lists'!$A$948:$A$950</definedName>
    <definedName name="WyvRing">'Gear Lists'!$A$966</definedName>
    <definedName name="WyvWaist">'Gear Lists'!$A$973:$A$974</definedName>
  </definedNames>
  <calcPr calcId="191029"/>
</workbook>
</file>

<file path=xl/calcChain.xml><?xml version="1.0" encoding="utf-8"?>
<calcChain xmlns="http://schemas.openxmlformats.org/spreadsheetml/2006/main">
  <c r="W3" i="3" l="1"/>
  <c r="W4" i="3"/>
  <c r="C164" i="5"/>
  <c r="B164" i="5"/>
  <c r="E8" i="26" l="1"/>
  <c r="D8" i="26"/>
  <c r="C8" i="26"/>
  <c r="B8" i="26"/>
  <c r="M94" i="5" l="1"/>
  <c r="I94" i="5"/>
  <c r="L94" i="5"/>
  <c r="H94" i="5"/>
  <c r="B44" i="5"/>
  <c r="C39" i="5"/>
  <c r="C44" i="5"/>
  <c r="B39" i="5"/>
  <c r="N347" i="12" l="1"/>
  <c r="L347" i="12"/>
  <c r="J347" i="12"/>
  <c r="H347" i="12"/>
  <c r="F347" i="12"/>
  <c r="D347" i="12"/>
  <c r="B347" i="12"/>
  <c r="M147" i="12"/>
  <c r="L145" i="12"/>
  <c r="L150" i="12"/>
  <c r="M146" i="12"/>
  <c r="L148" i="12"/>
  <c r="L147" i="12"/>
  <c r="M149" i="12"/>
  <c r="M144" i="12"/>
  <c r="L144" i="12"/>
  <c r="M148" i="12"/>
  <c r="M150" i="12"/>
  <c r="L149" i="12"/>
  <c r="L146" i="12"/>
  <c r="M145" i="12"/>
  <c r="M72" i="5" l="1"/>
  <c r="K72" i="5"/>
  <c r="I72" i="5"/>
  <c r="G72" i="5"/>
  <c r="E72" i="5"/>
  <c r="C72" i="5"/>
  <c r="L72" i="5"/>
  <c r="J72" i="5"/>
  <c r="H72" i="5"/>
  <c r="F72" i="5"/>
  <c r="D72" i="5"/>
  <c r="B72" i="5"/>
  <c r="B307" i="12"/>
  <c r="A63" i="21" l="1"/>
  <c r="A46" i="21"/>
  <c r="N535" i="18" l="1"/>
  <c r="L535" i="18"/>
  <c r="M153" i="5" l="1"/>
  <c r="L153" i="5"/>
  <c r="K153" i="5"/>
  <c r="I153" i="5"/>
  <c r="H153" i="5"/>
  <c r="G153" i="5"/>
  <c r="B43" i="4"/>
  <c r="B19" i="4"/>
  <c r="W19" i="3"/>
  <c r="W43" i="3"/>
  <c r="B43" i="3"/>
  <c r="B19" i="3"/>
  <c r="X19" i="2"/>
  <c r="X42" i="2"/>
  <c r="B42" i="2"/>
  <c r="B19" i="2"/>
  <c r="M535" i="18"/>
  <c r="N2" i="18"/>
  <c r="L2" i="18"/>
  <c r="M48" i="5"/>
  <c r="L48" i="5"/>
  <c r="K48" i="5"/>
  <c r="J48" i="5"/>
  <c r="I48" i="5"/>
  <c r="H48" i="5"/>
  <c r="G48" i="5"/>
  <c r="F48" i="5"/>
  <c r="G48" i="1"/>
  <c r="I15" i="25"/>
  <c r="I35" i="25"/>
  <c r="B35" i="25"/>
  <c r="B15" i="25"/>
  <c r="F34" i="25" l="1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F23" i="25"/>
  <c r="E23" i="25"/>
  <c r="D23" i="25"/>
  <c r="C23" i="25"/>
  <c r="M34" i="25"/>
  <c r="M33" i="25"/>
  <c r="M32" i="25"/>
  <c r="M31" i="25"/>
  <c r="M30" i="25"/>
  <c r="M29" i="25"/>
  <c r="M28" i="25"/>
  <c r="M27" i="25"/>
  <c r="M26" i="25"/>
  <c r="M25" i="25"/>
  <c r="M24" i="25"/>
  <c r="M23" i="25"/>
  <c r="M11" i="25"/>
  <c r="M14" i="25"/>
  <c r="M13" i="25"/>
  <c r="M8" i="25"/>
  <c r="M7" i="25"/>
  <c r="M3" i="25"/>
  <c r="F3" i="25"/>
  <c r="F11" i="25"/>
  <c r="F13" i="25"/>
  <c r="F14" i="25"/>
  <c r="F8" i="25"/>
  <c r="F7" i="25"/>
  <c r="C30" i="26" l="1"/>
  <c r="E30" i="26"/>
  <c r="D30" i="26"/>
  <c r="B30" i="26"/>
  <c r="C29" i="26"/>
  <c r="B29" i="26"/>
  <c r="C16" i="26"/>
  <c r="B16" i="26"/>
  <c r="C11" i="26"/>
  <c r="D20" i="26" l="1"/>
  <c r="E20" i="26"/>
  <c r="C20" i="26"/>
  <c r="B20" i="26"/>
  <c r="E19" i="26" l="1"/>
  <c r="E24" i="26" s="1"/>
  <c r="C19" i="26"/>
  <c r="C21" i="26" s="1"/>
  <c r="D19" i="26"/>
  <c r="D24" i="26" s="1"/>
  <c r="B19" i="26"/>
  <c r="B21" i="26" s="1"/>
  <c r="F37" i="25"/>
  <c r="L34" i="25"/>
  <c r="K34" i="25"/>
  <c r="J34" i="25"/>
  <c r="L33" i="25"/>
  <c r="K33" i="25"/>
  <c r="J33" i="25"/>
  <c r="L32" i="25"/>
  <c r="K32" i="25"/>
  <c r="J32" i="25"/>
  <c r="L31" i="25"/>
  <c r="K31" i="25"/>
  <c r="J31" i="25"/>
  <c r="L30" i="25"/>
  <c r="K30" i="25"/>
  <c r="J30" i="25"/>
  <c r="L29" i="25"/>
  <c r="K29" i="25"/>
  <c r="J29" i="25"/>
  <c r="L28" i="25"/>
  <c r="K28" i="25"/>
  <c r="J28" i="25"/>
  <c r="L27" i="25"/>
  <c r="K27" i="25"/>
  <c r="J27" i="25"/>
  <c r="L26" i="25"/>
  <c r="K26" i="25"/>
  <c r="J26" i="25"/>
  <c r="L25" i="25"/>
  <c r="K25" i="25"/>
  <c r="J25" i="25"/>
  <c r="L24" i="25"/>
  <c r="K24" i="25"/>
  <c r="J24" i="25"/>
  <c r="M37" i="25"/>
  <c r="L23" i="25"/>
  <c r="K23" i="25"/>
  <c r="J23" i="25"/>
  <c r="E11" i="26"/>
  <c r="D11" i="26"/>
  <c r="B11" i="26"/>
  <c r="B5" i="26"/>
  <c r="B4" i="26"/>
  <c r="E5" i="26"/>
  <c r="D5" i="26"/>
  <c r="D27" i="26" s="1"/>
  <c r="C5" i="26"/>
  <c r="E4" i="26"/>
  <c r="D4" i="26"/>
  <c r="C4" i="26"/>
  <c r="E6" i="26"/>
  <c r="E7" i="26" s="1"/>
  <c r="C6" i="26"/>
  <c r="C7" i="26" s="1"/>
  <c r="C14" i="26" s="1"/>
  <c r="D6" i="26"/>
  <c r="D7" i="26" s="1"/>
  <c r="B6" i="26"/>
  <c r="B7" i="26" s="1"/>
  <c r="B14" i="26" s="1"/>
  <c r="L14" i="25"/>
  <c r="K14" i="25"/>
  <c r="J14" i="25"/>
  <c r="L13" i="25"/>
  <c r="K13" i="25"/>
  <c r="J13" i="25"/>
  <c r="M12" i="25"/>
  <c r="L12" i="25"/>
  <c r="K12" i="25"/>
  <c r="J12" i="25"/>
  <c r="L11" i="25"/>
  <c r="K11" i="25"/>
  <c r="J11" i="25"/>
  <c r="M10" i="25"/>
  <c r="L10" i="25"/>
  <c r="K10" i="25"/>
  <c r="J10" i="25"/>
  <c r="M9" i="25"/>
  <c r="L9" i="25"/>
  <c r="K9" i="25"/>
  <c r="J9" i="25"/>
  <c r="L8" i="25"/>
  <c r="K8" i="25"/>
  <c r="J8" i="25"/>
  <c r="L7" i="25"/>
  <c r="K7" i="25"/>
  <c r="J7" i="25"/>
  <c r="M6" i="25"/>
  <c r="L6" i="25"/>
  <c r="K6" i="25"/>
  <c r="J6" i="25"/>
  <c r="M5" i="25"/>
  <c r="L5" i="25"/>
  <c r="K5" i="25"/>
  <c r="J5" i="25"/>
  <c r="M4" i="25"/>
  <c r="L4" i="25"/>
  <c r="K4" i="25"/>
  <c r="J4" i="25"/>
  <c r="L3" i="25"/>
  <c r="K3" i="25"/>
  <c r="J3" i="25"/>
  <c r="D13" i="25"/>
  <c r="E14" i="25"/>
  <c r="D14" i="25"/>
  <c r="C14" i="25"/>
  <c r="E13" i="25"/>
  <c r="C13" i="25"/>
  <c r="F12" i="25"/>
  <c r="E12" i="25"/>
  <c r="D12" i="25"/>
  <c r="C12" i="25"/>
  <c r="E11" i="25"/>
  <c r="D11" i="25"/>
  <c r="C11" i="25"/>
  <c r="F10" i="25"/>
  <c r="E10" i="25"/>
  <c r="D10" i="25"/>
  <c r="C10" i="25"/>
  <c r="F9" i="25"/>
  <c r="E9" i="25"/>
  <c r="D9" i="25"/>
  <c r="C9" i="25"/>
  <c r="E8" i="25"/>
  <c r="D8" i="25"/>
  <c r="C8" i="25"/>
  <c r="E7" i="25"/>
  <c r="D7" i="25"/>
  <c r="C7" i="25"/>
  <c r="F6" i="25"/>
  <c r="E6" i="25"/>
  <c r="D6" i="25"/>
  <c r="C6" i="25"/>
  <c r="F5" i="25"/>
  <c r="E5" i="25"/>
  <c r="D5" i="25"/>
  <c r="C5" i="25"/>
  <c r="F4" i="25"/>
  <c r="E4" i="25"/>
  <c r="D4" i="25"/>
  <c r="C4" i="25"/>
  <c r="E3" i="25"/>
  <c r="D3" i="25"/>
  <c r="C3" i="25"/>
  <c r="D14" i="26" l="1"/>
  <c r="D32" i="26" s="1"/>
  <c r="E27" i="26"/>
  <c r="M17" i="25"/>
  <c r="C27" i="26" s="1"/>
  <c r="E14" i="26"/>
  <c r="E32" i="26" s="1"/>
  <c r="J17" i="25"/>
  <c r="C9" i="26" s="1"/>
  <c r="C10" i="26" s="1"/>
  <c r="L17" i="25"/>
  <c r="C17" i="26" s="1"/>
  <c r="K17" i="25"/>
  <c r="C12" i="26" s="1"/>
  <c r="C13" i="26" s="1"/>
  <c r="J37" i="25"/>
  <c r="E9" i="26" s="1"/>
  <c r="E10" i="26" s="1"/>
  <c r="L37" i="25"/>
  <c r="E17" i="26" s="1"/>
  <c r="E18" i="26" s="1"/>
  <c r="D37" i="25"/>
  <c r="D12" i="26" s="1"/>
  <c r="D13" i="26" s="1"/>
  <c r="K37" i="25"/>
  <c r="E12" i="26" s="1"/>
  <c r="E13" i="26" s="1"/>
  <c r="C37" i="25"/>
  <c r="D9" i="26" s="1"/>
  <c r="D10" i="26" s="1"/>
  <c r="E37" i="25"/>
  <c r="D17" i="26" s="1"/>
  <c r="D18" i="26" s="1"/>
  <c r="C17" i="25"/>
  <c r="E17" i="25"/>
  <c r="B17" i="26" s="1"/>
  <c r="B18" i="26" s="1"/>
  <c r="C18" i="26"/>
  <c r="B22" i="26"/>
  <c r="C23" i="26"/>
  <c r="C31" i="26"/>
  <c r="E31" i="26"/>
  <c r="E38" i="26" s="1"/>
  <c r="B31" i="26"/>
  <c r="B23" i="26"/>
  <c r="D25" i="26"/>
  <c r="D26" i="26"/>
  <c r="D31" i="26"/>
  <c r="D38" i="26" s="1"/>
  <c r="C22" i="26"/>
  <c r="E26" i="26"/>
  <c r="E25" i="26"/>
  <c r="D17" i="25"/>
  <c r="F17" i="25"/>
  <c r="B27" i="26" s="1"/>
  <c r="E28" i="26" l="1"/>
  <c r="E15" i="26"/>
  <c r="E35" i="26" s="1"/>
  <c r="D15" i="26"/>
  <c r="C15" i="26"/>
  <c r="D43" i="26"/>
  <c r="E43" i="26"/>
  <c r="B9" i="26"/>
  <c r="B10" i="26" s="1"/>
  <c r="D28" i="26"/>
  <c r="D36" i="26"/>
  <c r="B12" i="26"/>
  <c r="B13" i="26" s="1"/>
  <c r="D35" i="26" l="1"/>
  <c r="D39" i="26" s="1"/>
  <c r="D44" i="26" s="1"/>
  <c r="B15" i="26"/>
  <c r="B33" i="26" s="1"/>
  <c r="B37" i="26" s="1"/>
  <c r="B41" i="26" s="1"/>
  <c r="B19" i="25" s="1"/>
  <c r="D42" i="26"/>
  <c r="E49" i="26"/>
  <c r="C292" i="12" s="1"/>
  <c r="E46" i="26"/>
  <c r="C289" i="12" s="1"/>
  <c r="D49" i="26"/>
  <c r="B292" i="12" s="1"/>
  <c r="D46" i="26"/>
  <c r="B289" i="12" s="1"/>
  <c r="E36" i="26"/>
  <c r="E42" i="26" s="1"/>
  <c r="E39" i="26"/>
  <c r="E44" i="26" s="1"/>
  <c r="C33" i="26"/>
  <c r="C37" i="26" s="1"/>
  <c r="C41" i="26" s="1"/>
  <c r="I19" i="25" s="1"/>
  <c r="C32" i="26"/>
  <c r="C36" i="26" s="1"/>
  <c r="C40" i="26" s="1"/>
  <c r="I18" i="25" s="1"/>
  <c r="B32" i="26" l="1"/>
  <c r="B36" i="26" s="1"/>
  <c r="B40" i="26" s="1"/>
  <c r="B18" i="25" s="1"/>
  <c r="E48" i="26"/>
  <c r="E45" i="26"/>
  <c r="E50" i="26"/>
  <c r="E47" i="26"/>
  <c r="D50" i="26"/>
  <c r="D47" i="26"/>
  <c r="D48" i="26"/>
  <c r="D45" i="26"/>
  <c r="B38" i="25" l="1"/>
  <c r="B288" i="12"/>
  <c r="I38" i="25"/>
  <c r="C288" i="12"/>
  <c r="E183" i="5" s="1"/>
  <c r="C46" i="1" s="1"/>
  <c r="B39" i="25"/>
  <c r="B290" i="12"/>
  <c r="I39" i="25"/>
  <c r="C290" i="12"/>
  <c r="B40" i="25"/>
  <c r="B291" i="12"/>
  <c r="B41" i="25"/>
  <c r="B293" i="12"/>
  <c r="I41" i="25"/>
  <c r="C293" i="12"/>
  <c r="I40" i="25"/>
  <c r="C291" i="12"/>
  <c r="D183" i="5" l="1"/>
  <c r="B46" i="1" s="1"/>
  <c r="J153" i="5"/>
  <c r="F153" i="5"/>
  <c r="E153" i="5"/>
  <c r="C153" i="5"/>
  <c r="B153" i="5"/>
  <c r="C24" i="5"/>
  <c r="N4" i="1" l="1"/>
  <c r="N15" i="1" s="1"/>
  <c r="N3" i="1"/>
  <c r="L10" i="5" s="1"/>
  <c r="L11" i="5" l="1"/>
  <c r="L149" i="5" l="1"/>
  <c r="K149" i="5"/>
  <c r="H149" i="5"/>
  <c r="G149" i="5"/>
  <c r="D150" i="5"/>
  <c r="D152" i="5" s="1"/>
  <c r="F149" i="5"/>
  <c r="M149" i="5"/>
  <c r="L150" i="5"/>
  <c r="L152" i="5" s="1"/>
  <c r="I149" i="5"/>
  <c r="H150" i="5"/>
  <c r="H152" i="5" s="1"/>
  <c r="D149" i="5"/>
  <c r="J149" i="5"/>
  <c r="C149" i="5"/>
  <c r="B149" i="5"/>
  <c r="E149" i="5"/>
  <c r="J150" i="5"/>
  <c r="J152" i="5" s="1"/>
  <c r="F150" i="5"/>
  <c r="F152" i="5" s="1"/>
  <c r="C150" i="5"/>
  <c r="C152" i="5" s="1"/>
  <c r="M150" i="5"/>
  <c r="M152" i="5" s="1"/>
  <c r="K150" i="5"/>
  <c r="K152" i="5" s="1"/>
  <c r="I150" i="5"/>
  <c r="I152" i="5" s="1"/>
  <c r="G150" i="5"/>
  <c r="G152" i="5" s="1"/>
  <c r="E150" i="5"/>
  <c r="E152" i="5" s="1"/>
  <c r="B150" i="5"/>
  <c r="B152" i="5" s="1"/>
  <c r="A112" i="21"/>
  <c r="A875" i="11" s="1"/>
  <c r="A111" i="21"/>
  <c r="A874" i="11" s="1"/>
  <c r="A110" i="21"/>
  <c r="A873" i="11" s="1"/>
  <c r="A109" i="21"/>
  <c r="A872" i="11" s="1"/>
  <c r="A108" i="21"/>
  <c r="A871" i="11" s="1"/>
  <c r="A107" i="21"/>
  <c r="A870" i="11" s="1"/>
  <c r="A106" i="21"/>
  <c r="A867" i="11" s="1"/>
  <c r="A105" i="21"/>
  <c r="A866" i="11" s="1"/>
  <c r="A104" i="21"/>
  <c r="A865" i="11" s="1"/>
  <c r="A103" i="21"/>
  <c r="A864" i="11" s="1"/>
  <c r="A102" i="21"/>
  <c r="A805" i="11" s="1"/>
  <c r="A101" i="21"/>
  <c r="A804" i="11" s="1"/>
  <c r="A100" i="21"/>
  <c r="A803" i="11" s="1"/>
  <c r="A99" i="21"/>
  <c r="A802" i="11" s="1"/>
  <c r="A95" i="21"/>
  <c r="A785" i="11" s="1"/>
  <c r="A94" i="21"/>
  <c r="A784" i="11" s="1"/>
  <c r="A93" i="21"/>
  <c r="A783" i="11" s="1"/>
  <c r="A92" i="21"/>
  <c r="A782" i="11" s="1"/>
  <c r="A91" i="21"/>
  <c r="A781" i="11" s="1"/>
  <c r="A90" i="21"/>
  <c r="A780" i="11" s="1"/>
  <c r="A89" i="21"/>
  <c r="A778" i="11" s="1"/>
  <c r="A88" i="21"/>
  <c r="A777" i="11" s="1"/>
  <c r="A87" i="21"/>
  <c r="A776" i="11" s="1"/>
  <c r="A86" i="21"/>
  <c r="A775" i="11" s="1"/>
  <c r="A85" i="21"/>
  <c r="A716" i="11" s="1"/>
  <c r="A84" i="21"/>
  <c r="A715" i="11" s="1"/>
  <c r="A83" i="21"/>
  <c r="A714" i="11" s="1"/>
  <c r="A82" i="21"/>
  <c r="A713" i="11" s="1"/>
  <c r="A78" i="21"/>
  <c r="A599" i="11" s="1"/>
  <c r="A77" i="21"/>
  <c r="A598" i="11" s="1"/>
  <c r="A76" i="21"/>
  <c r="A597" i="11" s="1"/>
  <c r="A75" i="21"/>
  <c r="A596" i="11" s="1"/>
  <c r="A74" i="21"/>
  <c r="A595" i="11" s="1"/>
  <c r="A73" i="21"/>
  <c r="A594" i="11" s="1"/>
  <c r="A72" i="21"/>
  <c r="A593" i="11" s="1"/>
  <c r="A71" i="21"/>
  <c r="A592" i="11" s="1"/>
  <c r="A70" i="21"/>
  <c r="A591" i="11" s="1"/>
  <c r="A69" i="21"/>
  <c r="A590" i="11" s="1"/>
  <c r="A68" i="21"/>
  <c r="A589" i="11" s="1"/>
  <c r="A67" i="21"/>
  <c r="A588" i="11" s="1"/>
  <c r="A507" i="11"/>
  <c r="A62" i="21"/>
  <c r="A506" i="11" s="1"/>
  <c r="A61" i="21"/>
  <c r="A505" i="11" s="1"/>
  <c r="A60" i="21"/>
  <c r="A504" i="11" s="1"/>
  <c r="A59" i="21"/>
  <c r="A503" i="11" s="1"/>
  <c r="A58" i="21"/>
  <c r="A502" i="11" s="1"/>
  <c r="A57" i="21"/>
  <c r="A499" i="11" s="1"/>
  <c r="A56" i="21"/>
  <c r="A498" i="11" s="1"/>
  <c r="A55" i="21"/>
  <c r="A497" i="11" s="1"/>
  <c r="A54" i="21"/>
  <c r="A496" i="11" s="1"/>
  <c r="A53" i="21"/>
  <c r="A438" i="11" s="1"/>
  <c r="A52" i="21"/>
  <c r="A437" i="11" s="1"/>
  <c r="A51" i="21"/>
  <c r="A436" i="11" s="1"/>
  <c r="A50" i="21"/>
  <c r="A435" i="11" s="1"/>
  <c r="A421" i="11"/>
  <c r="A45" i="21"/>
  <c r="A420" i="11" s="1"/>
  <c r="A44" i="21"/>
  <c r="A419" i="11" s="1"/>
  <c r="A43" i="21"/>
  <c r="A418" i="11" s="1"/>
  <c r="A42" i="21"/>
  <c r="A417" i="11" s="1"/>
  <c r="A41" i="21"/>
  <c r="A416" i="11" s="1"/>
  <c r="A40" i="21"/>
  <c r="A412" i="11" s="1"/>
  <c r="A39" i="21"/>
  <c r="A411" i="11" s="1"/>
  <c r="A38" i="21"/>
  <c r="A410" i="11" s="1"/>
  <c r="A37" i="21"/>
  <c r="A409" i="11" s="1"/>
  <c r="A36" i="21"/>
  <c r="A340" i="11" s="1"/>
  <c r="A35" i="21"/>
  <c r="A339" i="11" s="1"/>
  <c r="A34" i="21"/>
  <c r="A338" i="11" s="1"/>
  <c r="A33" i="21"/>
  <c r="A337" i="11" s="1"/>
  <c r="A29" i="21"/>
  <c r="A218" i="11" s="1"/>
  <c r="A28" i="21"/>
  <c r="A217" i="11" s="1"/>
  <c r="A27" i="21"/>
  <c r="A216" i="11" s="1"/>
  <c r="A26" i="21"/>
  <c r="A215" i="11" s="1"/>
  <c r="A25" i="21"/>
  <c r="A214" i="11" s="1"/>
  <c r="A24" i="21"/>
  <c r="A213" i="11" s="1"/>
  <c r="A23" i="21"/>
  <c r="A210" i="11" s="1"/>
  <c r="A22" i="21"/>
  <c r="A209" i="11" s="1"/>
  <c r="A21" i="21"/>
  <c r="A208" i="11" s="1"/>
  <c r="A20" i="21"/>
  <c r="A207" i="11" s="1"/>
  <c r="A19" i="21"/>
  <c r="A128" i="11" s="1"/>
  <c r="A18" i="21"/>
  <c r="A127" i="11" s="1"/>
  <c r="A17" i="21"/>
  <c r="A126" i="11" s="1"/>
  <c r="A16" i="21"/>
  <c r="A12" i="21"/>
  <c r="A46" i="11" s="1"/>
  <c r="A11" i="21"/>
  <c r="A45" i="11" s="1"/>
  <c r="A10" i="21"/>
  <c r="A44" i="11" s="1"/>
  <c r="A9" i="21"/>
  <c r="A43" i="11" s="1"/>
  <c r="A8" i="21"/>
  <c r="A39" i="11" s="1"/>
  <c r="A7" i="21"/>
  <c r="A38" i="11" s="1"/>
  <c r="A6" i="21"/>
  <c r="A37" i="11" s="1"/>
  <c r="A5" i="21"/>
  <c r="A36" i="11" s="1"/>
  <c r="B84" i="5"/>
  <c r="C84" i="5"/>
  <c r="G42" i="1"/>
  <c r="G16" i="5"/>
  <c r="H16" i="5"/>
  <c r="A125" i="11" l="1"/>
  <c r="R213" i="11"/>
  <c r="AL213" i="11"/>
  <c r="L213" i="11"/>
  <c r="AM213" i="11"/>
  <c r="T213" i="11"/>
  <c r="Z213" i="11"/>
  <c r="V213" i="11"/>
  <c r="M213" i="11"/>
  <c r="AA213" i="11"/>
  <c r="AH213" i="11"/>
  <c r="B213" i="11"/>
  <c r="Q213" i="11"/>
  <c r="G213" i="11"/>
  <c r="AB213" i="11"/>
  <c r="AK213" i="11"/>
  <c r="Y213" i="11"/>
  <c r="D213" i="11"/>
  <c r="AJ213" i="11"/>
  <c r="E213" i="11"/>
  <c r="J213" i="11"/>
  <c r="AD213" i="11"/>
  <c r="N213" i="11"/>
  <c r="U213" i="11"/>
  <c r="AF213" i="11"/>
  <c r="X213" i="11"/>
  <c r="AC213" i="11"/>
  <c r="H213" i="11"/>
  <c r="AI213" i="11"/>
  <c r="AN213" i="11"/>
  <c r="P213" i="11"/>
  <c r="C213" i="11"/>
  <c r="I213" i="11"/>
  <c r="AG213" i="11"/>
  <c r="O213" i="11"/>
  <c r="K213" i="11"/>
  <c r="F213" i="11"/>
  <c r="W213" i="11"/>
  <c r="S213" i="11"/>
  <c r="AE213" i="11"/>
  <c r="G29" i="1" l="1"/>
  <c r="K113" i="12"/>
  <c r="K108" i="12"/>
  <c r="K107" i="12"/>
  <c r="K106" i="12"/>
  <c r="D177" i="5"/>
  <c r="E177" i="5" l="1"/>
  <c r="M65" i="5" l="1"/>
  <c r="K65" i="5"/>
  <c r="I65" i="5"/>
  <c r="G65" i="5"/>
  <c r="E65" i="5"/>
  <c r="C65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K50" i="5"/>
  <c r="I50" i="5"/>
  <c r="G50" i="5"/>
  <c r="E50" i="5"/>
  <c r="C50" i="5"/>
  <c r="B386" i="16"/>
  <c r="B385" i="16"/>
  <c r="B384" i="16"/>
  <c r="B306" i="16"/>
  <c r="B305" i="16"/>
  <c r="B304" i="16"/>
  <c r="B226" i="16"/>
  <c r="B225" i="16"/>
  <c r="B224" i="16"/>
  <c r="B146" i="16"/>
  <c r="B145" i="16"/>
  <c r="B144" i="16"/>
  <c r="B66" i="16"/>
  <c r="B65" i="16"/>
  <c r="B64" i="16"/>
  <c r="B346" i="16"/>
  <c r="B345" i="16"/>
  <c r="B344" i="16"/>
  <c r="B266" i="16"/>
  <c r="B265" i="16"/>
  <c r="B264" i="16"/>
  <c r="B186" i="16"/>
  <c r="B185" i="16"/>
  <c r="B184" i="16"/>
  <c r="B106" i="16"/>
  <c r="B105" i="16"/>
  <c r="B104" i="16"/>
  <c r="B26" i="16"/>
  <c r="B25" i="16"/>
  <c r="B24" i="16"/>
  <c r="C158" i="5"/>
  <c r="C8" i="1"/>
  <c r="C162" i="5" l="1"/>
  <c r="C160" i="5"/>
  <c r="M141" i="5" l="1"/>
  <c r="L141" i="5"/>
  <c r="K141" i="5"/>
  <c r="J141" i="5"/>
  <c r="I141" i="5"/>
  <c r="H141" i="5"/>
  <c r="G141" i="5"/>
  <c r="F141" i="5"/>
  <c r="E141" i="5"/>
  <c r="D141" i="5"/>
  <c r="B141" i="5"/>
  <c r="C141" i="5"/>
  <c r="L43" i="5" l="1"/>
  <c r="J43" i="5"/>
  <c r="H43" i="5"/>
  <c r="F43" i="5"/>
  <c r="M49" i="5" l="1"/>
  <c r="L49" i="5"/>
  <c r="L50" i="5" s="1"/>
  <c r="K49" i="5"/>
  <c r="J49" i="5"/>
  <c r="J50" i="5" s="1"/>
  <c r="I49" i="5"/>
  <c r="H49" i="5"/>
  <c r="H50" i="5" s="1"/>
  <c r="G49" i="5"/>
  <c r="F49" i="5"/>
  <c r="F50" i="5" s="1"/>
  <c r="E49" i="5"/>
  <c r="D49" i="5"/>
  <c r="D50" i="5" s="1"/>
  <c r="C49" i="5"/>
  <c r="B49" i="5"/>
  <c r="B50" i="5" s="1"/>
  <c r="M73" i="5" l="1"/>
  <c r="L73" i="5"/>
  <c r="K73" i="5"/>
  <c r="J73" i="5"/>
  <c r="I73" i="5"/>
  <c r="H73" i="5"/>
  <c r="G73" i="5"/>
  <c r="F73" i="5"/>
  <c r="E73" i="5"/>
  <c r="D73" i="5"/>
  <c r="C73" i="5"/>
  <c r="B73" i="5"/>
  <c r="M34" i="5"/>
  <c r="K34" i="5"/>
  <c r="I34" i="5"/>
  <c r="G34" i="5"/>
  <c r="E34" i="5"/>
  <c r="C34" i="5"/>
  <c r="L34" i="5"/>
  <c r="J34" i="5"/>
  <c r="H34" i="5"/>
  <c r="F34" i="5"/>
  <c r="D34" i="5"/>
  <c r="B34" i="5"/>
  <c r="M33" i="5"/>
  <c r="K33" i="5"/>
  <c r="I33" i="5"/>
  <c r="G33" i="5"/>
  <c r="E33" i="5"/>
  <c r="C33" i="5"/>
  <c r="L33" i="5"/>
  <c r="J33" i="5"/>
  <c r="H33" i="5"/>
  <c r="F33" i="5"/>
  <c r="D33" i="5"/>
  <c r="B33" i="5"/>
  <c r="K105" i="12" l="1"/>
  <c r="K104" i="12"/>
  <c r="K103" i="12"/>
  <c r="K102" i="12"/>
  <c r="K101" i="12"/>
  <c r="K100" i="12"/>
  <c r="K99" i="12"/>
  <c r="K98" i="12"/>
  <c r="F1" i="5"/>
  <c r="E63" i="12"/>
  <c r="G34" i="1"/>
  <c r="G33" i="1"/>
  <c r="G32" i="1"/>
  <c r="G28" i="1"/>
  <c r="G27" i="1"/>
  <c r="G25" i="1"/>
  <c r="D24" i="5" s="1"/>
  <c r="F4" i="5" l="1"/>
  <c r="F6" i="5"/>
  <c r="M57" i="5"/>
  <c r="C57" i="5"/>
  <c r="E57" i="5"/>
  <c r="G57" i="5"/>
  <c r="I57" i="5"/>
  <c r="K57" i="5"/>
  <c r="F3" i="5"/>
  <c r="F5" i="5"/>
  <c r="L57" i="5"/>
  <c r="B57" i="5"/>
  <c r="D57" i="5"/>
  <c r="F57" i="5"/>
  <c r="H57" i="5"/>
  <c r="J57" i="5"/>
  <c r="C26" i="1"/>
  <c r="C25" i="1"/>
  <c r="C24" i="1"/>
  <c r="C23" i="1"/>
  <c r="C22" i="1"/>
  <c r="C21" i="1"/>
  <c r="G47" i="1"/>
  <c r="G46" i="1"/>
  <c r="G45" i="1"/>
  <c r="G43" i="1"/>
  <c r="G44" i="1"/>
  <c r="M43" i="5" l="1"/>
  <c r="K43" i="5"/>
  <c r="I43" i="5"/>
  <c r="G43" i="5"/>
  <c r="B17" i="5"/>
  <c r="M42" i="5" l="1"/>
  <c r="L42" i="5"/>
  <c r="K42" i="5"/>
  <c r="J42" i="5"/>
  <c r="I42" i="5"/>
  <c r="H42" i="5"/>
  <c r="G42" i="5"/>
  <c r="F42" i="5"/>
  <c r="E42" i="5"/>
  <c r="D42" i="5"/>
  <c r="C42" i="5"/>
  <c r="B42" i="5"/>
  <c r="M46" i="5" l="1"/>
  <c r="L46" i="5"/>
  <c r="K46" i="5"/>
  <c r="J46" i="5"/>
  <c r="I46" i="5"/>
  <c r="H46" i="5"/>
  <c r="G46" i="5"/>
  <c r="F46" i="5"/>
  <c r="E46" i="5"/>
  <c r="D46" i="5"/>
  <c r="B46" i="5"/>
  <c r="C46" i="5"/>
  <c r="M41" i="5"/>
  <c r="L41" i="5"/>
  <c r="K41" i="5"/>
  <c r="J41" i="5"/>
  <c r="I41" i="5"/>
  <c r="H41" i="5"/>
  <c r="G41" i="5"/>
  <c r="F41" i="5"/>
  <c r="E41" i="5"/>
  <c r="D41" i="5"/>
  <c r="C41" i="5"/>
  <c r="B41" i="5"/>
  <c r="L47" i="5" l="1"/>
  <c r="J47" i="5"/>
  <c r="H47" i="5"/>
  <c r="F47" i="5"/>
  <c r="D47" i="5"/>
  <c r="B47" i="5"/>
  <c r="D5" i="5"/>
  <c r="D4" i="5"/>
  <c r="D6" i="5"/>
  <c r="D3" i="5"/>
  <c r="M47" i="5"/>
  <c r="E179" i="5"/>
  <c r="D179" i="5"/>
  <c r="C156" i="5"/>
  <c r="C13" i="1"/>
  <c r="C47" i="5" l="1"/>
  <c r="E47" i="5"/>
  <c r="G47" i="5"/>
  <c r="I47" i="5"/>
  <c r="K47" i="5"/>
  <c r="B156" i="5"/>
  <c r="J170" i="5" l="1"/>
  <c r="F170" i="5"/>
  <c r="M45" i="5" l="1"/>
  <c r="L45" i="5"/>
  <c r="K45" i="5"/>
  <c r="J45" i="5"/>
  <c r="I45" i="5"/>
  <c r="H45" i="5"/>
  <c r="G45" i="5"/>
  <c r="F45" i="5"/>
  <c r="E45" i="5"/>
  <c r="D45" i="5"/>
  <c r="C45" i="5"/>
  <c r="B45" i="5"/>
  <c r="M40" i="5"/>
  <c r="L40" i="5"/>
  <c r="K40" i="5"/>
  <c r="J40" i="5"/>
  <c r="I40" i="5"/>
  <c r="H40" i="5"/>
  <c r="G40" i="5"/>
  <c r="F40" i="5"/>
  <c r="E40" i="5"/>
  <c r="D40" i="5"/>
  <c r="C40" i="5"/>
  <c r="B40" i="5"/>
  <c r="M93" i="5"/>
  <c r="L93" i="5"/>
  <c r="K93" i="5"/>
  <c r="J93" i="5"/>
  <c r="I93" i="5"/>
  <c r="H93" i="5"/>
  <c r="G93" i="5"/>
  <c r="F93" i="5"/>
  <c r="E93" i="5"/>
  <c r="D93" i="5"/>
  <c r="C93" i="5"/>
  <c r="B93" i="5"/>
  <c r="B27" i="2" l="1"/>
  <c r="N8" i="1"/>
  <c r="L1" i="5"/>
  <c r="B4" i="4"/>
  <c r="B28" i="4" s="1"/>
  <c r="B4" i="3"/>
  <c r="X27" i="2"/>
  <c r="B14" i="5"/>
  <c r="D1" i="5"/>
  <c r="B24" i="5" s="1"/>
  <c r="E539" i="18"/>
  <c r="A535" i="18"/>
  <c r="I536" i="18" s="1"/>
  <c r="E1" i="5"/>
  <c r="B1" i="5"/>
  <c r="B1" i="13" s="1"/>
  <c r="C1" i="13" s="1"/>
  <c r="A49" i="13"/>
  <c r="D49" i="13" s="1"/>
  <c r="A1" i="5"/>
  <c r="A69" i="13" s="1"/>
  <c r="E69" i="13" s="1"/>
  <c r="C75" i="5"/>
  <c r="G31" i="1"/>
  <c r="C76" i="5" s="1"/>
  <c r="B48" i="16"/>
  <c r="B49" i="16"/>
  <c r="E540" i="18"/>
  <c r="B50" i="16"/>
  <c r="E541" i="18"/>
  <c r="B51" i="16"/>
  <c r="B52" i="16"/>
  <c r="B53" i="16"/>
  <c r="B54" i="16"/>
  <c r="B55" i="16"/>
  <c r="E62" i="16"/>
  <c r="E63" i="16"/>
  <c r="E64" i="16"/>
  <c r="E65" i="16"/>
  <c r="E66" i="16"/>
  <c r="E67" i="16"/>
  <c r="E68" i="16"/>
  <c r="E69" i="16"/>
  <c r="G61" i="16"/>
  <c r="G45" i="16"/>
  <c r="H62" i="16"/>
  <c r="H61" i="16"/>
  <c r="H45" i="16"/>
  <c r="H46" i="16"/>
  <c r="I62" i="16"/>
  <c r="I63" i="16"/>
  <c r="I61" i="16"/>
  <c r="I45" i="16"/>
  <c r="I46" i="16"/>
  <c r="I47" i="16"/>
  <c r="J62" i="16"/>
  <c r="J63" i="16"/>
  <c r="J64" i="16"/>
  <c r="J61" i="16"/>
  <c r="J45" i="16"/>
  <c r="J46" i="16"/>
  <c r="J47" i="16"/>
  <c r="J48" i="16"/>
  <c r="K62" i="16"/>
  <c r="K63" i="16"/>
  <c r="K64" i="16"/>
  <c r="K65" i="16"/>
  <c r="K61" i="16"/>
  <c r="K45" i="16"/>
  <c r="K46" i="16"/>
  <c r="K47" i="16"/>
  <c r="K48" i="16"/>
  <c r="K49" i="16"/>
  <c r="L62" i="16"/>
  <c r="L63" i="16"/>
  <c r="L64" i="16"/>
  <c r="L65" i="16"/>
  <c r="L66" i="16"/>
  <c r="L61" i="16"/>
  <c r="L45" i="16"/>
  <c r="L46" i="16"/>
  <c r="L47" i="16"/>
  <c r="L48" i="16"/>
  <c r="L49" i="16"/>
  <c r="L50" i="16"/>
  <c r="M62" i="16"/>
  <c r="M63" i="16"/>
  <c r="M64" i="16"/>
  <c r="M65" i="16"/>
  <c r="M66" i="16"/>
  <c r="M67" i="16"/>
  <c r="M61" i="16"/>
  <c r="M45" i="16"/>
  <c r="M46" i="16"/>
  <c r="M47" i="16"/>
  <c r="M48" i="16"/>
  <c r="M49" i="16"/>
  <c r="M50" i="16"/>
  <c r="M51" i="16"/>
  <c r="N62" i="16"/>
  <c r="N63" i="16"/>
  <c r="N64" i="16"/>
  <c r="N65" i="16"/>
  <c r="N66" i="16"/>
  <c r="N67" i="16"/>
  <c r="N68" i="16"/>
  <c r="N61" i="16"/>
  <c r="N45" i="16"/>
  <c r="N46" i="16"/>
  <c r="N47" i="16"/>
  <c r="N48" i="16"/>
  <c r="N49" i="16"/>
  <c r="N50" i="16"/>
  <c r="N51" i="16"/>
  <c r="N52" i="16"/>
  <c r="E75" i="5"/>
  <c r="E6" i="18"/>
  <c r="A2" i="18"/>
  <c r="K2" i="18" s="1"/>
  <c r="C4" i="5"/>
  <c r="B75" i="5"/>
  <c r="B76" i="5"/>
  <c r="B8" i="16"/>
  <c r="B9" i="16"/>
  <c r="E7" i="18"/>
  <c r="B10" i="16"/>
  <c r="E8" i="18"/>
  <c r="B11" i="16"/>
  <c r="B12" i="16"/>
  <c r="B13" i="16"/>
  <c r="B14" i="16"/>
  <c r="B15" i="16"/>
  <c r="E22" i="16"/>
  <c r="E23" i="16"/>
  <c r="E24" i="16"/>
  <c r="E25" i="16"/>
  <c r="E26" i="16"/>
  <c r="E27" i="16"/>
  <c r="E28" i="16"/>
  <c r="E29" i="16"/>
  <c r="G21" i="16"/>
  <c r="G5" i="16"/>
  <c r="H22" i="16"/>
  <c r="H21" i="16"/>
  <c r="H5" i="16"/>
  <c r="H6" i="16"/>
  <c r="I22" i="16"/>
  <c r="I23" i="16"/>
  <c r="I21" i="16"/>
  <c r="I5" i="16"/>
  <c r="I6" i="16"/>
  <c r="I7" i="16"/>
  <c r="J22" i="16"/>
  <c r="J23" i="16"/>
  <c r="J24" i="16"/>
  <c r="J21" i="16"/>
  <c r="J5" i="16"/>
  <c r="J6" i="16"/>
  <c r="J7" i="16"/>
  <c r="J8" i="16"/>
  <c r="K22" i="16"/>
  <c r="K23" i="16"/>
  <c r="K24" i="16"/>
  <c r="K25" i="16"/>
  <c r="K21" i="16"/>
  <c r="K5" i="16"/>
  <c r="K6" i="16"/>
  <c r="K7" i="16"/>
  <c r="K8" i="16"/>
  <c r="K9" i="16"/>
  <c r="L22" i="16"/>
  <c r="L23" i="16"/>
  <c r="L24" i="16"/>
  <c r="L25" i="16"/>
  <c r="L26" i="16"/>
  <c r="L21" i="16"/>
  <c r="L5" i="16"/>
  <c r="L6" i="16"/>
  <c r="L7" i="16"/>
  <c r="L8" i="16"/>
  <c r="L9" i="16"/>
  <c r="L10" i="16"/>
  <c r="M22" i="16"/>
  <c r="M23" i="16"/>
  <c r="M24" i="16"/>
  <c r="M25" i="16"/>
  <c r="M26" i="16"/>
  <c r="M27" i="16"/>
  <c r="M21" i="16"/>
  <c r="M5" i="16"/>
  <c r="M6" i="16"/>
  <c r="M7" i="16"/>
  <c r="M8" i="16"/>
  <c r="M9" i="16"/>
  <c r="M10" i="16"/>
  <c r="M11" i="16"/>
  <c r="N22" i="16"/>
  <c r="N23" i="16"/>
  <c r="N24" i="16"/>
  <c r="N25" i="16"/>
  <c r="N26" i="16"/>
  <c r="N27" i="16"/>
  <c r="N28" i="16"/>
  <c r="N21" i="16"/>
  <c r="N5" i="16"/>
  <c r="N6" i="16"/>
  <c r="N7" i="16"/>
  <c r="N8" i="16"/>
  <c r="N9" i="16"/>
  <c r="N10" i="16"/>
  <c r="N11" i="16"/>
  <c r="N12" i="16"/>
  <c r="D75" i="5"/>
  <c r="D76" i="5"/>
  <c r="W3" i="4"/>
  <c r="W4" i="4"/>
  <c r="W28" i="4" s="1"/>
  <c r="W28" i="3"/>
  <c r="X26" i="2"/>
  <c r="B3" i="4"/>
  <c r="B3" i="3"/>
  <c r="B26" i="2"/>
  <c r="N2" i="1"/>
  <c r="L2" i="5" s="1"/>
  <c r="AN42" i="4"/>
  <c r="AM42" i="4"/>
  <c r="AL42" i="4"/>
  <c r="AK42" i="4"/>
  <c r="AI42" i="4"/>
  <c r="AH42" i="4"/>
  <c r="AG42" i="4"/>
  <c r="AE42" i="4"/>
  <c r="AA42" i="4"/>
  <c r="Z42" i="4"/>
  <c r="AN18" i="4"/>
  <c r="AM18" i="4"/>
  <c r="AL18" i="4"/>
  <c r="AK18" i="4"/>
  <c r="AI18" i="4"/>
  <c r="AH18" i="4"/>
  <c r="AG18" i="4"/>
  <c r="AE18" i="4"/>
  <c r="AA18" i="4"/>
  <c r="Z18" i="4"/>
  <c r="S42" i="4"/>
  <c r="R42" i="4"/>
  <c r="Q42" i="4"/>
  <c r="P42" i="4"/>
  <c r="N42" i="4"/>
  <c r="M42" i="4"/>
  <c r="L42" i="4"/>
  <c r="J42" i="4"/>
  <c r="F42" i="4"/>
  <c r="E42" i="4"/>
  <c r="S18" i="4"/>
  <c r="R18" i="4"/>
  <c r="Q18" i="4"/>
  <c r="P18" i="4"/>
  <c r="N18" i="4"/>
  <c r="M18" i="4"/>
  <c r="L18" i="4"/>
  <c r="J18" i="4"/>
  <c r="F18" i="4"/>
  <c r="E18" i="4"/>
  <c r="AN42" i="3"/>
  <c r="AM42" i="3"/>
  <c r="AL42" i="3"/>
  <c r="AK42" i="3"/>
  <c r="AI42" i="3"/>
  <c r="AH42" i="3"/>
  <c r="AG42" i="3"/>
  <c r="AE42" i="3"/>
  <c r="AA42" i="3"/>
  <c r="Z42" i="3"/>
  <c r="AN18" i="3"/>
  <c r="AM18" i="3"/>
  <c r="AL18" i="3"/>
  <c r="AK18" i="3"/>
  <c r="AI18" i="3"/>
  <c r="AH18" i="3"/>
  <c r="AG18" i="3"/>
  <c r="AE18" i="3"/>
  <c r="AA18" i="3"/>
  <c r="Z18" i="3"/>
  <c r="S42" i="3"/>
  <c r="R42" i="3"/>
  <c r="Q42" i="3"/>
  <c r="P42" i="3"/>
  <c r="N42" i="3"/>
  <c r="M42" i="3"/>
  <c r="L42" i="3"/>
  <c r="J42" i="3"/>
  <c r="F42" i="3"/>
  <c r="E42" i="3"/>
  <c r="S18" i="3"/>
  <c r="R18" i="3"/>
  <c r="Q18" i="3"/>
  <c r="P18" i="3"/>
  <c r="N18" i="3"/>
  <c r="M18" i="3"/>
  <c r="L18" i="3"/>
  <c r="J18" i="3"/>
  <c r="F18" i="3"/>
  <c r="E18" i="3"/>
  <c r="X42" i="4"/>
  <c r="X18" i="4"/>
  <c r="C42" i="4"/>
  <c r="C18" i="4"/>
  <c r="X42" i="3"/>
  <c r="X18" i="3"/>
  <c r="C42" i="3"/>
  <c r="C18" i="3"/>
  <c r="AP41" i="2"/>
  <c r="AO41" i="2"/>
  <c r="AN41" i="2"/>
  <c r="AL41" i="2"/>
  <c r="AJ41" i="2"/>
  <c r="AI41" i="2"/>
  <c r="AH41" i="2"/>
  <c r="AF41" i="2"/>
  <c r="AB41" i="2"/>
  <c r="AA41" i="2"/>
  <c r="AP18" i="2"/>
  <c r="AN18" i="2"/>
  <c r="AM18" i="2"/>
  <c r="AJ18" i="2"/>
  <c r="AI18" i="2"/>
  <c r="AH18" i="2"/>
  <c r="AF18" i="2"/>
  <c r="AB18" i="2"/>
  <c r="AA18" i="2"/>
  <c r="T41" i="2"/>
  <c r="S41" i="2"/>
  <c r="R41" i="2"/>
  <c r="P41" i="2"/>
  <c r="N41" i="2"/>
  <c r="M41" i="2"/>
  <c r="L41" i="2"/>
  <c r="J41" i="2"/>
  <c r="F41" i="2"/>
  <c r="E41" i="2"/>
  <c r="Y41" i="2"/>
  <c r="Y18" i="2"/>
  <c r="C41" i="2"/>
  <c r="T18" i="2"/>
  <c r="R18" i="2"/>
  <c r="Q18" i="2"/>
  <c r="N18" i="2"/>
  <c r="M18" i="2"/>
  <c r="L18" i="2"/>
  <c r="J18" i="2"/>
  <c r="F18" i="2"/>
  <c r="E18" i="2"/>
  <c r="C18" i="2"/>
  <c r="G32" i="5"/>
  <c r="G30" i="5"/>
  <c r="C3" i="5"/>
  <c r="F32" i="5"/>
  <c r="F30" i="5"/>
  <c r="K31" i="5"/>
  <c r="K75" i="5"/>
  <c r="B288" i="16"/>
  <c r="E309" i="16"/>
  <c r="N308" i="16"/>
  <c r="E308" i="16"/>
  <c r="N307" i="16"/>
  <c r="M307" i="16"/>
  <c r="E307" i="16"/>
  <c r="N306" i="16"/>
  <c r="M306" i="16"/>
  <c r="L306" i="16"/>
  <c r="E306" i="16"/>
  <c r="N305" i="16"/>
  <c r="M305" i="16"/>
  <c r="L305" i="16"/>
  <c r="K305" i="16"/>
  <c r="E305" i="16"/>
  <c r="N304" i="16"/>
  <c r="M304" i="16"/>
  <c r="L304" i="16"/>
  <c r="K304" i="16"/>
  <c r="J304" i="16"/>
  <c r="E304" i="16"/>
  <c r="N303" i="16"/>
  <c r="M303" i="16"/>
  <c r="L303" i="16"/>
  <c r="K303" i="16"/>
  <c r="J303" i="16"/>
  <c r="I303" i="16"/>
  <c r="E303" i="16"/>
  <c r="N302" i="16"/>
  <c r="M302" i="16"/>
  <c r="L302" i="16"/>
  <c r="K302" i="16"/>
  <c r="J302" i="16"/>
  <c r="I302" i="16"/>
  <c r="H302" i="16"/>
  <c r="E302" i="16"/>
  <c r="N301" i="16"/>
  <c r="M301" i="16"/>
  <c r="L301" i="16"/>
  <c r="K301" i="16"/>
  <c r="J301" i="16"/>
  <c r="I301" i="16"/>
  <c r="H301" i="16"/>
  <c r="G301" i="16"/>
  <c r="B295" i="16"/>
  <c r="B294" i="16"/>
  <c r="N292" i="16"/>
  <c r="B293" i="16"/>
  <c r="N291" i="16"/>
  <c r="M291" i="16"/>
  <c r="B292" i="16"/>
  <c r="N290" i="16"/>
  <c r="M290" i="16"/>
  <c r="L290" i="16"/>
  <c r="B291" i="16"/>
  <c r="N289" i="16"/>
  <c r="M289" i="16"/>
  <c r="L289" i="16"/>
  <c r="K289" i="16"/>
  <c r="B290" i="16"/>
  <c r="N288" i="16"/>
  <c r="M288" i="16"/>
  <c r="L288" i="16"/>
  <c r="K288" i="16"/>
  <c r="J288" i="16"/>
  <c r="B289" i="16"/>
  <c r="N287" i="16"/>
  <c r="M287" i="16"/>
  <c r="L287" i="16"/>
  <c r="K287" i="16"/>
  <c r="J287" i="16"/>
  <c r="I287" i="16"/>
  <c r="N286" i="16"/>
  <c r="M286" i="16"/>
  <c r="L286" i="16"/>
  <c r="K286" i="16"/>
  <c r="J286" i="16"/>
  <c r="I286" i="16"/>
  <c r="H286" i="16"/>
  <c r="N285" i="16"/>
  <c r="M285" i="16"/>
  <c r="L285" i="16"/>
  <c r="K285" i="16"/>
  <c r="J285" i="16"/>
  <c r="I285" i="16"/>
  <c r="H285" i="16"/>
  <c r="G285" i="16"/>
  <c r="J31" i="5"/>
  <c r="J75" i="5"/>
  <c r="J76" i="5"/>
  <c r="E269" i="16"/>
  <c r="N268" i="16"/>
  <c r="E268" i="16"/>
  <c r="N267" i="16"/>
  <c r="M267" i="16"/>
  <c r="E267" i="16"/>
  <c r="N266" i="16"/>
  <c r="M266" i="16"/>
  <c r="L266" i="16"/>
  <c r="E266" i="16"/>
  <c r="N265" i="16"/>
  <c r="M265" i="16"/>
  <c r="L265" i="16"/>
  <c r="K265" i="16"/>
  <c r="E265" i="16"/>
  <c r="N264" i="16"/>
  <c r="M264" i="16"/>
  <c r="L264" i="16"/>
  <c r="K264" i="16"/>
  <c r="J264" i="16"/>
  <c r="E264" i="16"/>
  <c r="N263" i="16"/>
  <c r="M263" i="16"/>
  <c r="L263" i="16"/>
  <c r="K263" i="16"/>
  <c r="J263" i="16"/>
  <c r="I263" i="16"/>
  <c r="E263" i="16"/>
  <c r="N262" i="16"/>
  <c r="M262" i="16"/>
  <c r="L262" i="16"/>
  <c r="K262" i="16"/>
  <c r="J262" i="16"/>
  <c r="I262" i="16"/>
  <c r="H262" i="16"/>
  <c r="E262" i="16"/>
  <c r="N261" i="16"/>
  <c r="M261" i="16"/>
  <c r="L261" i="16"/>
  <c r="K261" i="16"/>
  <c r="J261" i="16"/>
  <c r="I261" i="16"/>
  <c r="H261" i="16"/>
  <c r="G261" i="16"/>
  <c r="B248" i="16"/>
  <c r="B88" i="16"/>
  <c r="F31" i="5"/>
  <c r="F75" i="5"/>
  <c r="F76" i="5"/>
  <c r="B255" i="16"/>
  <c r="B254" i="16"/>
  <c r="N252" i="16"/>
  <c r="B253" i="16"/>
  <c r="N251" i="16"/>
  <c r="M251" i="16"/>
  <c r="B252" i="16"/>
  <c r="N250" i="16"/>
  <c r="M250" i="16"/>
  <c r="L250" i="16"/>
  <c r="B251" i="16"/>
  <c r="N249" i="16"/>
  <c r="M249" i="16"/>
  <c r="L249" i="16"/>
  <c r="K249" i="16"/>
  <c r="B250" i="16"/>
  <c r="N248" i="16"/>
  <c r="M248" i="16"/>
  <c r="L248" i="16"/>
  <c r="K248" i="16"/>
  <c r="J248" i="16"/>
  <c r="B249" i="16"/>
  <c r="N247" i="16"/>
  <c r="M247" i="16"/>
  <c r="L247" i="16"/>
  <c r="K247" i="16"/>
  <c r="J247" i="16"/>
  <c r="I247" i="16"/>
  <c r="N246" i="16"/>
  <c r="M246" i="16"/>
  <c r="L246" i="16"/>
  <c r="K246" i="16"/>
  <c r="J246" i="16"/>
  <c r="I246" i="16"/>
  <c r="H246" i="16"/>
  <c r="N245" i="16"/>
  <c r="M245" i="16"/>
  <c r="L245" i="16"/>
  <c r="K245" i="16"/>
  <c r="J245" i="16"/>
  <c r="I245" i="16"/>
  <c r="H245" i="16"/>
  <c r="G245" i="16"/>
  <c r="G31" i="5"/>
  <c r="G75" i="5"/>
  <c r="B128" i="16"/>
  <c r="E149" i="16"/>
  <c r="N148" i="16"/>
  <c r="E148" i="16"/>
  <c r="N147" i="16"/>
  <c r="M147" i="16"/>
  <c r="E147" i="16"/>
  <c r="N146" i="16"/>
  <c r="M146" i="16"/>
  <c r="L146" i="16"/>
  <c r="E146" i="16"/>
  <c r="N145" i="16"/>
  <c r="M145" i="16"/>
  <c r="L145" i="16"/>
  <c r="K145" i="16"/>
  <c r="E145" i="16"/>
  <c r="N144" i="16"/>
  <c r="M144" i="16"/>
  <c r="L144" i="16"/>
  <c r="K144" i="16"/>
  <c r="J144" i="16"/>
  <c r="E144" i="16"/>
  <c r="N143" i="16"/>
  <c r="M143" i="16"/>
  <c r="L143" i="16"/>
  <c r="K143" i="16"/>
  <c r="J143" i="16"/>
  <c r="I143" i="16"/>
  <c r="E143" i="16"/>
  <c r="N142" i="16"/>
  <c r="M142" i="16"/>
  <c r="L142" i="16"/>
  <c r="K142" i="16"/>
  <c r="J142" i="16"/>
  <c r="I142" i="16"/>
  <c r="H142" i="16"/>
  <c r="E142" i="16"/>
  <c r="N141" i="16"/>
  <c r="M141" i="16"/>
  <c r="L141" i="16"/>
  <c r="K141" i="16"/>
  <c r="J141" i="16"/>
  <c r="I141" i="16"/>
  <c r="H141" i="16"/>
  <c r="G141" i="16"/>
  <c r="N132" i="16"/>
  <c r="N131" i="16"/>
  <c r="M131" i="16"/>
  <c r="B133" i="16"/>
  <c r="B132" i="16"/>
  <c r="N130" i="16"/>
  <c r="M130" i="16"/>
  <c r="L130" i="16"/>
  <c r="N129" i="16"/>
  <c r="M129" i="16"/>
  <c r="L129" i="16"/>
  <c r="K129" i="16"/>
  <c r="B131" i="16"/>
  <c r="B130" i="16"/>
  <c r="N128" i="16"/>
  <c r="M128" i="16"/>
  <c r="L128" i="16"/>
  <c r="K128" i="16"/>
  <c r="J128" i="16"/>
  <c r="N127" i="16"/>
  <c r="M127" i="16"/>
  <c r="L127" i="16"/>
  <c r="K127" i="16"/>
  <c r="J127" i="16"/>
  <c r="I127" i="16"/>
  <c r="B129" i="16"/>
  <c r="N126" i="16"/>
  <c r="M126" i="16"/>
  <c r="L126" i="16"/>
  <c r="K126" i="16"/>
  <c r="J126" i="16"/>
  <c r="I126" i="16"/>
  <c r="H126" i="16"/>
  <c r="N125" i="16"/>
  <c r="M125" i="16"/>
  <c r="L125" i="16"/>
  <c r="K125" i="16"/>
  <c r="J125" i="16"/>
  <c r="I125" i="16"/>
  <c r="H125" i="16"/>
  <c r="G125" i="16"/>
  <c r="N108" i="16"/>
  <c r="E108" i="16"/>
  <c r="N107" i="16"/>
  <c r="M107" i="16"/>
  <c r="E107" i="16"/>
  <c r="N106" i="16"/>
  <c r="M106" i="16"/>
  <c r="L106" i="16"/>
  <c r="E106" i="16"/>
  <c r="N105" i="16"/>
  <c r="M105" i="16"/>
  <c r="L105" i="16"/>
  <c r="K105" i="16"/>
  <c r="E105" i="16"/>
  <c r="N104" i="16"/>
  <c r="M104" i="16"/>
  <c r="L104" i="16"/>
  <c r="K104" i="16"/>
  <c r="J104" i="16"/>
  <c r="E104" i="16"/>
  <c r="N103" i="16"/>
  <c r="M103" i="16"/>
  <c r="L103" i="16"/>
  <c r="K103" i="16"/>
  <c r="J103" i="16"/>
  <c r="I103" i="16"/>
  <c r="E103" i="16"/>
  <c r="N102" i="16"/>
  <c r="M102" i="16"/>
  <c r="L102" i="16"/>
  <c r="K102" i="16"/>
  <c r="J102" i="16"/>
  <c r="I102" i="16"/>
  <c r="H102" i="16"/>
  <c r="E102" i="16"/>
  <c r="N101" i="16"/>
  <c r="M101" i="16"/>
  <c r="L101" i="16"/>
  <c r="K101" i="16"/>
  <c r="J101" i="16"/>
  <c r="I101" i="16"/>
  <c r="H101" i="16"/>
  <c r="G101" i="16"/>
  <c r="B135" i="16"/>
  <c r="B134" i="16"/>
  <c r="E109" i="16"/>
  <c r="B95" i="16"/>
  <c r="B94" i="16"/>
  <c r="N92" i="16"/>
  <c r="B93" i="16"/>
  <c r="N91" i="16"/>
  <c r="M91" i="16"/>
  <c r="B92" i="16"/>
  <c r="N90" i="16"/>
  <c r="M90" i="16"/>
  <c r="L90" i="16"/>
  <c r="B91" i="16"/>
  <c r="N89" i="16"/>
  <c r="M89" i="16"/>
  <c r="L89" i="16"/>
  <c r="K89" i="16"/>
  <c r="B90" i="16"/>
  <c r="N88" i="16"/>
  <c r="M88" i="16"/>
  <c r="L88" i="16"/>
  <c r="K88" i="16"/>
  <c r="J88" i="16"/>
  <c r="B89" i="16"/>
  <c r="N87" i="16"/>
  <c r="M87" i="16"/>
  <c r="L87" i="16"/>
  <c r="K87" i="16"/>
  <c r="J87" i="16"/>
  <c r="I87" i="16"/>
  <c r="N86" i="16"/>
  <c r="M86" i="16"/>
  <c r="L86" i="16"/>
  <c r="K86" i="16"/>
  <c r="J86" i="16"/>
  <c r="I86" i="16"/>
  <c r="H86" i="16"/>
  <c r="N85" i="16"/>
  <c r="M85" i="16"/>
  <c r="L85" i="16"/>
  <c r="K85" i="16"/>
  <c r="J85" i="16"/>
  <c r="I85" i="16"/>
  <c r="H85" i="16"/>
  <c r="G85" i="16"/>
  <c r="M31" i="5"/>
  <c r="M75" i="5"/>
  <c r="L31" i="5"/>
  <c r="L75" i="5"/>
  <c r="L76" i="5"/>
  <c r="I31" i="5"/>
  <c r="I75" i="5"/>
  <c r="H31" i="5"/>
  <c r="H75" i="5"/>
  <c r="H76" i="5"/>
  <c r="E31" i="5"/>
  <c r="D31" i="5"/>
  <c r="C31" i="5"/>
  <c r="B31" i="5"/>
  <c r="M32" i="5"/>
  <c r="M30" i="5"/>
  <c r="L32" i="5"/>
  <c r="L30" i="5"/>
  <c r="K32" i="5"/>
  <c r="K30" i="5"/>
  <c r="J32" i="5"/>
  <c r="J30" i="5"/>
  <c r="I32" i="5"/>
  <c r="I30" i="5"/>
  <c r="H32" i="5"/>
  <c r="H30" i="5"/>
  <c r="E32" i="5"/>
  <c r="E30" i="5"/>
  <c r="D32" i="5"/>
  <c r="D30" i="5"/>
  <c r="C32" i="5"/>
  <c r="C30" i="5"/>
  <c r="B32" i="5"/>
  <c r="B30" i="5"/>
  <c r="B368" i="16"/>
  <c r="B369" i="16"/>
  <c r="B370" i="16"/>
  <c r="B371" i="16"/>
  <c r="B372" i="16"/>
  <c r="B373" i="16"/>
  <c r="B374" i="16"/>
  <c r="B375" i="16"/>
  <c r="E382" i="16"/>
  <c r="E383" i="16"/>
  <c r="E384" i="16"/>
  <c r="E385" i="16"/>
  <c r="E386" i="16"/>
  <c r="E387" i="16"/>
  <c r="E388" i="16"/>
  <c r="E389" i="16"/>
  <c r="G381" i="16"/>
  <c r="G365" i="16"/>
  <c r="H381" i="16"/>
  <c r="H382" i="16"/>
  <c r="H365" i="16"/>
  <c r="H366" i="16"/>
  <c r="I381" i="16"/>
  <c r="I382" i="16"/>
  <c r="I383" i="16"/>
  <c r="I365" i="16"/>
  <c r="I366" i="16"/>
  <c r="I367" i="16"/>
  <c r="J381" i="16"/>
  <c r="J382" i="16"/>
  <c r="J383" i="16"/>
  <c r="J384" i="16"/>
  <c r="J365" i="16"/>
  <c r="J366" i="16"/>
  <c r="J367" i="16"/>
  <c r="J368" i="16"/>
  <c r="K381" i="16"/>
  <c r="K382" i="16"/>
  <c r="K383" i="16"/>
  <c r="K384" i="16"/>
  <c r="K385" i="16"/>
  <c r="K365" i="16"/>
  <c r="K366" i="16"/>
  <c r="K367" i="16"/>
  <c r="K368" i="16"/>
  <c r="K369" i="16"/>
  <c r="L381" i="16"/>
  <c r="L382" i="16"/>
  <c r="L383" i="16"/>
  <c r="L384" i="16"/>
  <c r="L385" i="16"/>
  <c r="L386" i="16"/>
  <c r="L365" i="16"/>
  <c r="L366" i="16"/>
  <c r="L367" i="16"/>
  <c r="L368" i="16"/>
  <c r="L369" i="16"/>
  <c r="L370" i="16"/>
  <c r="M381" i="16"/>
  <c r="M382" i="16"/>
  <c r="M383" i="16"/>
  <c r="M384" i="16"/>
  <c r="M385" i="16"/>
  <c r="M386" i="16"/>
  <c r="M387" i="16"/>
  <c r="M365" i="16"/>
  <c r="M366" i="16"/>
  <c r="M367" i="16"/>
  <c r="M368" i="16"/>
  <c r="M369" i="16"/>
  <c r="M370" i="16"/>
  <c r="M371" i="16"/>
  <c r="N381" i="16"/>
  <c r="N382" i="16"/>
  <c r="N383" i="16"/>
  <c r="N384" i="16"/>
  <c r="N385" i="16"/>
  <c r="N386" i="16"/>
  <c r="N387" i="16"/>
  <c r="N388" i="16"/>
  <c r="N365" i="16"/>
  <c r="N366" i="16"/>
  <c r="N367" i="16"/>
  <c r="N368" i="16"/>
  <c r="N369" i="16"/>
  <c r="N370" i="16"/>
  <c r="N371" i="16"/>
  <c r="N372" i="16"/>
  <c r="B328" i="16"/>
  <c r="B329" i="16"/>
  <c r="B330" i="16"/>
  <c r="B331" i="16"/>
  <c r="B332" i="16"/>
  <c r="B333" i="16"/>
  <c r="B334" i="16"/>
  <c r="B335" i="16"/>
  <c r="E342" i="16"/>
  <c r="E343" i="16"/>
  <c r="E344" i="16"/>
  <c r="E345" i="16"/>
  <c r="E346" i="16"/>
  <c r="E347" i="16"/>
  <c r="E348" i="16"/>
  <c r="E349" i="16"/>
  <c r="G341" i="16"/>
  <c r="G325" i="16"/>
  <c r="H341" i="16"/>
  <c r="H342" i="16"/>
  <c r="H325" i="16"/>
  <c r="H326" i="16"/>
  <c r="I341" i="16"/>
  <c r="I342" i="16"/>
  <c r="I343" i="16"/>
  <c r="I325" i="16"/>
  <c r="I326" i="16"/>
  <c r="I327" i="16"/>
  <c r="J341" i="16"/>
  <c r="J342" i="16"/>
  <c r="J343" i="16"/>
  <c r="J344" i="16"/>
  <c r="J325" i="16"/>
  <c r="J326" i="16"/>
  <c r="J327" i="16"/>
  <c r="J328" i="16"/>
  <c r="K341" i="16"/>
  <c r="K342" i="16"/>
  <c r="K343" i="16"/>
  <c r="K344" i="16"/>
  <c r="K345" i="16"/>
  <c r="K325" i="16"/>
  <c r="K326" i="16"/>
  <c r="K327" i="16"/>
  <c r="K328" i="16"/>
  <c r="K329" i="16"/>
  <c r="L341" i="16"/>
  <c r="L342" i="16"/>
  <c r="L343" i="16"/>
  <c r="L344" i="16"/>
  <c r="L345" i="16"/>
  <c r="L346" i="16"/>
  <c r="L325" i="16"/>
  <c r="L326" i="16"/>
  <c r="L327" i="16"/>
  <c r="L328" i="16"/>
  <c r="L329" i="16"/>
  <c r="L330" i="16"/>
  <c r="M341" i="16"/>
  <c r="M342" i="16"/>
  <c r="M343" i="16"/>
  <c r="M344" i="16"/>
  <c r="M345" i="16"/>
  <c r="M346" i="16"/>
  <c r="M347" i="16"/>
  <c r="M325" i="16"/>
  <c r="M326" i="16"/>
  <c r="M327" i="16"/>
  <c r="M328" i="16"/>
  <c r="M329" i="16"/>
  <c r="M330" i="16"/>
  <c r="M331" i="16"/>
  <c r="N341" i="16"/>
  <c r="N342" i="16"/>
  <c r="N343" i="16"/>
  <c r="N344" i="16"/>
  <c r="N345" i="16"/>
  <c r="N346" i="16"/>
  <c r="N347" i="16"/>
  <c r="N348" i="16"/>
  <c r="N325" i="16"/>
  <c r="N326" i="16"/>
  <c r="N327" i="16"/>
  <c r="N328" i="16"/>
  <c r="N329" i="16"/>
  <c r="N330" i="16"/>
  <c r="N331" i="16"/>
  <c r="N332" i="16"/>
  <c r="B208" i="16"/>
  <c r="B209" i="16"/>
  <c r="B210" i="16"/>
  <c r="B211" i="16"/>
  <c r="B212" i="16"/>
  <c r="B213" i="16"/>
  <c r="B214" i="16"/>
  <c r="B215" i="16"/>
  <c r="E222" i="16"/>
  <c r="E223" i="16"/>
  <c r="E224" i="16"/>
  <c r="E225" i="16"/>
  <c r="E226" i="16"/>
  <c r="E227" i="16"/>
  <c r="E228" i="16"/>
  <c r="E229" i="16"/>
  <c r="G221" i="16"/>
  <c r="G205" i="16"/>
  <c r="H221" i="16"/>
  <c r="H222" i="16"/>
  <c r="H205" i="16"/>
  <c r="H206" i="16"/>
  <c r="I221" i="16"/>
  <c r="I222" i="16"/>
  <c r="I223" i="16"/>
  <c r="I205" i="16"/>
  <c r="I206" i="16"/>
  <c r="I207" i="16"/>
  <c r="J221" i="16"/>
  <c r="J222" i="16"/>
  <c r="J223" i="16"/>
  <c r="J224" i="16"/>
  <c r="J205" i="16"/>
  <c r="J206" i="16"/>
  <c r="J207" i="16"/>
  <c r="J208" i="16"/>
  <c r="K221" i="16"/>
  <c r="K222" i="16"/>
  <c r="K223" i="16"/>
  <c r="K224" i="16"/>
  <c r="K225" i="16"/>
  <c r="K205" i="16"/>
  <c r="K206" i="16"/>
  <c r="K207" i="16"/>
  <c r="K208" i="16"/>
  <c r="K209" i="16"/>
  <c r="L221" i="16"/>
  <c r="L222" i="16"/>
  <c r="L223" i="16"/>
  <c r="L224" i="16"/>
  <c r="L225" i="16"/>
  <c r="L226" i="16"/>
  <c r="L205" i="16"/>
  <c r="L206" i="16"/>
  <c r="L207" i="16"/>
  <c r="L208" i="16"/>
  <c r="L209" i="16"/>
  <c r="L210" i="16"/>
  <c r="M221" i="16"/>
  <c r="M222" i="16"/>
  <c r="M223" i="16"/>
  <c r="M224" i="16"/>
  <c r="M225" i="16"/>
  <c r="M226" i="16"/>
  <c r="M227" i="16"/>
  <c r="M205" i="16"/>
  <c r="M206" i="16"/>
  <c r="M207" i="16"/>
  <c r="M208" i="16"/>
  <c r="M209" i="16"/>
  <c r="M210" i="16"/>
  <c r="M211" i="16"/>
  <c r="N221" i="16"/>
  <c r="N222" i="16"/>
  <c r="N223" i="16"/>
  <c r="N224" i="16"/>
  <c r="N225" i="16"/>
  <c r="N226" i="16"/>
  <c r="N227" i="16"/>
  <c r="N228" i="16"/>
  <c r="N205" i="16"/>
  <c r="N206" i="16"/>
  <c r="N207" i="16"/>
  <c r="N208" i="16"/>
  <c r="N209" i="16"/>
  <c r="N210" i="16"/>
  <c r="N211" i="16"/>
  <c r="N212" i="16"/>
  <c r="B168" i="16"/>
  <c r="B169" i="16"/>
  <c r="B170" i="16"/>
  <c r="B171" i="16"/>
  <c r="B172" i="16"/>
  <c r="B173" i="16"/>
  <c r="B174" i="16"/>
  <c r="B175" i="16"/>
  <c r="E182" i="16"/>
  <c r="E183" i="16"/>
  <c r="E184" i="16"/>
  <c r="E185" i="16"/>
  <c r="E186" i="16"/>
  <c r="E187" i="16"/>
  <c r="E188" i="16"/>
  <c r="E189" i="16"/>
  <c r="G181" i="16"/>
  <c r="G165" i="16"/>
  <c r="H181" i="16"/>
  <c r="H182" i="16"/>
  <c r="H165" i="16"/>
  <c r="H166" i="16"/>
  <c r="I181" i="16"/>
  <c r="I182" i="16"/>
  <c r="I183" i="16"/>
  <c r="I165" i="16"/>
  <c r="I166" i="16"/>
  <c r="I167" i="16"/>
  <c r="J181" i="16"/>
  <c r="J182" i="16"/>
  <c r="J183" i="16"/>
  <c r="J184" i="16"/>
  <c r="J165" i="16"/>
  <c r="J166" i="16"/>
  <c r="J167" i="16"/>
  <c r="J168" i="16"/>
  <c r="K181" i="16"/>
  <c r="K182" i="16"/>
  <c r="K183" i="16"/>
  <c r="K184" i="16"/>
  <c r="K185" i="16"/>
  <c r="K165" i="16"/>
  <c r="K166" i="16"/>
  <c r="K167" i="16"/>
  <c r="K168" i="16"/>
  <c r="K169" i="16"/>
  <c r="L181" i="16"/>
  <c r="L182" i="16"/>
  <c r="L183" i="16"/>
  <c r="L184" i="16"/>
  <c r="L185" i="16"/>
  <c r="L186" i="16"/>
  <c r="L165" i="16"/>
  <c r="L166" i="16"/>
  <c r="L167" i="16"/>
  <c r="L168" i="16"/>
  <c r="L169" i="16"/>
  <c r="L170" i="16"/>
  <c r="M181" i="16"/>
  <c r="M182" i="16"/>
  <c r="M183" i="16"/>
  <c r="M184" i="16"/>
  <c r="M185" i="16"/>
  <c r="M186" i="16"/>
  <c r="M187" i="16"/>
  <c r="M165" i="16"/>
  <c r="M166" i="16"/>
  <c r="M167" i="16"/>
  <c r="M168" i="16"/>
  <c r="M169" i="16"/>
  <c r="M170" i="16"/>
  <c r="M171" i="16"/>
  <c r="N181" i="16"/>
  <c r="N182" i="16"/>
  <c r="N183" i="16"/>
  <c r="N184" i="16"/>
  <c r="N185" i="16"/>
  <c r="N186" i="16"/>
  <c r="N187" i="16"/>
  <c r="N188" i="16"/>
  <c r="N165" i="16"/>
  <c r="N166" i="16"/>
  <c r="N167" i="16"/>
  <c r="N168" i="16"/>
  <c r="N169" i="16"/>
  <c r="N170" i="16"/>
  <c r="N171" i="16"/>
  <c r="N172" i="16"/>
  <c r="L70" i="5"/>
  <c r="J70" i="5"/>
  <c r="F70" i="5"/>
  <c r="H70" i="5"/>
  <c r="N11" i="1"/>
  <c r="L6" i="5" s="1"/>
  <c r="N12" i="1"/>
  <c r="L5" i="5" s="1"/>
  <c r="N14" i="1"/>
  <c r="L8" i="5" s="1"/>
  <c r="D70" i="5"/>
  <c r="N5" i="1"/>
  <c r="N13" i="1"/>
  <c r="L7" i="5" s="1"/>
  <c r="K12" i="18"/>
  <c r="E58" i="5"/>
  <c r="K545" i="18"/>
  <c r="G168" i="5"/>
  <c r="G170" i="5" s="1"/>
  <c r="K155" i="5"/>
  <c r="K173" i="5" s="1"/>
  <c r="K168" i="5"/>
  <c r="K170" i="5" s="1"/>
  <c r="C6" i="5"/>
  <c r="M168" i="5"/>
  <c r="M170" i="5" s="1"/>
  <c r="I168" i="5"/>
  <c r="I170" i="5" s="1"/>
  <c r="L168" i="5"/>
  <c r="L170" i="5" s="1"/>
  <c r="H168" i="5"/>
  <c r="H170" i="5" s="1"/>
  <c r="V42" i="2"/>
  <c r="B70" i="5"/>
  <c r="B383" i="16"/>
  <c r="B382" i="16"/>
  <c r="B381" i="16"/>
  <c r="B380" i="16"/>
  <c r="B379" i="16"/>
  <c r="B378" i="16"/>
  <c r="B377" i="16"/>
  <c r="B376" i="16"/>
  <c r="B303" i="16"/>
  <c r="B302" i="16"/>
  <c r="B301" i="16"/>
  <c r="B300" i="16"/>
  <c r="B299" i="16"/>
  <c r="B298" i="16"/>
  <c r="B297" i="16"/>
  <c r="B296" i="16"/>
  <c r="B223" i="16"/>
  <c r="B222" i="16"/>
  <c r="B221" i="16"/>
  <c r="B220" i="16"/>
  <c r="B219" i="16"/>
  <c r="B218" i="16"/>
  <c r="B217" i="16"/>
  <c r="B216" i="16"/>
  <c r="B143" i="16"/>
  <c r="B142" i="16"/>
  <c r="B141" i="16"/>
  <c r="B140" i="16"/>
  <c r="B139" i="16"/>
  <c r="B138" i="16"/>
  <c r="B137" i="16"/>
  <c r="B136" i="16"/>
  <c r="B343" i="16"/>
  <c r="B342" i="16"/>
  <c r="B341" i="16"/>
  <c r="B340" i="16"/>
  <c r="B339" i="16"/>
  <c r="B338" i="16"/>
  <c r="B337" i="16"/>
  <c r="B336" i="16"/>
  <c r="B263" i="16"/>
  <c r="B262" i="16"/>
  <c r="B261" i="16"/>
  <c r="B260" i="16"/>
  <c r="B259" i="16"/>
  <c r="B258" i="16"/>
  <c r="B257" i="16"/>
  <c r="B256" i="16"/>
  <c r="B183" i="16"/>
  <c r="B182" i="16"/>
  <c r="B181" i="16"/>
  <c r="B180" i="16"/>
  <c r="B179" i="16"/>
  <c r="B178" i="16"/>
  <c r="B177" i="16"/>
  <c r="B176" i="16"/>
  <c r="B103" i="16"/>
  <c r="B102" i="16"/>
  <c r="B101" i="16"/>
  <c r="B100" i="16"/>
  <c r="B99" i="16"/>
  <c r="B98" i="16"/>
  <c r="B97" i="16"/>
  <c r="B96" i="16"/>
  <c r="E381" i="16"/>
  <c r="E341" i="16"/>
  <c r="E301" i="16"/>
  <c r="E261" i="16"/>
  <c r="E221" i="16"/>
  <c r="E181" i="16"/>
  <c r="E141" i="16"/>
  <c r="E101" i="16"/>
  <c r="E61" i="16"/>
  <c r="E21" i="16"/>
  <c r="H15" i="5"/>
  <c r="C146" i="5"/>
  <c r="G15" i="5"/>
  <c r="B146" i="5"/>
  <c r="C145" i="5"/>
  <c r="B145" i="5"/>
  <c r="C144" i="5"/>
  <c r="B144" i="5"/>
  <c r="G19" i="5"/>
  <c r="G20" i="5"/>
  <c r="G21" i="5"/>
  <c r="Q52" i="5"/>
  <c r="R52" i="5"/>
  <c r="H19" i="5"/>
  <c r="H20" i="5"/>
  <c r="H21" i="5"/>
  <c r="C5" i="5"/>
  <c r="G26" i="1"/>
  <c r="Q8" i="18"/>
  <c r="Q11" i="18"/>
  <c r="Q541" i="18"/>
  <c r="Q544" i="18"/>
  <c r="I39" i="13"/>
  <c r="J39" i="13"/>
  <c r="I40" i="13"/>
  <c r="J40" i="13"/>
  <c r="I41" i="13"/>
  <c r="J41" i="13"/>
  <c r="I42" i="13"/>
  <c r="J42" i="13"/>
  <c r="I43" i="13"/>
  <c r="J43" i="13"/>
  <c r="I44" i="13"/>
  <c r="J44" i="13"/>
  <c r="I45" i="13"/>
  <c r="J45" i="13"/>
  <c r="B16" i="16"/>
  <c r="B17" i="16"/>
  <c r="B18" i="16"/>
  <c r="B19" i="16"/>
  <c r="B20" i="16"/>
  <c r="B21" i="16"/>
  <c r="B22" i="16"/>
  <c r="B23" i="16"/>
  <c r="B56" i="16"/>
  <c r="B57" i="16"/>
  <c r="B58" i="16"/>
  <c r="B59" i="16"/>
  <c r="B60" i="16"/>
  <c r="B61" i="16"/>
  <c r="B62" i="16"/>
  <c r="B63" i="16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9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3" i="4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9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3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9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D60" i="1"/>
  <c r="C4" i="1"/>
  <c r="C5" i="1"/>
  <c r="C6" i="1"/>
  <c r="C7" i="1"/>
  <c r="C11" i="1"/>
  <c r="C12" i="1"/>
  <c r="C14" i="1"/>
  <c r="C17" i="1"/>
  <c r="C18" i="1"/>
  <c r="B32" i="1"/>
  <c r="C32" i="1"/>
  <c r="U147" i="12"/>
  <c r="O147" i="12"/>
  <c r="G39" i="5"/>
  <c r="P147" i="12"/>
  <c r="N149" i="12"/>
  <c r="N147" i="12"/>
  <c r="P150" i="12"/>
  <c r="F39" i="5"/>
  <c r="Q150" i="12"/>
  <c r="U145" i="12"/>
  <c r="Q146" i="12"/>
  <c r="Q149" i="12"/>
  <c r="D44" i="5"/>
  <c r="U149" i="12"/>
  <c r="P144" i="12"/>
  <c r="T150" i="12"/>
  <c r="O145" i="12"/>
  <c r="N146" i="12"/>
  <c r="O148" i="12"/>
  <c r="O149" i="12"/>
  <c r="G44" i="5"/>
  <c r="T145" i="12"/>
  <c r="P149" i="12"/>
  <c r="Q145" i="12"/>
  <c r="O146" i="12"/>
  <c r="P146" i="12"/>
  <c r="T146" i="12"/>
  <c r="N148" i="12"/>
  <c r="O144" i="12"/>
  <c r="T147" i="12"/>
  <c r="T149" i="12"/>
  <c r="E39" i="5"/>
  <c r="K39" i="5"/>
  <c r="P148" i="12"/>
  <c r="N144" i="12"/>
  <c r="T144" i="12"/>
  <c r="O150" i="12"/>
  <c r="U144" i="12"/>
  <c r="U148" i="12"/>
  <c r="Q147" i="12"/>
  <c r="F44" i="5"/>
  <c r="K44" i="5"/>
  <c r="N145" i="12"/>
  <c r="N150" i="12"/>
  <c r="T148" i="12"/>
  <c r="Q148" i="12"/>
  <c r="D39" i="5"/>
  <c r="U150" i="12"/>
  <c r="J39" i="5"/>
  <c r="E44" i="5"/>
  <c r="J44" i="5"/>
  <c r="Q144" i="12"/>
  <c r="U146" i="12"/>
  <c r="P145" i="12"/>
  <c r="I535" i="18" l="1"/>
  <c r="I70" i="5"/>
  <c r="G82" i="5"/>
  <c r="K82" i="5"/>
  <c r="M70" i="5"/>
  <c r="M147" i="5"/>
  <c r="K147" i="5"/>
  <c r="I147" i="5"/>
  <c r="G147" i="5"/>
  <c r="E147" i="5"/>
  <c r="B147" i="5"/>
  <c r="L147" i="5"/>
  <c r="J147" i="5"/>
  <c r="H147" i="5"/>
  <c r="F147" i="5"/>
  <c r="D147" i="5"/>
  <c r="C147" i="5"/>
  <c r="J82" i="5"/>
  <c r="F82" i="5"/>
  <c r="M148" i="5"/>
  <c r="I148" i="5"/>
  <c r="E148" i="5"/>
  <c r="L148" i="5"/>
  <c r="H148" i="5"/>
  <c r="D148" i="5"/>
  <c r="K148" i="5"/>
  <c r="G148" i="5"/>
  <c r="C148" i="5"/>
  <c r="J148" i="5"/>
  <c r="F148" i="5"/>
  <c r="B148" i="5"/>
  <c r="E4" i="5"/>
  <c r="B13" i="5"/>
  <c r="D15" i="5"/>
  <c r="C15" i="5"/>
  <c r="D17" i="5"/>
  <c r="D16" i="5"/>
  <c r="C23" i="5"/>
  <c r="C17" i="5"/>
  <c r="C16" i="5"/>
  <c r="C21" i="5"/>
  <c r="E9" i="5"/>
  <c r="G3" i="5"/>
  <c r="G4" i="5"/>
  <c r="C22" i="5"/>
  <c r="C18" i="5"/>
  <c r="C14" i="5"/>
  <c r="F10" i="5"/>
  <c r="D22" i="5"/>
  <c r="D18" i="5"/>
  <c r="D13" i="5"/>
  <c r="D14" i="5"/>
  <c r="G5" i="5"/>
  <c r="G6" i="5"/>
  <c r="D23" i="5"/>
  <c r="D21" i="5"/>
  <c r="F9" i="5"/>
  <c r="E10" i="5"/>
  <c r="C13" i="5"/>
  <c r="N7" i="1"/>
  <c r="M3" i="5" s="1"/>
  <c r="L4" i="5"/>
  <c r="N10" i="1"/>
  <c r="M4" i="5" s="1"/>
  <c r="E71" i="5"/>
  <c r="B15" i="5"/>
  <c r="I3" i="18"/>
  <c r="K3" i="18" s="1"/>
  <c r="N4" i="5"/>
  <c r="C70" i="5"/>
  <c r="E70" i="5"/>
  <c r="G70" i="5"/>
  <c r="K70" i="5"/>
  <c r="I76" i="5"/>
  <c r="M76" i="5"/>
  <c r="G76" i="5"/>
  <c r="K76" i="5"/>
  <c r="E76" i="5"/>
  <c r="B165" i="5"/>
  <c r="C165" i="5"/>
  <c r="C74" i="5"/>
  <c r="B27" i="3"/>
  <c r="L3" i="5"/>
  <c r="N3" i="5"/>
  <c r="U4" i="4"/>
  <c r="K538" i="18"/>
  <c r="L538" i="18"/>
  <c r="K535" i="18"/>
  <c r="J538" i="18"/>
  <c r="D10" i="5"/>
  <c r="E6" i="5"/>
  <c r="B10" i="5"/>
  <c r="H49" i="13"/>
  <c r="H52" i="13" s="1"/>
  <c r="E49" i="13"/>
  <c r="E53" i="13" s="1"/>
  <c r="C49" i="13"/>
  <c r="C50" i="13" s="1"/>
  <c r="Q55" i="5"/>
  <c r="Q60" i="5"/>
  <c r="R59" i="5"/>
  <c r="R60" i="5"/>
  <c r="I49" i="13"/>
  <c r="I53" i="13" s="1"/>
  <c r="G69" i="13"/>
  <c r="G70" i="13" s="1"/>
  <c r="F49" i="13"/>
  <c r="F50" i="13" s="1"/>
  <c r="R55" i="5"/>
  <c r="B49" i="13"/>
  <c r="B50" i="13" s="1"/>
  <c r="R53" i="5"/>
  <c r="B9" i="5"/>
  <c r="R56" i="5"/>
  <c r="G49" i="13"/>
  <c r="G50" i="13" s="1"/>
  <c r="U3" i="3"/>
  <c r="U3" i="4"/>
  <c r="U4" i="3"/>
  <c r="E70" i="16"/>
  <c r="R54" i="5"/>
  <c r="M74" i="5"/>
  <c r="E190" i="16"/>
  <c r="H9" i="5"/>
  <c r="G17" i="5"/>
  <c r="E110" i="16"/>
  <c r="H10" i="5"/>
  <c r="R61" i="5"/>
  <c r="E270" i="16"/>
  <c r="E71" i="13"/>
  <c r="E70" i="13"/>
  <c r="B18" i="5"/>
  <c r="D69" i="13"/>
  <c r="D71" i="13" s="1"/>
  <c r="E72" i="13"/>
  <c r="B78" i="13"/>
  <c r="E150" i="16"/>
  <c r="D189" i="5"/>
  <c r="J541" i="18"/>
  <c r="D9" i="5"/>
  <c r="E230" i="16"/>
  <c r="H74" i="5"/>
  <c r="I71" i="5"/>
  <c r="F71" i="5"/>
  <c r="K71" i="5"/>
  <c r="I74" i="5"/>
  <c r="F74" i="5"/>
  <c r="K74" i="5"/>
  <c r="D71" i="5"/>
  <c r="E390" i="16"/>
  <c r="G71" i="5"/>
  <c r="J71" i="5"/>
  <c r="D74" i="5"/>
  <c r="B71" i="5"/>
  <c r="E350" i="16"/>
  <c r="L71" i="5"/>
  <c r="G74" i="5"/>
  <c r="J74" i="5"/>
  <c r="B74" i="5"/>
  <c r="A59" i="13"/>
  <c r="F69" i="13"/>
  <c r="F71" i="13" s="1"/>
  <c r="L74" i="5"/>
  <c r="M71" i="5"/>
  <c r="C10" i="5"/>
  <c r="B19" i="5"/>
  <c r="E189" i="5"/>
  <c r="C69" i="13"/>
  <c r="C72" i="13" s="1"/>
  <c r="C71" i="5"/>
  <c r="I69" i="13"/>
  <c r="H69" i="13"/>
  <c r="H70" i="13" s="1"/>
  <c r="B69" i="13"/>
  <c r="B70" i="13" s="1"/>
  <c r="E5" i="5"/>
  <c r="C9" i="5"/>
  <c r="H71" i="5"/>
  <c r="E3" i="5"/>
  <c r="E74" i="5"/>
  <c r="Q59" i="5"/>
  <c r="Q53" i="5"/>
  <c r="Q61" i="5"/>
  <c r="Q56" i="5"/>
  <c r="Q54" i="5"/>
  <c r="K536" i="18"/>
  <c r="E310" i="16"/>
  <c r="E30" i="16"/>
  <c r="E73" i="13"/>
  <c r="B10" i="18"/>
  <c r="B9" i="18"/>
  <c r="I2" i="18"/>
  <c r="K5" i="18"/>
  <c r="L5" i="18"/>
  <c r="J5" i="18"/>
  <c r="J8" i="18"/>
  <c r="B27" i="4"/>
  <c r="W27" i="3"/>
  <c r="W27" i="4"/>
  <c r="B543" i="18"/>
  <c r="B542" i="18"/>
  <c r="D51" i="13"/>
  <c r="D53" i="13"/>
  <c r="D52" i="13"/>
  <c r="D50" i="13"/>
  <c r="B28" i="3"/>
  <c r="H44" i="5"/>
  <c r="W149" i="12"/>
  <c r="V147" i="12"/>
  <c r="S145" i="12"/>
  <c r="V144" i="12"/>
  <c r="M44" i="5"/>
  <c r="M39" i="5"/>
  <c r="V148" i="12"/>
  <c r="R144" i="12"/>
  <c r="S144" i="12"/>
  <c r="S147" i="12"/>
  <c r="S150" i="12"/>
  <c r="W148" i="12"/>
  <c r="S149" i="12"/>
  <c r="V146" i="12"/>
  <c r="V149" i="12"/>
  <c r="R146" i="12"/>
  <c r="W145" i="12"/>
  <c r="R147" i="12"/>
  <c r="V150" i="12"/>
  <c r="R145" i="12"/>
  <c r="W150" i="12"/>
  <c r="R148" i="12"/>
  <c r="I44" i="5"/>
  <c r="H39" i="5"/>
  <c r="R149" i="12"/>
  <c r="L39" i="5"/>
  <c r="S146" i="12"/>
  <c r="W147" i="12"/>
  <c r="W146" i="12"/>
  <c r="I39" i="5"/>
  <c r="V145" i="12"/>
  <c r="S148" i="12"/>
  <c r="R150" i="12"/>
  <c r="W144" i="12"/>
  <c r="L44" i="5"/>
  <c r="L82" i="5" l="1"/>
  <c r="I82" i="5"/>
  <c r="M82" i="5"/>
  <c r="H82" i="5"/>
  <c r="E151" i="5"/>
  <c r="L151" i="5"/>
  <c r="J151" i="5"/>
  <c r="H151" i="5"/>
  <c r="F151" i="5"/>
  <c r="D151" i="5"/>
  <c r="D153" i="5" s="1"/>
  <c r="C151" i="5"/>
  <c r="B151" i="5"/>
  <c r="C51" i="13"/>
  <c r="I50" i="13"/>
  <c r="I52" i="13"/>
  <c r="C52" i="13"/>
  <c r="I51" i="13"/>
  <c r="E52" i="13"/>
  <c r="C73" i="13"/>
  <c r="E51" i="13"/>
  <c r="C53" i="13"/>
  <c r="H50" i="13"/>
  <c r="E50" i="13"/>
  <c r="F51" i="13"/>
  <c r="H53" i="13"/>
  <c r="H51" i="13"/>
  <c r="F53" i="13"/>
  <c r="B54" i="13"/>
  <c r="G72" i="13"/>
  <c r="B52" i="13"/>
  <c r="G73" i="13"/>
  <c r="G52" i="13"/>
  <c r="F52" i="13"/>
  <c r="G71" i="13"/>
  <c r="G53" i="13"/>
  <c r="G51" i="13"/>
  <c r="B51" i="13"/>
  <c r="D73" i="13"/>
  <c r="B53" i="13"/>
  <c r="F72" i="13"/>
  <c r="B72" i="13"/>
  <c r="B71" i="13"/>
  <c r="H72" i="13"/>
  <c r="H71" i="13"/>
  <c r="F73" i="13"/>
  <c r="I71" i="13"/>
  <c r="I70" i="13"/>
  <c r="D59" i="13"/>
  <c r="E59" i="13"/>
  <c r="I59" i="13"/>
  <c r="C59" i="13"/>
  <c r="H59" i="13"/>
  <c r="F59" i="13"/>
  <c r="G59" i="13"/>
  <c r="B59" i="13"/>
  <c r="I73" i="13"/>
  <c r="D70" i="13"/>
  <c r="H73" i="13"/>
  <c r="B74" i="13"/>
  <c r="B73" i="13"/>
  <c r="E75" i="13"/>
  <c r="D72" i="13"/>
  <c r="C70" i="13"/>
  <c r="C71" i="13"/>
  <c r="F70" i="13"/>
  <c r="I72" i="13"/>
  <c r="C24" i="18"/>
  <c r="C27" i="18"/>
  <c r="C18" i="18"/>
  <c r="C19" i="18"/>
  <c r="C23" i="18"/>
  <c r="C29" i="18"/>
  <c r="C38" i="18"/>
  <c r="C42" i="18"/>
  <c r="C51" i="18"/>
  <c r="C54" i="18"/>
  <c r="C20" i="18"/>
  <c r="C28" i="18"/>
  <c r="C43" i="18"/>
  <c r="C49" i="18"/>
  <c r="C56" i="18"/>
  <c r="C60" i="18"/>
  <c r="C67" i="18"/>
  <c r="C70" i="18"/>
  <c r="C74" i="18"/>
  <c r="C91" i="18"/>
  <c r="C116" i="18"/>
  <c r="C120" i="18"/>
  <c r="C131" i="18"/>
  <c r="C135" i="18"/>
  <c r="C146" i="18"/>
  <c r="C159" i="18"/>
  <c r="C176" i="18"/>
  <c r="C183" i="18"/>
  <c r="C48" i="18"/>
  <c r="C55" i="18"/>
  <c r="C63" i="18"/>
  <c r="C80" i="18"/>
  <c r="C87" i="18"/>
  <c r="C94" i="18"/>
  <c r="C98" i="18"/>
  <c r="C101" i="18"/>
  <c r="C105" i="18"/>
  <c r="C108" i="18"/>
  <c r="C112" i="18"/>
  <c r="C123" i="18"/>
  <c r="C127" i="18"/>
  <c r="C142" i="18"/>
  <c r="C152" i="18"/>
  <c r="C165" i="18"/>
  <c r="C169" i="18"/>
  <c r="C172" i="18"/>
  <c r="C179" i="18"/>
  <c r="C211" i="18"/>
  <c r="C215" i="18"/>
  <c r="C230" i="18"/>
  <c r="C234" i="18"/>
  <c r="C21" i="18"/>
  <c r="C47" i="18"/>
  <c r="C53" i="18"/>
  <c r="C69" i="18"/>
  <c r="C73" i="18"/>
  <c r="C76" i="18"/>
  <c r="C83" i="18"/>
  <c r="C115" i="18"/>
  <c r="C119" i="18"/>
  <c r="C134" i="18"/>
  <c r="C138" i="18"/>
  <c r="C148" i="18"/>
  <c r="C155" i="18"/>
  <c r="C158" i="18"/>
  <c r="C162" i="18"/>
  <c r="C175" i="18"/>
  <c r="C182" i="18"/>
  <c r="C186" i="18"/>
  <c r="C25" i="18"/>
  <c r="C26" i="18"/>
  <c r="C32" i="18"/>
  <c r="C45" i="18"/>
  <c r="C61" i="18"/>
  <c r="C65" i="18"/>
  <c r="C68" i="18"/>
  <c r="C75" i="18"/>
  <c r="C78" i="18"/>
  <c r="C82" i="18"/>
  <c r="C85" i="18"/>
  <c r="C89" i="18"/>
  <c r="C92" i="18"/>
  <c r="C96" i="18"/>
  <c r="C103" i="18"/>
  <c r="C110" i="18"/>
  <c r="C114" i="18"/>
  <c r="C125" i="18"/>
  <c r="C129" i="18"/>
  <c r="C140" i="18"/>
  <c r="C144" i="18"/>
  <c r="C147" i="18"/>
  <c r="C150" i="18"/>
  <c r="C154" i="18"/>
  <c r="C167" i="18"/>
  <c r="C72" i="18"/>
  <c r="C122" i="18"/>
  <c r="C133" i="18"/>
  <c r="C173" i="18"/>
  <c r="C184" i="18"/>
  <c r="C191" i="18"/>
  <c r="C199" i="18"/>
  <c r="C207" i="18"/>
  <c r="C208" i="18"/>
  <c r="C217" i="18"/>
  <c r="C226" i="18"/>
  <c r="C235" i="18"/>
  <c r="C245" i="18"/>
  <c r="C246" i="18"/>
  <c r="C276" i="18"/>
  <c r="C280" i="18"/>
  <c r="C287" i="18"/>
  <c r="C294" i="18"/>
  <c r="C298" i="18"/>
  <c r="C301" i="18"/>
  <c r="C305" i="18"/>
  <c r="C316" i="18"/>
  <c r="C320" i="18"/>
  <c r="C331" i="18"/>
  <c r="C335" i="18"/>
  <c r="C339" i="18"/>
  <c r="C343" i="18"/>
  <c r="C347" i="18"/>
  <c r="C351" i="18"/>
  <c r="C355" i="18"/>
  <c r="C359" i="18"/>
  <c r="C363" i="18"/>
  <c r="C367" i="18"/>
  <c r="C371" i="18"/>
  <c r="C375" i="18"/>
  <c r="C379" i="18"/>
  <c r="C383" i="18"/>
  <c r="C387" i="18"/>
  <c r="C391" i="18"/>
  <c r="C395" i="18"/>
  <c r="C399" i="18"/>
  <c r="C414" i="18"/>
  <c r="C418" i="18"/>
  <c r="C429" i="18"/>
  <c r="C433" i="18"/>
  <c r="C437" i="18"/>
  <c r="C441" i="18"/>
  <c r="C445" i="18"/>
  <c r="C449" i="18"/>
  <c r="C453" i="18"/>
  <c r="C457" i="18"/>
  <c r="C461" i="18"/>
  <c r="C465" i="18"/>
  <c r="C469" i="18"/>
  <c r="C473" i="18"/>
  <c r="C477" i="18"/>
  <c r="C481" i="18"/>
  <c r="C485" i="18"/>
  <c r="C489" i="18"/>
  <c r="C493" i="18"/>
  <c r="C497" i="18"/>
  <c r="C501" i="18"/>
  <c r="C505" i="18"/>
  <c r="C509" i="18"/>
  <c r="C513" i="18"/>
  <c r="C517" i="18"/>
  <c r="C521" i="18"/>
  <c r="C525" i="18"/>
  <c r="C529" i="18"/>
  <c r="C44" i="18"/>
  <c r="C58" i="18"/>
  <c r="C117" i="18"/>
  <c r="C136" i="18"/>
  <c r="C153" i="18"/>
  <c r="C156" i="18"/>
  <c r="C170" i="18"/>
  <c r="C187" i="18"/>
  <c r="C189" i="18"/>
  <c r="C190" i="18"/>
  <c r="C198" i="18"/>
  <c r="C206" i="18"/>
  <c r="C216" i="18"/>
  <c r="C225" i="18"/>
  <c r="C244" i="18"/>
  <c r="C253" i="18"/>
  <c r="C257" i="18"/>
  <c r="C261" i="18"/>
  <c r="C265" i="18"/>
  <c r="C269" i="18"/>
  <c r="C273" i="18"/>
  <c r="C283" i="18"/>
  <c r="C308" i="18"/>
  <c r="C312" i="18"/>
  <c r="C323" i="18"/>
  <c r="C327" i="18"/>
  <c r="C406" i="18"/>
  <c r="C410" i="18"/>
  <c r="C421" i="18"/>
  <c r="C425" i="18"/>
  <c r="C22" i="18"/>
  <c r="C34" i="18"/>
  <c r="C36" i="18"/>
  <c r="C40" i="18"/>
  <c r="C64" i="18"/>
  <c r="C81" i="18"/>
  <c r="C84" i="18"/>
  <c r="C95" i="18"/>
  <c r="C106" i="18"/>
  <c r="C109" i="18"/>
  <c r="C128" i="18"/>
  <c r="C139" i="18"/>
  <c r="C151" i="18"/>
  <c r="C168" i="18"/>
  <c r="C188" i="18"/>
  <c r="C196" i="18"/>
  <c r="C197" i="18"/>
  <c r="C205" i="18"/>
  <c r="C214" i="18"/>
  <c r="C224" i="18"/>
  <c r="C233" i="18"/>
  <c r="C243" i="18"/>
  <c r="C279" i="18"/>
  <c r="C286" i="18"/>
  <c r="C290" i="18"/>
  <c r="C293" i="18"/>
  <c r="C297" i="18"/>
  <c r="C300" i="18"/>
  <c r="C304" i="18"/>
  <c r="C315" i="18"/>
  <c r="C319" i="18"/>
  <c r="C334" i="18"/>
  <c r="C338" i="18"/>
  <c r="C342" i="18"/>
  <c r="C346" i="18"/>
  <c r="C350" i="18"/>
  <c r="C354" i="18"/>
  <c r="C358" i="18"/>
  <c r="C362" i="18"/>
  <c r="C366" i="18"/>
  <c r="C370" i="18"/>
  <c r="C374" i="18"/>
  <c r="C378" i="18"/>
  <c r="C382" i="18"/>
  <c r="C386" i="18"/>
  <c r="C390" i="18"/>
  <c r="C394" i="18"/>
  <c r="C398" i="18"/>
  <c r="C402" i="18"/>
  <c r="C413" i="18"/>
  <c r="C417" i="18"/>
  <c r="C428" i="18"/>
  <c r="C432" i="18"/>
  <c r="C436" i="18"/>
  <c r="C440" i="18"/>
  <c r="C444" i="18"/>
  <c r="C448" i="18"/>
  <c r="C452" i="18"/>
  <c r="C456" i="18"/>
  <c r="C460" i="18"/>
  <c r="C464" i="18"/>
  <c r="C468" i="18"/>
  <c r="C472" i="18"/>
  <c r="C476" i="18"/>
  <c r="C480" i="18"/>
  <c r="C484" i="18"/>
  <c r="C488" i="18"/>
  <c r="C492" i="18"/>
  <c r="C496" i="18"/>
  <c r="C500" i="18"/>
  <c r="C504" i="18"/>
  <c r="C508" i="18"/>
  <c r="C512" i="18"/>
  <c r="C516" i="18"/>
  <c r="C520" i="18"/>
  <c r="C524" i="18"/>
  <c r="C528" i="18"/>
  <c r="C35" i="18"/>
  <c r="C37" i="18"/>
  <c r="C71" i="18"/>
  <c r="C99" i="18"/>
  <c r="C121" i="18"/>
  <c r="C132" i="18"/>
  <c r="C149" i="18"/>
  <c r="C163" i="18"/>
  <c r="C166" i="18"/>
  <c r="C220" i="18"/>
  <c r="C229" i="18"/>
  <c r="C239" i="18"/>
  <c r="C249" i="18"/>
  <c r="C250" i="18"/>
  <c r="C255" i="18"/>
  <c r="C259" i="18"/>
  <c r="C263" i="18"/>
  <c r="C267" i="18"/>
  <c r="C271" i="18"/>
  <c r="C299" i="18"/>
  <c r="C310" i="18"/>
  <c r="C314" i="18"/>
  <c r="C325" i="18"/>
  <c r="C329" i="18"/>
  <c r="C404" i="18"/>
  <c r="C408" i="18"/>
  <c r="C419" i="18"/>
  <c r="C423" i="18"/>
  <c r="C79" i="18"/>
  <c r="C104" i="18"/>
  <c r="C126" i="18"/>
  <c r="C145" i="18"/>
  <c r="C157" i="18"/>
  <c r="C185" i="18"/>
  <c r="C204" i="18"/>
  <c r="C213" i="18"/>
  <c r="C222" i="18"/>
  <c r="C242" i="18"/>
  <c r="C256" i="18"/>
  <c r="C264" i="18"/>
  <c r="C272" i="18"/>
  <c r="C275" i="18"/>
  <c r="C311" i="18"/>
  <c r="C330" i="18"/>
  <c r="C405" i="18"/>
  <c r="C424" i="18"/>
  <c r="C31" i="18"/>
  <c r="C107" i="18"/>
  <c r="C160" i="18"/>
  <c r="C195" i="18"/>
  <c r="C231" i="18"/>
  <c r="C240" i="18"/>
  <c r="C251" i="18"/>
  <c r="C278" i="18"/>
  <c r="C289" i="18"/>
  <c r="C292" i="18"/>
  <c r="C303" i="18"/>
  <c r="C322" i="18"/>
  <c r="C333" i="18"/>
  <c r="C341" i="18"/>
  <c r="C349" i="18"/>
  <c r="C357" i="18"/>
  <c r="C365" i="18"/>
  <c r="C373" i="18"/>
  <c r="C381" i="18"/>
  <c r="C389" i="18"/>
  <c r="C397" i="18"/>
  <c r="C416" i="18"/>
  <c r="C427" i="18"/>
  <c r="C435" i="18"/>
  <c r="C443" i="18"/>
  <c r="C451" i="18"/>
  <c r="C459" i="18"/>
  <c r="C467" i="18"/>
  <c r="C475" i="18"/>
  <c r="C483" i="18"/>
  <c r="C491" i="18"/>
  <c r="C499" i="18"/>
  <c r="C507" i="18"/>
  <c r="C515" i="18"/>
  <c r="C523" i="18"/>
  <c r="C39" i="18"/>
  <c r="C50" i="18"/>
  <c r="C57" i="18"/>
  <c r="C88" i="18"/>
  <c r="C113" i="18"/>
  <c r="C193" i="18"/>
  <c r="C202" i="18"/>
  <c r="C238" i="18"/>
  <c r="C281" i="18"/>
  <c r="C284" i="18"/>
  <c r="C295" i="18"/>
  <c r="C306" i="18"/>
  <c r="C317" i="18"/>
  <c r="C336" i="18"/>
  <c r="C344" i="18"/>
  <c r="C352" i="18"/>
  <c r="C360" i="18"/>
  <c r="C368" i="18"/>
  <c r="C376" i="18"/>
  <c r="C384" i="18"/>
  <c r="C392" i="18"/>
  <c r="C400" i="18"/>
  <c r="C411" i="18"/>
  <c r="C430" i="18"/>
  <c r="C438" i="18"/>
  <c r="C446" i="18"/>
  <c r="C454" i="18"/>
  <c r="C462" i="18"/>
  <c r="C470" i="18"/>
  <c r="C478" i="18"/>
  <c r="C486" i="18"/>
  <c r="C494" i="18"/>
  <c r="C502" i="18"/>
  <c r="C510" i="18"/>
  <c r="C518" i="18"/>
  <c r="C526" i="18"/>
  <c r="C52" i="18"/>
  <c r="C118" i="18"/>
  <c r="C137" i="18"/>
  <c r="C177" i="18"/>
  <c r="C180" i="18"/>
  <c r="C203" i="18"/>
  <c r="C212" i="18"/>
  <c r="C221" i="18"/>
  <c r="C282" i="18"/>
  <c r="C285" i="18"/>
  <c r="C296" i="18"/>
  <c r="C318" i="18"/>
  <c r="C337" i="18"/>
  <c r="C345" i="18"/>
  <c r="C353" i="18"/>
  <c r="C361" i="18"/>
  <c r="C369" i="18"/>
  <c r="C377" i="18"/>
  <c r="C385" i="18"/>
  <c r="C393" i="18"/>
  <c r="C401" i="18"/>
  <c r="C412" i="18"/>
  <c r="C431" i="18"/>
  <c r="C439" i="18"/>
  <c r="C447" i="18"/>
  <c r="C455" i="18"/>
  <c r="C463" i="18"/>
  <c r="C471" i="18"/>
  <c r="C479" i="18"/>
  <c r="C487" i="18"/>
  <c r="C495" i="18"/>
  <c r="C503" i="18"/>
  <c r="C511" i="18"/>
  <c r="C519" i="18"/>
  <c r="C527" i="18"/>
  <c r="C62" i="18"/>
  <c r="C93" i="18"/>
  <c r="C174" i="18"/>
  <c r="C223" i="18"/>
  <c r="C241" i="18"/>
  <c r="C252" i="18"/>
  <c r="C268" i="18"/>
  <c r="C420" i="18"/>
  <c r="C30" i="18"/>
  <c r="C97" i="18"/>
  <c r="C218" i="18"/>
  <c r="C270" i="18"/>
  <c r="C33" i="18"/>
  <c r="C41" i="18"/>
  <c r="C124" i="18"/>
  <c r="C143" i="18"/>
  <c r="C194" i="18"/>
  <c r="C219" i="18"/>
  <c r="C237" i="18"/>
  <c r="C248" i="18"/>
  <c r="C274" i="18"/>
  <c r="C277" i="18"/>
  <c r="C302" i="18"/>
  <c r="C321" i="18"/>
  <c r="C340" i="18"/>
  <c r="C356" i="18"/>
  <c r="C372" i="18"/>
  <c r="C388" i="18"/>
  <c r="C442" i="18"/>
  <c r="C458" i="18"/>
  <c r="C474" i="18"/>
  <c r="C490" i="18"/>
  <c r="C506" i="18"/>
  <c r="C522" i="18"/>
  <c r="C141" i="18"/>
  <c r="C178" i="18"/>
  <c r="C236" i="18"/>
  <c r="C86" i="18"/>
  <c r="C111" i="18"/>
  <c r="C130" i="18"/>
  <c r="C161" i="18"/>
  <c r="C201" i="18"/>
  <c r="C258" i="18"/>
  <c r="C324" i="18"/>
  <c r="C407" i="18"/>
  <c r="C426" i="18"/>
  <c r="C46" i="18"/>
  <c r="C66" i="18"/>
  <c r="C200" i="18"/>
  <c r="C247" i="18"/>
  <c r="C254" i="18"/>
  <c r="C403" i="18"/>
  <c r="C422" i="18"/>
  <c r="C77" i="18"/>
  <c r="C102" i="18"/>
  <c r="C210" i="18"/>
  <c r="C228" i="18"/>
  <c r="C288" i="18"/>
  <c r="C332" i="18"/>
  <c r="C348" i="18"/>
  <c r="C364" i="18"/>
  <c r="C380" i="18"/>
  <c r="C396" i="18"/>
  <c r="C415" i="18"/>
  <c r="C434" i="18"/>
  <c r="C450" i="18"/>
  <c r="C466" i="18"/>
  <c r="C482" i="18"/>
  <c r="C498" i="18"/>
  <c r="C514" i="18"/>
  <c r="C164" i="18"/>
  <c r="C192" i="18"/>
  <c r="C266" i="18"/>
  <c r="C291" i="18"/>
  <c r="C313" i="18"/>
  <c r="C328" i="18"/>
  <c r="C326" i="18"/>
  <c r="C171" i="18"/>
  <c r="C59" i="18"/>
  <c r="C181" i="18"/>
  <c r="C227" i="18"/>
  <c r="C209" i="18"/>
  <c r="C100" i="18"/>
  <c r="C262" i="18"/>
  <c r="C232" i="18"/>
  <c r="C260" i="18"/>
  <c r="C309" i="18"/>
  <c r="C90" i="18"/>
  <c r="C307" i="18"/>
  <c r="C409" i="18"/>
  <c r="D55" i="13"/>
  <c r="C552" i="18"/>
  <c r="C556" i="18"/>
  <c r="C560" i="18"/>
  <c r="C562" i="18"/>
  <c r="C579" i="18"/>
  <c r="C583" i="18"/>
  <c r="C587" i="18"/>
  <c r="C591" i="18"/>
  <c r="C595" i="18"/>
  <c r="C599" i="18"/>
  <c r="C603" i="18"/>
  <c r="C607" i="18"/>
  <c r="C611" i="18"/>
  <c r="C615" i="18"/>
  <c r="C619" i="18"/>
  <c r="C623" i="18"/>
  <c r="C627" i="18"/>
  <c r="C631" i="18"/>
  <c r="C580" i="18"/>
  <c r="C584" i="18"/>
  <c r="C588" i="18"/>
  <c r="C592" i="18"/>
  <c r="C596" i="18"/>
  <c r="C600" i="18"/>
  <c r="C604" i="18"/>
  <c r="C608" i="18"/>
  <c r="C612" i="18"/>
  <c r="C616" i="18"/>
  <c r="C620" i="18"/>
  <c r="C624" i="18"/>
  <c r="C628" i="18"/>
  <c r="C571" i="18"/>
  <c r="C590" i="18"/>
  <c r="C593" i="18"/>
  <c r="C606" i="18"/>
  <c r="C609" i="18"/>
  <c r="C622" i="18"/>
  <c r="C625" i="18"/>
  <c r="C682" i="18"/>
  <c r="C686" i="18"/>
  <c r="C690" i="18"/>
  <c r="C694" i="18"/>
  <c r="C698" i="18"/>
  <c r="C702" i="18"/>
  <c r="C706" i="18"/>
  <c r="C710" i="18"/>
  <c r="C714" i="18"/>
  <c r="C718" i="18"/>
  <c r="C722" i="18"/>
  <c r="C726" i="18"/>
  <c r="C730" i="18"/>
  <c r="C734" i="18"/>
  <c r="C738" i="18"/>
  <c r="C742" i="18"/>
  <c r="C746" i="18"/>
  <c r="C750" i="18"/>
  <c r="C754" i="18"/>
  <c r="C758" i="18"/>
  <c r="C762" i="18"/>
  <c r="C766" i="18"/>
  <c r="C770" i="18"/>
  <c r="C774" i="18"/>
  <c r="C778" i="18"/>
  <c r="C782" i="18"/>
  <c r="C786" i="18"/>
  <c r="C790" i="18"/>
  <c r="C794" i="18"/>
  <c r="C798" i="18"/>
  <c r="C802" i="18"/>
  <c r="C806" i="18"/>
  <c r="C551" i="18"/>
  <c r="C558" i="18"/>
  <c r="C564" i="18"/>
  <c r="C574" i="18"/>
  <c r="C577" i="18"/>
  <c r="C634" i="18"/>
  <c r="C638" i="18"/>
  <c r="C642" i="18"/>
  <c r="C646" i="18"/>
  <c r="C650" i="18"/>
  <c r="C654" i="18"/>
  <c r="C658" i="18"/>
  <c r="C662" i="18"/>
  <c r="C666" i="18"/>
  <c r="C670" i="18"/>
  <c r="C674" i="18"/>
  <c r="C678" i="18"/>
  <c r="C807" i="18"/>
  <c r="C555" i="18"/>
  <c r="C567" i="18"/>
  <c r="C586" i="18"/>
  <c r="C589" i="18"/>
  <c r="C602" i="18"/>
  <c r="C605" i="18"/>
  <c r="C618" i="18"/>
  <c r="C621" i="18"/>
  <c r="C679" i="18"/>
  <c r="C683" i="18"/>
  <c r="C687" i="18"/>
  <c r="C691" i="18"/>
  <c r="C695" i="18"/>
  <c r="C699" i="18"/>
  <c r="C703" i="18"/>
  <c r="C707" i="18"/>
  <c r="C711" i="18"/>
  <c r="C715" i="18"/>
  <c r="C719" i="18"/>
  <c r="C723" i="18"/>
  <c r="C727" i="18"/>
  <c r="C731" i="18"/>
  <c r="C735" i="18"/>
  <c r="C739" i="18"/>
  <c r="C743" i="18"/>
  <c r="C747" i="18"/>
  <c r="C751" i="18"/>
  <c r="C755" i="18"/>
  <c r="C759" i="18"/>
  <c r="C763" i="18"/>
  <c r="C767" i="18"/>
  <c r="C771" i="18"/>
  <c r="C775" i="18"/>
  <c r="C779" i="18"/>
  <c r="C783" i="18"/>
  <c r="C787" i="18"/>
  <c r="C791" i="18"/>
  <c r="C554" i="18"/>
  <c r="C566" i="18"/>
  <c r="C569" i="18"/>
  <c r="C572" i="18"/>
  <c r="C632" i="18"/>
  <c r="C636" i="18"/>
  <c r="C640" i="18"/>
  <c r="C644" i="18"/>
  <c r="C648" i="18"/>
  <c r="C652" i="18"/>
  <c r="C656" i="18"/>
  <c r="C660" i="18"/>
  <c r="C664" i="18"/>
  <c r="C668" i="18"/>
  <c r="C672" i="18"/>
  <c r="C676" i="18"/>
  <c r="C809" i="18"/>
  <c r="C813" i="18"/>
  <c r="C817" i="18"/>
  <c r="C821" i="18"/>
  <c r="C825" i="18"/>
  <c r="C829" i="18"/>
  <c r="C833" i="18"/>
  <c r="C635" i="18"/>
  <c r="C643" i="18"/>
  <c r="C651" i="18"/>
  <c r="C659" i="18"/>
  <c r="C667" i="18"/>
  <c r="C675" i="18"/>
  <c r="C799" i="18"/>
  <c r="C800" i="18"/>
  <c r="C823" i="18"/>
  <c r="C834" i="18"/>
  <c r="C838" i="18"/>
  <c r="C842" i="18"/>
  <c r="C846" i="18"/>
  <c r="C850" i="18"/>
  <c r="C854" i="18"/>
  <c r="C858" i="18"/>
  <c r="C862" i="18"/>
  <c r="C866" i="18"/>
  <c r="C870" i="18"/>
  <c r="C874" i="18"/>
  <c r="C878" i="18"/>
  <c r="C882" i="18"/>
  <c r="C886" i="18"/>
  <c r="C890" i="18"/>
  <c r="C894" i="18"/>
  <c r="C898" i="18"/>
  <c r="C902" i="18"/>
  <c r="C906" i="18"/>
  <c r="C910" i="18"/>
  <c r="C914" i="18"/>
  <c r="C918" i="18"/>
  <c r="C922" i="18"/>
  <c r="C926" i="18"/>
  <c r="C930" i="18"/>
  <c r="C934" i="18"/>
  <c r="C938" i="18"/>
  <c r="C942" i="18"/>
  <c r="C946" i="18"/>
  <c r="C950" i="18"/>
  <c r="C954" i="18"/>
  <c r="C958" i="18"/>
  <c r="C962" i="18"/>
  <c r="C966" i="18"/>
  <c r="C559" i="18"/>
  <c r="C563" i="18"/>
  <c r="C598" i="18"/>
  <c r="C601" i="18"/>
  <c r="C630" i="18"/>
  <c r="C684" i="18"/>
  <c r="C692" i="18"/>
  <c r="C700" i="18"/>
  <c r="C708" i="18"/>
  <c r="C716" i="18"/>
  <c r="C724" i="18"/>
  <c r="C732" i="18"/>
  <c r="C740" i="18"/>
  <c r="C748" i="18"/>
  <c r="C756" i="18"/>
  <c r="C764" i="18"/>
  <c r="C772" i="18"/>
  <c r="C780" i="18"/>
  <c r="C788" i="18"/>
  <c r="C808" i="18"/>
  <c r="C812" i="18"/>
  <c r="C815" i="18"/>
  <c r="C819" i="18"/>
  <c r="C575" i="18"/>
  <c r="C578" i="18"/>
  <c r="C581" i="18"/>
  <c r="C610" i="18"/>
  <c r="C613" i="18"/>
  <c r="C685" i="18"/>
  <c r="C693" i="18"/>
  <c r="C701" i="18"/>
  <c r="C709" i="18"/>
  <c r="C717" i="18"/>
  <c r="C725" i="18"/>
  <c r="C733" i="18"/>
  <c r="C741" i="18"/>
  <c r="C749" i="18"/>
  <c r="C757" i="18"/>
  <c r="C765" i="18"/>
  <c r="C773" i="18"/>
  <c r="C781" i="18"/>
  <c r="C789" i="18"/>
  <c r="C797" i="18"/>
  <c r="C830" i="18"/>
  <c r="C832" i="18"/>
  <c r="C835" i="18"/>
  <c r="C839" i="18"/>
  <c r="C843" i="18"/>
  <c r="C847" i="18"/>
  <c r="C851" i="18"/>
  <c r="C855" i="18"/>
  <c r="C859" i="18"/>
  <c r="C863" i="18"/>
  <c r="C867" i="18"/>
  <c r="C871" i="18"/>
  <c r="C875" i="18"/>
  <c r="C879" i="18"/>
  <c r="C883" i="18"/>
  <c r="C887" i="18"/>
  <c r="C891" i="18"/>
  <c r="C895" i="18"/>
  <c r="C899" i="18"/>
  <c r="C903" i="18"/>
  <c r="C907" i="18"/>
  <c r="C911" i="18"/>
  <c r="C915" i="18"/>
  <c r="C919" i="18"/>
  <c r="C923" i="18"/>
  <c r="C927" i="18"/>
  <c r="C931" i="18"/>
  <c r="C935" i="18"/>
  <c r="C939" i="18"/>
  <c r="C553" i="18"/>
  <c r="C582" i="18"/>
  <c r="C585" i="18"/>
  <c r="C614" i="18"/>
  <c r="C617" i="18"/>
  <c r="C680" i="18"/>
  <c r="C688" i="18"/>
  <c r="C696" i="18"/>
  <c r="C704" i="18"/>
  <c r="C712" i="18"/>
  <c r="C720" i="18"/>
  <c r="C728" i="18"/>
  <c r="C736" i="18"/>
  <c r="C744" i="18"/>
  <c r="C752" i="18"/>
  <c r="C760" i="18"/>
  <c r="C768" i="18"/>
  <c r="C776" i="18"/>
  <c r="C784" i="18"/>
  <c r="C792" i="18"/>
  <c r="C793" i="18"/>
  <c r="C803" i="18"/>
  <c r="C804" i="18"/>
  <c r="C818" i="18"/>
  <c r="C820" i="18"/>
  <c r="C633" i="18"/>
  <c r="C649" i="18"/>
  <c r="C665" i="18"/>
  <c r="C796" i="18"/>
  <c r="C828" i="18"/>
  <c r="C941" i="18"/>
  <c r="C952" i="18"/>
  <c r="C967" i="18"/>
  <c r="C637" i="18"/>
  <c r="C653" i="18"/>
  <c r="C669" i="18"/>
  <c r="C805" i="18"/>
  <c r="C824" i="18"/>
  <c r="C840" i="18"/>
  <c r="C848" i="18"/>
  <c r="C856" i="18"/>
  <c r="C864" i="18"/>
  <c r="C872" i="18"/>
  <c r="C880" i="18"/>
  <c r="C888" i="18"/>
  <c r="C896" i="18"/>
  <c r="C904" i="18"/>
  <c r="C912" i="18"/>
  <c r="C920" i="18"/>
  <c r="C928" i="18"/>
  <c r="C936" i="18"/>
  <c r="C944" i="18"/>
  <c r="C948" i="18"/>
  <c r="C963" i="18"/>
  <c r="C965" i="18"/>
  <c r="C970" i="18"/>
  <c r="C974" i="18"/>
  <c r="C978" i="18"/>
  <c r="C982" i="18"/>
  <c r="C986" i="18"/>
  <c r="C990" i="18"/>
  <c r="C994" i="18"/>
  <c r="C998" i="18"/>
  <c r="C1002" i="18"/>
  <c r="C1006" i="18"/>
  <c r="C1010" i="18"/>
  <c r="C1014" i="18"/>
  <c r="C1018" i="18"/>
  <c r="C1022" i="18"/>
  <c r="C1026" i="18"/>
  <c r="C1030" i="18"/>
  <c r="C1034" i="18"/>
  <c r="C1038" i="18"/>
  <c r="C1042" i="18"/>
  <c r="C1046" i="18"/>
  <c r="C1050" i="18"/>
  <c r="C1054" i="18"/>
  <c r="C1058" i="18"/>
  <c r="C1062" i="18"/>
  <c r="C639" i="18"/>
  <c r="C655" i="18"/>
  <c r="C671" i="18"/>
  <c r="C689" i="18"/>
  <c r="C705" i="18"/>
  <c r="C721" i="18"/>
  <c r="C737" i="18"/>
  <c r="C753" i="18"/>
  <c r="C769" i="18"/>
  <c r="C785" i="18"/>
  <c r="C810" i="18"/>
  <c r="C816" i="18"/>
  <c r="C841" i="18"/>
  <c r="C849" i="18"/>
  <c r="C857" i="18"/>
  <c r="C865" i="18"/>
  <c r="C873" i="18"/>
  <c r="C881" i="18"/>
  <c r="C889" i="18"/>
  <c r="C897" i="18"/>
  <c r="C905" i="18"/>
  <c r="C913" i="18"/>
  <c r="C921" i="18"/>
  <c r="C929" i="18"/>
  <c r="C937" i="18"/>
  <c r="C940" i="18"/>
  <c r="C959" i="18"/>
  <c r="C961" i="18"/>
  <c r="C561" i="18"/>
  <c r="C645" i="18"/>
  <c r="C661" i="18"/>
  <c r="C677" i="18"/>
  <c r="C814" i="18"/>
  <c r="C822" i="18"/>
  <c r="C836" i="18"/>
  <c r="C844" i="18"/>
  <c r="C852" i="18"/>
  <c r="C860" i="18"/>
  <c r="C868" i="18"/>
  <c r="C876" i="18"/>
  <c r="C884" i="18"/>
  <c r="C892" i="18"/>
  <c r="C900" i="18"/>
  <c r="C908" i="18"/>
  <c r="C916" i="18"/>
  <c r="C924" i="18"/>
  <c r="C932" i="18"/>
  <c r="C947" i="18"/>
  <c r="C949" i="18"/>
  <c r="C964" i="18"/>
  <c r="C972" i="18"/>
  <c r="C976" i="18"/>
  <c r="C980" i="18"/>
  <c r="C984" i="18"/>
  <c r="C988" i="18"/>
  <c r="C992" i="18"/>
  <c r="C996" i="18"/>
  <c r="C1000" i="18"/>
  <c r="C1004" i="18"/>
  <c r="C1008" i="18"/>
  <c r="C1012" i="18"/>
  <c r="C1016" i="18"/>
  <c r="C1020" i="18"/>
  <c r="C1024" i="18"/>
  <c r="C1028" i="18"/>
  <c r="C1032" i="18"/>
  <c r="C1036" i="18"/>
  <c r="C1040" i="18"/>
  <c r="C1044" i="18"/>
  <c r="C1048" i="18"/>
  <c r="C1052" i="18"/>
  <c r="C1056" i="18"/>
  <c r="C1060" i="18"/>
  <c r="C557" i="18"/>
  <c r="C565" i="18"/>
  <c r="C641" i="18"/>
  <c r="C673" i="18"/>
  <c r="C795" i="18"/>
  <c r="C831" i="18"/>
  <c r="C845" i="18"/>
  <c r="C861" i="18"/>
  <c r="C877" i="18"/>
  <c r="C893" i="18"/>
  <c r="C909" i="18"/>
  <c r="C925" i="18"/>
  <c r="C945" i="18"/>
  <c r="C570" i="18"/>
  <c r="C576" i="18"/>
  <c r="C663" i="18"/>
  <c r="C681" i="18"/>
  <c r="C713" i="18"/>
  <c r="C745" i="18"/>
  <c r="C777" i="18"/>
  <c r="C973" i="18"/>
  <c r="C981" i="18"/>
  <c r="C989" i="18"/>
  <c r="C997" i="18"/>
  <c r="C1005" i="18"/>
  <c r="C1013" i="18"/>
  <c r="C1021" i="18"/>
  <c r="C1029" i="18"/>
  <c r="C1037" i="18"/>
  <c r="C1045" i="18"/>
  <c r="C1053" i="18"/>
  <c r="C1061" i="18"/>
  <c r="C594" i="18"/>
  <c r="C943" i="18"/>
  <c r="C955" i="18"/>
  <c r="C975" i="18"/>
  <c r="C983" i="18"/>
  <c r="C991" i="18"/>
  <c r="C999" i="18"/>
  <c r="C1007" i="18"/>
  <c r="C1015" i="18"/>
  <c r="C1023" i="18"/>
  <c r="C1031" i="18"/>
  <c r="C1039" i="18"/>
  <c r="C1047" i="18"/>
  <c r="C1055" i="18"/>
  <c r="C573" i="18"/>
  <c r="C647" i="18"/>
  <c r="C697" i="18"/>
  <c r="C729" i="18"/>
  <c r="C761" i="18"/>
  <c r="C827" i="18"/>
  <c r="C956" i="18"/>
  <c r="C969" i="18"/>
  <c r="C977" i="18"/>
  <c r="C985" i="18"/>
  <c r="C993" i="18"/>
  <c r="C1001" i="18"/>
  <c r="C1009" i="18"/>
  <c r="C1017" i="18"/>
  <c r="C1025" i="18"/>
  <c r="C1033" i="18"/>
  <c r="C1041" i="18"/>
  <c r="C1049" i="18"/>
  <c r="C1057" i="18"/>
  <c r="C801" i="18"/>
  <c r="C951" i="18"/>
  <c r="C629" i="18"/>
  <c r="C853" i="18"/>
  <c r="C885" i="18"/>
  <c r="C917" i="18"/>
  <c r="C568" i="18"/>
  <c r="C657" i="18"/>
  <c r="C971" i="18"/>
  <c r="C987" i="18"/>
  <c r="C1003" i="18"/>
  <c r="C1019" i="18"/>
  <c r="C1035" i="18"/>
  <c r="C1051" i="18"/>
  <c r="C837" i="18"/>
  <c r="C869" i="18"/>
  <c r="C901" i="18"/>
  <c r="C933" i="18"/>
  <c r="C960" i="18"/>
  <c r="C811" i="18"/>
  <c r="C968" i="18"/>
  <c r="C957" i="18"/>
  <c r="C995" i="18"/>
  <c r="C1027" i="18"/>
  <c r="C1059" i="18"/>
  <c r="C626" i="18"/>
  <c r="C979" i="18"/>
  <c r="C1011" i="18"/>
  <c r="C1043" i="18"/>
  <c r="C597" i="18"/>
  <c r="C953" i="18"/>
  <c r="C826" i="18"/>
  <c r="C55" i="13" l="1"/>
  <c r="I55" i="13"/>
  <c r="E55" i="13"/>
  <c r="F55" i="13"/>
  <c r="F75" i="13"/>
  <c r="H55" i="13"/>
  <c r="B55" i="13"/>
  <c r="G75" i="13"/>
  <c r="G55" i="13"/>
  <c r="B75" i="13"/>
  <c r="C75" i="13"/>
  <c r="H75" i="13"/>
  <c r="I75" i="13"/>
  <c r="G63" i="13"/>
  <c r="G61" i="13"/>
  <c r="G60" i="13"/>
  <c r="G62" i="13"/>
  <c r="B64" i="13"/>
  <c r="B62" i="13"/>
  <c r="B60" i="13"/>
  <c r="B63" i="13"/>
  <c r="B61" i="13"/>
  <c r="D61" i="13"/>
  <c r="D63" i="13"/>
  <c r="D62" i="13"/>
  <c r="D60" i="13"/>
  <c r="I61" i="13"/>
  <c r="I62" i="13"/>
  <c r="I63" i="13"/>
  <c r="I60" i="13"/>
  <c r="C62" i="13"/>
  <c r="C61" i="13"/>
  <c r="C60" i="13"/>
  <c r="C63" i="13"/>
  <c r="H60" i="13"/>
  <c r="H62" i="13"/>
  <c r="H61" i="13"/>
  <c r="H63" i="13"/>
  <c r="D75" i="13"/>
  <c r="E61" i="13"/>
  <c r="E63" i="13"/>
  <c r="E62" i="13"/>
  <c r="E60" i="13"/>
  <c r="F60" i="13"/>
  <c r="F62" i="13"/>
  <c r="F61" i="13"/>
  <c r="F63" i="13"/>
  <c r="D951" i="18"/>
  <c r="J951" i="18" s="1"/>
  <c r="E951" i="18"/>
  <c r="D1007" i="18"/>
  <c r="E1007" i="18"/>
  <c r="D741" i="18"/>
  <c r="E741" i="18"/>
  <c r="D735" i="18"/>
  <c r="J735" i="18" s="1"/>
  <c r="E735" i="18"/>
  <c r="D691" i="18"/>
  <c r="E691" i="18"/>
  <c r="D593" i="18"/>
  <c r="J593" i="18" s="1"/>
  <c r="E593" i="18"/>
  <c r="D611" i="18"/>
  <c r="E611" i="18"/>
  <c r="D348" i="18"/>
  <c r="E348" i="18"/>
  <c r="D397" i="18"/>
  <c r="E397" i="18"/>
  <c r="D242" i="18"/>
  <c r="E242" i="18"/>
  <c r="D136" i="18"/>
  <c r="E136" i="18"/>
  <c r="D453" i="18"/>
  <c r="E453" i="18"/>
  <c r="E375" i="18"/>
  <c r="D375" i="18"/>
  <c r="D173" i="18"/>
  <c r="E173" i="18"/>
  <c r="D115" i="18"/>
  <c r="E115" i="18"/>
  <c r="D105" i="18"/>
  <c r="E105" i="18"/>
  <c r="D29" i="18"/>
  <c r="E29" i="18"/>
  <c r="D1041" i="18"/>
  <c r="E1041" i="18"/>
  <c r="D827" i="18"/>
  <c r="E827" i="18"/>
  <c r="D1061" i="18"/>
  <c r="E1061" i="18"/>
  <c r="D777" i="18"/>
  <c r="E777" i="18"/>
  <c r="D909" i="18"/>
  <c r="E909" i="18"/>
  <c r="D921" i="18"/>
  <c r="E921" i="18"/>
  <c r="D768" i="18"/>
  <c r="E768" i="18"/>
  <c r="D764" i="18"/>
  <c r="E764" i="18"/>
  <c r="E966" i="18"/>
  <c r="D966" i="18"/>
  <c r="D838" i="18"/>
  <c r="E838" i="18"/>
  <c r="D569" i="18"/>
  <c r="J569" i="18" s="1"/>
  <c r="E569" i="18"/>
  <c r="D558" i="18"/>
  <c r="E558" i="18"/>
  <c r="D726" i="18"/>
  <c r="E726" i="18"/>
  <c r="E682" i="18"/>
  <c r="D682" i="18"/>
  <c r="E422" i="18"/>
  <c r="D422" i="18"/>
  <c r="D277" i="18"/>
  <c r="E277" i="18"/>
  <c r="D527" i="18"/>
  <c r="E527" i="18"/>
  <c r="D520" i="18"/>
  <c r="E520" i="18"/>
  <c r="D378" i="18"/>
  <c r="E378" i="18"/>
  <c r="D153" i="18"/>
  <c r="E153" i="18"/>
  <c r="E457" i="18"/>
  <c r="D457" i="18"/>
  <c r="E379" i="18"/>
  <c r="D379" i="18"/>
  <c r="E235" i="18"/>
  <c r="D235" i="18"/>
  <c r="D184" i="18"/>
  <c r="E184" i="18"/>
  <c r="D119" i="18"/>
  <c r="E119" i="18"/>
  <c r="D657" i="18"/>
  <c r="E657" i="18"/>
  <c r="D1015" i="18"/>
  <c r="E1015" i="18"/>
  <c r="D889" i="18"/>
  <c r="E889" i="18"/>
  <c r="D797" i="18"/>
  <c r="E797" i="18"/>
  <c r="D821" i="18"/>
  <c r="E821" i="18"/>
  <c r="D739" i="18"/>
  <c r="E739" i="18"/>
  <c r="D171" i="18"/>
  <c r="J171" i="18" s="1"/>
  <c r="E171" i="18"/>
  <c r="D77" i="18"/>
  <c r="E77" i="18"/>
  <c r="D474" i="18"/>
  <c r="E474" i="18"/>
  <c r="E124" i="18"/>
  <c r="D124" i="18"/>
  <c r="E393" i="18"/>
  <c r="D393" i="18"/>
  <c r="D460" i="18"/>
  <c r="E460" i="18"/>
  <c r="D350" i="18"/>
  <c r="E350" i="18"/>
  <c r="D233" i="18"/>
  <c r="E233" i="18"/>
  <c r="D461" i="18"/>
  <c r="E461" i="18"/>
  <c r="E351" i="18"/>
  <c r="D351" i="18"/>
  <c r="D91" i="18"/>
  <c r="E91" i="18"/>
  <c r="D597" i="18"/>
  <c r="E597" i="18"/>
  <c r="D960" i="18"/>
  <c r="E960" i="18"/>
  <c r="D1049" i="18"/>
  <c r="E1049" i="18"/>
  <c r="D1037" i="18"/>
  <c r="E1037" i="18"/>
  <c r="D796" i="18"/>
  <c r="E796" i="18"/>
  <c r="D887" i="18"/>
  <c r="E887" i="18"/>
  <c r="D692" i="18"/>
  <c r="E692" i="18"/>
  <c r="D886" i="18"/>
  <c r="E886" i="18"/>
  <c r="D650" i="18"/>
  <c r="E650" i="18"/>
  <c r="E203" i="18"/>
  <c r="D203" i="18"/>
  <c r="D317" i="18"/>
  <c r="E317" i="18"/>
  <c r="D386" i="18"/>
  <c r="E386" i="18"/>
  <c r="E95" i="18"/>
  <c r="D95" i="18"/>
  <c r="D246" i="18"/>
  <c r="E246" i="18"/>
  <c r="D826" i="18"/>
  <c r="E826" i="18"/>
  <c r="D957" i="18"/>
  <c r="E957" i="18"/>
  <c r="D901" i="18"/>
  <c r="E901" i="18"/>
  <c r="D1051" i="18"/>
  <c r="E1051" i="18"/>
  <c r="D987" i="18"/>
  <c r="E987" i="18"/>
  <c r="D917" i="18"/>
  <c r="E917" i="18"/>
  <c r="D801" i="18"/>
  <c r="E801" i="18"/>
  <c r="D1033" i="18"/>
  <c r="E1033" i="18"/>
  <c r="D1001" i="18"/>
  <c r="E1001" i="18"/>
  <c r="D969" i="18"/>
  <c r="E969" i="18"/>
  <c r="D647" i="18"/>
  <c r="J647" i="18" s="1"/>
  <c r="E647" i="18"/>
  <c r="D1053" i="18"/>
  <c r="E1053" i="18"/>
  <c r="D981" i="18"/>
  <c r="E981" i="18"/>
  <c r="D745" i="18"/>
  <c r="E745" i="18"/>
  <c r="D576" i="18"/>
  <c r="J576" i="18" s="1"/>
  <c r="E576" i="18"/>
  <c r="D893" i="18"/>
  <c r="E893" i="18"/>
  <c r="D795" i="18"/>
  <c r="E795" i="18"/>
  <c r="E1060" i="18"/>
  <c r="D1060" i="18"/>
  <c r="E1044" i="18"/>
  <c r="D1044" i="18"/>
  <c r="D1028" i="18"/>
  <c r="E1028" i="18"/>
  <c r="D1012" i="18"/>
  <c r="E1012" i="18"/>
  <c r="E996" i="18"/>
  <c r="D996" i="18"/>
  <c r="E980" i="18"/>
  <c r="D980" i="18"/>
  <c r="E916" i="18"/>
  <c r="D916" i="18"/>
  <c r="E884" i="18"/>
  <c r="D884" i="18"/>
  <c r="D852" i="18"/>
  <c r="E852" i="18"/>
  <c r="D677" i="18"/>
  <c r="E677" i="18"/>
  <c r="D753" i="18"/>
  <c r="E753" i="18"/>
  <c r="D671" i="18"/>
  <c r="J671" i="18" s="1"/>
  <c r="E671" i="18"/>
  <c r="D1030" i="18"/>
  <c r="E1030" i="18"/>
  <c r="D1010" i="18"/>
  <c r="E1010" i="18"/>
  <c r="D963" i="18"/>
  <c r="E963" i="18"/>
  <c r="D952" i="18"/>
  <c r="E952" i="18"/>
  <c r="D760" i="18"/>
  <c r="E760" i="18"/>
  <c r="D939" i="18"/>
  <c r="E939" i="18"/>
  <c r="D919" i="18"/>
  <c r="E919" i="18"/>
  <c r="D875" i="18"/>
  <c r="E875" i="18"/>
  <c r="D855" i="18"/>
  <c r="J855" i="18" s="1"/>
  <c r="E855" i="18"/>
  <c r="D575" i="18"/>
  <c r="J575" i="18" s="1"/>
  <c r="E575" i="18"/>
  <c r="D756" i="18"/>
  <c r="E756" i="18"/>
  <c r="D601" i="18"/>
  <c r="J601" i="18" s="1"/>
  <c r="E601" i="18"/>
  <c r="D962" i="18"/>
  <c r="E962" i="18"/>
  <c r="D918" i="18"/>
  <c r="E918" i="18"/>
  <c r="D898" i="18"/>
  <c r="E898" i="18"/>
  <c r="D854" i="18"/>
  <c r="E854" i="18"/>
  <c r="D834" i="18"/>
  <c r="E834" i="18"/>
  <c r="D659" i="18"/>
  <c r="E659" i="18"/>
  <c r="D662" i="18"/>
  <c r="E662" i="18"/>
  <c r="D806" i="18"/>
  <c r="E806" i="18"/>
  <c r="D762" i="18"/>
  <c r="E762" i="18"/>
  <c r="D742" i="18"/>
  <c r="E742" i="18"/>
  <c r="D698" i="18"/>
  <c r="E698" i="18"/>
  <c r="E313" i="18"/>
  <c r="D313" i="18"/>
  <c r="D466" i="18"/>
  <c r="E466" i="18"/>
  <c r="D332" i="18"/>
  <c r="E332" i="18"/>
  <c r="E254" i="18"/>
  <c r="D254" i="18"/>
  <c r="E324" i="18"/>
  <c r="D324" i="18"/>
  <c r="E281" i="18"/>
  <c r="D281" i="18"/>
  <c r="E39" i="18"/>
  <c r="D39" i="18"/>
  <c r="D467" i="18"/>
  <c r="E467" i="18"/>
  <c r="D389" i="18"/>
  <c r="E389" i="18"/>
  <c r="D322" i="18"/>
  <c r="E322" i="18"/>
  <c r="E231" i="18"/>
  <c r="D231" i="18"/>
  <c r="D330" i="18"/>
  <c r="E330" i="18"/>
  <c r="D222" i="18"/>
  <c r="E222" i="18"/>
  <c r="D325" i="18"/>
  <c r="E325" i="18"/>
  <c r="E255" i="18"/>
  <c r="D255" i="18"/>
  <c r="D163" i="18"/>
  <c r="J163" i="18" s="1"/>
  <c r="E163" i="18"/>
  <c r="D40" i="18"/>
  <c r="E40" i="18"/>
  <c r="D265" i="18"/>
  <c r="E265" i="18"/>
  <c r="D198" i="18"/>
  <c r="E198" i="18"/>
  <c r="D117" i="18"/>
  <c r="E117" i="18"/>
  <c r="E513" i="18"/>
  <c r="D513" i="18"/>
  <c r="E481" i="18"/>
  <c r="D481" i="18"/>
  <c r="E449" i="18"/>
  <c r="D449" i="18"/>
  <c r="E371" i="18"/>
  <c r="D371" i="18"/>
  <c r="D339" i="18"/>
  <c r="E339" i="18"/>
  <c r="E294" i="18"/>
  <c r="D294" i="18"/>
  <c r="D154" i="18"/>
  <c r="J154" i="18" s="1"/>
  <c r="E154" i="18"/>
  <c r="E110" i="18"/>
  <c r="D110" i="18"/>
  <c r="D78" i="18"/>
  <c r="E78" i="18"/>
  <c r="D26" i="18"/>
  <c r="J26" i="18" s="1"/>
  <c r="E26" i="18"/>
  <c r="D234" i="18"/>
  <c r="E234" i="18"/>
  <c r="D165" i="18"/>
  <c r="E165" i="18"/>
  <c r="D101" i="18"/>
  <c r="E101" i="18"/>
  <c r="D55" i="18"/>
  <c r="E55" i="18"/>
  <c r="D23" i="18"/>
  <c r="E23" i="18"/>
  <c r="D975" i="18"/>
  <c r="E975" i="18"/>
  <c r="D831" i="18"/>
  <c r="J831" i="18" s="1"/>
  <c r="E831" i="18"/>
  <c r="D920" i="18"/>
  <c r="E920" i="18"/>
  <c r="D701" i="18"/>
  <c r="E701" i="18"/>
  <c r="D566" i="18"/>
  <c r="E566" i="18"/>
  <c r="D555" i="18"/>
  <c r="E555" i="18"/>
  <c r="D600" i="18"/>
  <c r="J600" i="18" s="1"/>
  <c r="E600" i="18"/>
  <c r="D482" i="18"/>
  <c r="E482" i="18"/>
  <c r="D333" i="18"/>
  <c r="E333" i="18"/>
  <c r="D104" i="18"/>
  <c r="E104" i="18"/>
  <c r="D166" i="18"/>
  <c r="E166" i="18"/>
  <c r="D206" i="18"/>
  <c r="E206" i="18"/>
  <c r="E414" i="18"/>
  <c r="D414" i="18"/>
  <c r="E298" i="18"/>
  <c r="D298" i="18"/>
  <c r="J298" i="18" s="1"/>
  <c r="D169" i="18"/>
  <c r="E169" i="18"/>
  <c r="D995" i="18"/>
  <c r="E995" i="18"/>
  <c r="D1003" i="18"/>
  <c r="E1003" i="18"/>
  <c r="D1009" i="18"/>
  <c r="E1009" i="18"/>
  <c r="D697" i="18"/>
  <c r="J697" i="18" s="1"/>
  <c r="E697" i="18"/>
  <c r="D961" i="18"/>
  <c r="E961" i="18"/>
  <c r="D689" i="18"/>
  <c r="J689" i="18" s="1"/>
  <c r="E689" i="18"/>
  <c r="D994" i="18"/>
  <c r="E994" i="18"/>
  <c r="D967" i="18"/>
  <c r="E967" i="18"/>
  <c r="D728" i="18"/>
  <c r="J728" i="18" s="1"/>
  <c r="E728" i="18"/>
  <c r="D903" i="18"/>
  <c r="E903" i="18"/>
  <c r="D859" i="18"/>
  <c r="E859" i="18"/>
  <c r="D882" i="18"/>
  <c r="E882" i="18"/>
  <c r="D646" i="18"/>
  <c r="E646" i="18"/>
  <c r="D364" i="18"/>
  <c r="E364" i="18"/>
  <c r="D458" i="18"/>
  <c r="E458" i="18"/>
  <c r="D268" i="18"/>
  <c r="E268" i="18"/>
  <c r="E385" i="18"/>
  <c r="D385" i="18"/>
  <c r="E263" i="18"/>
  <c r="D263" i="18"/>
  <c r="D488" i="18"/>
  <c r="E488" i="18"/>
  <c r="D417" i="18"/>
  <c r="E417" i="18"/>
  <c r="E418" i="18"/>
  <c r="D418" i="18"/>
  <c r="D47" i="18"/>
  <c r="E47" i="18"/>
  <c r="D979" i="18"/>
  <c r="E979" i="18"/>
  <c r="D845" i="18"/>
  <c r="E845" i="18"/>
  <c r="D928" i="18"/>
  <c r="E928" i="18"/>
  <c r="D610" i="18"/>
  <c r="E610" i="18"/>
  <c r="D672" i="18"/>
  <c r="E672" i="18"/>
  <c r="D572" i="18"/>
  <c r="E572" i="18"/>
  <c r="D719" i="18"/>
  <c r="J719" i="18" s="1"/>
  <c r="E719" i="18"/>
  <c r="D586" i="18"/>
  <c r="E586" i="18"/>
  <c r="D584" i="18"/>
  <c r="J584" i="18" s="1"/>
  <c r="E584" i="18"/>
  <c r="E260" i="18"/>
  <c r="D260" i="18"/>
  <c r="E426" i="18"/>
  <c r="D426" i="18"/>
  <c r="D302" i="18"/>
  <c r="E302" i="18"/>
  <c r="D62" i="18"/>
  <c r="E62" i="18"/>
  <c r="D492" i="18"/>
  <c r="E492" i="18"/>
  <c r="D382" i="18"/>
  <c r="E382" i="18"/>
  <c r="D168" i="18"/>
  <c r="E168" i="18"/>
  <c r="D525" i="18"/>
  <c r="E525" i="18"/>
  <c r="D429" i="18"/>
  <c r="E429" i="18"/>
  <c r="E305" i="18"/>
  <c r="D305" i="18"/>
  <c r="E191" i="18"/>
  <c r="D191" i="18"/>
  <c r="E159" i="18"/>
  <c r="D159" i="18"/>
  <c r="D1027" i="18"/>
  <c r="E1027" i="18"/>
  <c r="D837" i="18"/>
  <c r="E837" i="18"/>
  <c r="D853" i="18"/>
  <c r="E853" i="18"/>
  <c r="D985" i="18"/>
  <c r="E985" i="18"/>
  <c r="D729" i="18"/>
  <c r="E729" i="18"/>
  <c r="D594" i="18"/>
  <c r="E594" i="18"/>
  <c r="D681" i="18"/>
  <c r="J681" i="18" s="1"/>
  <c r="E681" i="18"/>
  <c r="D696" i="18"/>
  <c r="J696" i="18" s="1"/>
  <c r="E696" i="18"/>
  <c r="D950" i="18"/>
  <c r="E950" i="18"/>
  <c r="D574" i="18"/>
  <c r="E574" i="18"/>
  <c r="D710" i="18"/>
  <c r="E710" i="18"/>
  <c r="D309" i="18"/>
  <c r="E309" i="18"/>
  <c r="E321" i="18"/>
  <c r="D321" i="18"/>
  <c r="E479" i="18"/>
  <c r="D479" i="18"/>
  <c r="E337" i="18"/>
  <c r="D337" i="18"/>
  <c r="D392" i="18"/>
  <c r="E392" i="18"/>
  <c r="D464" i="18"/>
  <c r="E464" i="18"/>
  <c r="D304" i="18"/>
  <c r="E304" i="18"/>
  <c r="D53" i="18"/>
  <c r="E53" i="18"/>
  <c r="E116" i="18"/>
  <c r="D116" i="18"/>
  <c r="D953" i="18"/>
  <c r="E953" i="18"/>
  <c r="D1011" i="18"/>
  <c r="E1011" i="18"/>
  <c r="D811" i="18"/>
  <c r="E811" i="18"/>
  <c r="D1055" i="18"/>
  <c r="E1055" i="18"/>
  <c r="D1023" i="18"/>
  <c r="E1023" i="18"/>
  <c r="D991" i="18"/>
  <c r="E991" i="18"/>
  <c r="D1005" i="18"/>
  <c r="E1005" i="18"/>
  <c r="D861" i="18"/>
  <c r="E861" i="18"/>
  <c r="D641" i="18"/>
  <c r="E641" i="18"/>
  <c r="D897" i="18"/>
  <c r="E897" i="18"/>
  <c r="D810" i="18"/>
  <c r="E810" i="18"/>
  <c r="D896" i="18"/>
  <c r="E896" i="18"/>
  <c r="D856" i="18"/>
  <c r="E856" i="18"/>
  <c r="D765" i="18"/>
  <c r="E765" i="18"/>
  <c r="D819" i="18"/>
  <c r="E819" i="18"/>
  <c r="D799" i="18"/>
  <c r="E799" i="18"/>
  <c r="D676" i="18"/>
  <c r="E676" i="18"/>
  <c r="D656" i="18"/>
  <c r="E656" i="18"/>
  <c r="D787" i="18"/>
  <c r="E787" i="18"/>
  <c r="D767" i="18"/>
  <c r="J767" i="18" s="1"/>
  <c r="E767" i="18"/>
  <c r="D723" i="18"/>
  <c r="E723" i="18"/>
  <c r="D703" i="18"/>
  <c r="J703" i="18" s="1"/>
  <c r="E703" i="18"/>
  <c r="D577" i="18"/>
  <c r="J577" i="18" s="1"/>
  <c r="E577" i="18"/>
  <c r="D612" i="18"/>
  <c r="E612" i="18"/>
  <c r="D623" i="18"/>
  <c r="J623" i="18" s="1"/>
  <c r="E623" i="18"/>
  <c r="D579" i="18"/>
  <c r="E579" i="18"/>
  <c r="D90" i="18"/>
  <c r="J90" i="18" s="1"/>
  <c r="E90" i="18"/>
  <c r="D181" i="18"/>
  <c r="E181" i="18"/>
  <c r="E192" i="18"/>
  <c r="D192" i="18"/>
  <c r="E161" i="18"/>
  <c r="D161" i="18"/>
  <c r="D506" i="18"/>
  <c r="E506" i="18"/>
  <c r="D340" i="18"/>
  <c r="E340" i="18"/>
  <c r="D194" i="18"/>
  <c r="J194" i="18" s="1"/>
  <c r="E194" i="18"/>
  <c r="D30" i="18"/>
  <c r="E30" i="18"/>
  <c r="D93" i="18"/>
  <c r="E93" i="18"/>
  <c r="D487" i="18"/>
  <c r="E487" i="18"/>
  <c r="E412" i="18"/>
  <c r="D412" i="18"/>
  <c r="E345" i="18"/>
  <c r="D345" i="18"/>
  <c r="E52" i="18"/>
  <c r="D52" i="18"/>
  <c r="D478" i="18"/>
  <c r="E478" i="18"/>
  <c r="D400" i="18"/>
  <c r="E400" i="18"/>
  <c r="D336" i="18"/>
  <c r="E336" i="18"/>
  <c r="D193" i="18"/>
  <c r="E193" i="18"/>
  <c r="D500" i="18"/>
  <c r="E500" i="18"/>
  <c r="D468" i="18"/>
  <c r="E468" i="18"/>
  <c r="D436" i="18"/>
  <c r="E436" i="18"/>
  <c r="D390" i="18"/>
  <c r="E390" i="18"/>
  <c r="D358" i="18"/>
  <c r="E358" i="18"/>
  <c r="D315" i="18"/>
  <c r="E315" i="18"/>
  <c r="E279" i="18"/>
  <c r="D279" i="18"/>
  <c r="D22" i="18"/>
  <c r="E22" i="18"/>
  <c r="D312" i="18"/>
  <c r="E312" i="18"/>
  <c r="D144" i="18"/>
  <c r="E144" i="18"/>
  <c r="E96" i="18"/>
  <c r="D96" i="18"/>
  <c r="E65" i="18"/>
  <c r="D65" i="18"/>
  <c r="D69" i="18"/>
  <c r="E69" i="18"/>
  <c r="E215" i="18"/>
  <c r="D215" i="18"/>
  <c r="D120" i="18"/>
  <c r="E120" i="18"/>
  <c r="D56" i="18"/>
  <c r="E56" i="18"/>
  <c r="D54" i="18"/>
  <c r="E54" i="18"/>
  <c r="D18" i="18"/>
  <c r="J18" i="18" s="1"/>
  <c r="E18" i="18"/>
  <c r="D626" i="18"/>
  <c r="E626" i="18"/>
  <c r="D959" i="18"/>
  <c r="J959" i="18" s="1"/>
  <c r="E959" i="18"/>
  <c r="D644" i="18"/>
  <c r="E644" i="18"/>
  <c r="D551" i="18"/>
  <c r="J551" i="18" s="1"/>
  <c r="E551" i="18"/>
  <c r="D591" i="18"/>
  <c r="J591" i="18" s="1"/>
  <c r="E591" i="18"/>
  <c r="D403" i="18"/>
  <c r="E403" i="18"/>
  <c r="D475" i="18"/>
  <c r="E475" i="18"/>
  <c r="D405" i="18"/>
  <c r="E405" i="18"/>
  <c r="D259" i="18"/>
  <c r="E259" i="18"/>
  <c r="D269" i="18"/>
  <c r="E269" i="18"/>
  <c r="D485" i="18"/>
  <c r="E485" i="18"/>
  <c r="D162" i="18"/>
  <c r="J162" i="18" s="1"/>
  <c r="E162" i="18"/>
  <c r="D933" i="18"/>
  <c r="E933" i="18"/>
  <c r="D568" i="18"/>
  <c r="J568" i="18" s="1"/>
  <c r="E568" i="18"/>
  <c r="D977" i="18"/>
  <c r="E977" i="18"/>
  <c r="D663" i="18"/>
  <c r="J663" i="18" s="1"/>
  <c r="E663" i="18"/>
  <c r="D814" i="18"/>
  <c r="E814" i="18"/>
  <c r="D1058" i="18"/>
  <c r="E1058" i="18"/>
  <c r="D923" i="18"/>
  <c r="E923" i="18"/>
  <c r="D839" i="18"/>
  <c r="J839" i="18" s="1"/>
  <c r="E839" i="18"/>
  <c r="D946" i="18"/>
  <c r="E946" i="18"/>
  <c r="D666" i="18"/>
  <c r="E666" i="18"/>
  <c r="D790" i="18"/>
  <c r="E790" i="18"/>
  <c r="D296" i="18"/>
  <c r="E296" i="18"/>
  <c r="D346" i="18"/>
  <c r="E346" i="18"/>
  <c r="E521" i="18"/>
  <c r="D521" i="18"/>
  <c r="E347" i="18"/>
  <c r="D347" i="18"/>
  <c r="D108" i="18"/>
  <c r="E108" i="18"/>
  <c r="D629" i="18"/>
  <c r="E629" i="18"/>
  <c r="D1047" i="18"/>
  <c r="E1047" i="18"/>
  <c r="D983" i="18"/>
  <c r="E983" i="18"/>
  <c r="D1029" i="18"/>
  <c r="E1029" i="18"/>
  <c r="D565" i="18"/>
  <c r="E565" i="18"/>
  <c r="D888" i="18"/>
  <c r="E888" i="18"/>
  <c r="D637" i="18"/>
  <c r="E637" i="18"/>
  <c r="D709" i="18"/>
  <c r="E709" i="18"/>
  <c r="D783" i="18"/>
  <c r="E783" i="18"/>
  <c r="D628" i="18"/>
  <c r="E628" i="18"/>
  <c r="D595" i="18"/>
  <c r="E595" i="18"/>
  <c r="D380" i="18"/>
  <c r="E380" i="18"/>
  <c r="D111" i="18"/>
  <c r="E111" i="18"/>
  <c r="D471" i="18"/>
  <c r="E471" i="18"/>
  <c r="E318" i="18"/>
  <c r="D318" i="18"/>
  <c r="D524" i="18"/>
  <c r="E524" i="18"/>
  <c r="D428" i="18"/>
  <c r="E428" i="18"/>
  <c r="D300" i="18"/>
  <c r="E300" i="18"/>
  <c r="D493" i="18"/>
  <c r="E493" i="18"/>
  <c r="D383" i="18"/>
  <c r="E383" i="18"/>
  <c r="D245" i="18"/>
  <c r="E245" i="18"/>
  <c r="D43" i="18"/>
  <c r="J43" i="18" s="1"/>
  <c r="E43" i="18"/>
  <c r="D1019" i="18"/>
  <c r="E1019" i="18"/>
  <c r="D1017" i="18"/>
  <c r="E1017" i="18"/>
  <c r="D925" i="18"/>
  <c r="E925" i="18"/>
  <c r="D561" i="18"/>
  <c r="J561" i="18" s="1"/>
  <c r="E561" i="18"/>
  <c r="D857" i="18"/>
  <c r="E857" i="18"/>
  <c r="D1042" i="18"/>
  <c r="E1042" i="18"/>
  <c r="D978" i="18"/>
  <c r="E978" i="18"/>
  <c r="D736" i="18"/>
  <c r="J736" i="18" s="1"/>
  <c r="E736" i="18"/>
  <c r="D907" i="18"/>
  <c r="E907" i="18"/>
  <c r="D843" i="18"/>
  <c r="E843" i="18"/>
  <c r="D613" i="18"/>
  <c r="E613" i="18"/>
  <c r="D589" i="18"/>
  <c r="E589" i="18"/>
  <c r="D794" i="18"/>
  <c r="E794" i="18"/>
  <c r="E143" i="18"/>
  <c r="D143" i="18"/>
  <c r="D528" i="18"/>
  <c r="E528" i="18"/>
  <c r="D432" i="18"/>
  <c r="E432" i="18"/>
  <c r="D243" i="18"/>
  <c r="E243" i="18"/>
  <c r="D134" i="18"/>
  <c r="E134" i="18"/>
  <c r="D1059" i="18"/>
  <c r="E1059" i="18"/>
  <c r="D968" i="18"/>
  <c r="E968" i="18"/>
  <c r="D869" i="18"/>
  <c r="E869" i="18"/>
  <c r="D1035" i="18"/>
  <c r="E1035" i="18"/>
  <c r="D971" i="18"/>
  <c r="E971" i="18"/>
  <c r="D885" i="18"/>
  <c r="E885" i="18"/>
  <c r="D1057" i="18"/>
  <c r="E1057" i="18"/>
  <c r="D1025" i="18"/>
  <c r="E1025" i="18"/>
  <c r="D993" i="18"/>
  <c r="E993" i="18"/>
  <c r="D956" i="18"/>
  <c r="E956" i="18"/>
  <c r="D761" i="18"/>
  <c r="E761" i="18"/>
  <c r="D943" i="18"/>
  <c r="J943" i="18" s="1"/>
  <c r="E943" i="18"/>
  <c r="D1045" i="18"/>
  <c r="E1045" i="18"/>
  <c r="D973" i="18"/>
  <c r="E973" i="18"/>
  <c r="D945" i="18"/>
  <c r="E945" i="18"/>
  <c r="D1056" i="18"/>
  <c r="E1056" i="18"/>
  <c r="D1040" i="18"/>
  <c r="E1040" i="18"/>
  <c r="D1024" i="18"/>
  <c r="E1024" i="18"/>
  <c r="D1008" i="18"/>
  <c r="E1008" i="18"/>
  <c r="D992" i="18"/>
  <c r="E992" i="18"/>
  <c r="D976" i="18"/>
  <c r="E976" i="18"/>
  <c r="D947" i="18"/>
  <c r="E947" i="18"/>
  <c r="D908" i="18"/>
  <c r="E908" i="18"/>
  <c r="D876" i="18"/>
  <c r="E876" i="18"/>
  <c r="D844" i="18"/>
  <c r="E844" i="18"/>
  <c r="D661" i="18"/>
  <c r="E661" i="18"/>
  <c r="D865" i="18"/>
  <c r="E865" i="18"/>
  <c r="D816" i="18"/>
  <c r="J816" i="18" s="1"/>
  <c r="E816" i="18"/>
  <c r="D737" i="18"/>
  <c r="E737" i="18"/>
  <c r="D1046" i="18"/>
  <c r="E1046" i="18"/>
  <c r="D1026" i="18"/>
  <c r="E1026" i="18"/>
  <c r="D982" i="18"/>
  <c r="E982" i="18"/>
  <c r="D948" i="18"/>
  <c r="E948" i="18"/>
  <c r="D792" i="18"/>
  <c r="E792" i="18"/>
  <c r="D704" i="18"/>
  <c r="J704" i="18" s="1"/>
  <c r="E704" i="18"/>
  <c r="D614" i="18"/>
  <c r="E614" i="18"/>
  <c r="D935" i="18"/>
  <c r="J935" i="18" s="1"/>
  <c r="E935" i="18"/>
  <c r="D891" i="18"/>
  <c r="E891" i="18"/>
  <c r="D871" i="18"/>
  <c r="E871" i="18"/>
  <c r="D788" i="18"/>
  <c r="E788" i="18"/>
  <c r="D700" i="18"/>
  <c r="E700" i="18"/>
  <c r="D934" i="18"/>
  <c r="E934" i="18"/>
  <c r="D914" i="18"/>
  <c r="E914" i="18"/>
  <c r="D870" i="18"/>
  <c r="E870" i="18"/>
  <c r="D850" i="18"/>
  <c r="E850" i="18"/>
  <c r="D800" i="18"/>
  <c r="E800" i="18"/>
  <c r="D651" i="18"/>
  <c r="E651" i="18"/>
  <c r="D678" i="18"/>
  <c r="E678" i="18"/>
  <c r="D634" i="18"/>
  <c r="E634" i="18"/>
  <c r="E778" i="18"/>
  <c r="D778" i="18"/>
  <c r="D758" i="18"/>
  <c r="E758" i="18"/>
  <c r="E714" i="18"/>
  <c r="D714" i="18"/>
  <c r="D694" i="18"/>
  <c r="E694" i="18"/>
  <c r="E227" i="18"/>
  <c r="D227" i="18"/>
  <c r="E266" i="18"/>
  <c r="D266" i="18"/>
  <c r="E212" i="18"/>
  <c r="D212" i="18"/>
  <c r="D486" i="18"/>
  <c r="E486" i="18"/>
  <c r="D411" i="18"/>
  <c r="E411" i="18"/>
  <c r="D344" i="18"/>
  <c r="E344" i="18"/>
  <c r="D202" i="18"/>
  <c r="J202" i="18" s="1"/>
  <c r="E202" i="18"/>
  <c r="D515" i="18"/>
  <c r="E515" i="18"/>
  <c r="D451" i="18"/>
  <c r="E451" i="18"/>
  <c r="D373" i="18"/>
  <c r="E373" i="18"/>
  <c r="E303" i="18"/>
  <c r="D303" i="18"/>
  <c r="D195" i="18"/>
  <c r="E195" i="18"/>
  <c r="E311" i="18"/>
  <c r="D311" i="18"/>
  <c r="E204" i="18"/>
  <c r="D204" i="18"/>
  <c r="D310" i="18"/>
  <c r="E310" i="18"/>
  <c r="E319" i="18"/>
  <c r="D319" i="18"/>
  <c r="D196" i="18"/>
  <c r="E196" i="18"/>
  <c r="D106" i="18"/>
  <c r="J106" i="18" s="1"/>
  <c r="E106" i="18"/>
  <c r="D34" i="18"/>
  <c r="J34" i="18" s="1"/>
  <c r="E34" i="18"/>
  <c r="D323" i="18"/>
  <c r="E323" i="18"/>
  <c r="D257" i="18"/>
  <c r="E257" i="18"/>
  <c r="D189" i="18"/>
  <c r="E189" i="18"/>
  <c r="E147" i="18"/>
  <c r="D147" i="18"/>
  <c r="J147" i="18" s="1"/>
  <c r="D103" i="18"/>
  <c r="E103" i="18"/>
  <c r="E68" i="18"/>
  <c r="D68" i="18"/>
  <c r="D142" i="18"/>
  <c r="E142" i="18"/>
  <c r="E60" i="18"/>
  <c r="D60" i="18"/>
  <c r="D19" i="18"/>
  <c r="J19" i="18" s="1"/>
  <c r="E19" i="18"/>
  <c r="D1039" i="18"/>
  <c r="E1039" i="18"/>
  <c r="D1021" i="18"/>
  <c r="E1021" i="18"/>
  <c r="D965" i="18"/>
  <c r="E965" i="18"/>
  <c r="D824" i="18"/>
  <c r="J824" i="18" s="1"/>
  <c r="E824" i="18"/>
  <c r="D817" i="18"/>
  <c r="E817" i="18"/>
  <c r="D755" i="18"/>
  <c r="E755" i="18"/>
  <c r="D618" i="18"/>
  <c r="E618" i="18"/>
  <c r="D580" i="18"/>
  <c r="E580" i="18"/>
  <c r="D407" i="18"/>
  <c r="E407" i="18"/>
  <c r="D50" i="18"/>
  <c r="J50" i="18" s="1"/>
  <c r="E50" i="18"/>
  <c r="E240" i="18"/>
  <c r="D240" i="18"/>
  <c r="E329" i="18"/>
  <c r="D329" i="18"/>
  <c r="D517" i="18"/>
  <c r="E517" i="18"/>
  <c r="E343" i="18"/>
  <c r="D343" i="18"/>
  <c r="D32" i="18"/>
  <c r="E32" i="18"/>
  <c r="D989" i="18"/>
  <c r="E989" i="18"/>
  <c r="D1014" i="18"/>
  <c r="E1014" i="18"/>
  <c r="D724" i="18"/>
  <c r="E724" i="18"/>
  <c r="D902" i="18"/>
  <c r="E902" i="18"/>
  <c r="D621" i="18"/>
  <c r="E621" i="18"/>
  <c r="D746" i="18"/>
  <c r="E746" i="18"/>
  <c r="D232" i="18"/>
  <c r="E232" i="18"/>
  <c r="D498" i="18"/>
  <c r="E498" i="18"/>
  <c r="D86" i="18"/>
  <c r="E86" i="18"/>
  <c r="E41" i="18"/>
  <c r="D41" i="18"/>
  <c r="D463" i="18"/>
  <c r="E463" i="18"/>
  <c r="D71" i="18"/>
  <c r="E71" i="18"/>
  <c r="D456" i="18"/>
  <c r="E456" i="18"/>
  <c r="E489" i="18"/>
  <c r="D489" i="18"/>
  <c r="E301" i="18"/>
  <c r="D301" i="18"/>
  <c r="D63" i="18"/>
  <c r="E63" i="18"/>
  <c r="D997" i="18"/>
  <c r="E997" i="18"/>
  <c r="D929" i="18"/>
  <c r="E929" i="18"/>
  <c r="D1062" i="18"/>
  <c r="E1062" i="18"/>
  <c r="D998" i="18"/>
  <c r="E998" i="18"/>
  <c r="D820" i="18"/>
  <c r="E820" i="18"/>
  <c r="D732" i="18"/>
  <c r="E732" i="18"/>
  <c r="D930" i="18"/>
  <c r="E930" i="18"/>
  <c r="D866" i="18"/>
  <c r="E866" i="18"/>
  <c r="D774" i="18"/>
  <c r="E774" i="18"/>
  <c r="D730" i="18"/>
  <c r="E730" i="18"/>
  <c r="D606" i="18"/>
  <c r="E606" i="18"/>
  <c r="D562" i="18"/>
  <c r="J562" i="18" s="1"/>
  <c r="E562" i="18"/>
  <c r="D59" i="18"/>
  <c r="J59" i="18" s="1"/>
  <c r="E59" i="18"/>
  <c r="D130" i="18"/>
  <c r="E130" i="18"/>
  <c r="D490" i="18"/>
  <c r="E490" i="18"/>
  <c r="D420" i="18"/>
  <c r="E420" i="18"/>
  <c r="E401" i="18"/>
  <c r="D401" i="18"/>
  <c r="D470" i="18"/>
  <c r="E470" i="18"/>
  <c r="D496" i="18"/>
  <c r="E496" i="18"/>
  <c r="D354" i="18"/>
  <c r="E354" i="18"/>
  <c r="D188" i="18"/>
  <c r="E188" i="18"/>
  <c r="E199" i="18"/>
  <c r="D199" i="18"/>
  <c r="D175" i="18"/>
  <c r="E175" i="18"/>
  <c r="D49" i="18"/>
  <c r="E49" i="18"/>
  <c r="D1043" i="18"/>
  <c r="E1043" i="18"/>
  <c r="D573" i="18"/>
  <c r="E573" i="18"/>
  <c r="D1031" i="18"/>
  <c r="E1031" i="18"/>
  <c r="D999" i="18"/>
  <c r="E999" i="18"/>
  <c r="D955" i="18"/>
  <c r="E955" i="18"/>
  <c r="D1013" i="18"/>
  <c r="E1013" i="18"/>
  <c r="D570" i="18"/>
  <c r="J570" i="18" s="1"/>
  <c r="E570" i="18"/>
  <c r="D877" i="18"/>
  <c r="E877" i="18"/>
  <c r="E673" i="18"/>
  <c r="D673" i="18"/>
  <c r="E949" i="18"/>
  <c r="D949" i="18"/>
  <c r="D864" i="18"/>
  <c r="E864" i="18"/>
  <c r="D805" i="18"/>
  <c r="E805" i="18"/>
  <c r="E633" i="18"/>
  <c r="D633" i="18"/>
  <c r="D793" i="18"/>
  <c r="E793" i="18"/>
  <c r="D617" i="18"/>
  <c r="E617" i="18"/>
  <c r="D773" i="18"/>
  <c r="E773" i="18"/>
  <c r="D733" i="18"/>
  <c r="E733" i="18"/>
  <c r="D598" i="18"/>
  <c r="E598" i="18"/>
  <c r="D833" i="18"/>
  <c r="E833" i="18"/>
  <c r="D660" i="18"/>
  <c r="E660" i="18"/>
  <c r="D640" i="18"/>
  <c r="J640" i="18" s="1"/>
  <c r="E640" i="18"/>
  <c r="D771" i="18"/>
  <c r="E771" i="18"/>
  <c r="D751" i="18"/>
  <c r="J751" i="18" s="1"/>
  <c r="E751" i="18"/>
  <c r="D707" i="18"/>
  <c r="E707" i="18"/>
  <c r="D687" i="18"/>
  <c r="J687" i="18" s="1"/>
  <c r="E687" i="18"/>
  <c r="D807" i="18"/>
  <c r="J807" i="18" s="1"/>
  <c r="E807" i="18"/>
  <c r="D625" i="18"/>
  <c r="E625" i="18"/>
  <c r="D616" i="18"/>
  <c r="J616" i="18" s="1"/>
  <c r="E616" i="18"/>
  <c r="D596" i="18"/>
  <c r="E596" i="18"/>
  <c r="D627" i="18"/>
  <c r="E627" i="18"/>
  <c r="D607" i="18"/>
  <c r="J607" i="18" s="1"/>
  <c r="E607" i="18"/>
  <c r="D552" i="18"/>
  <c r="J552" i="18" s="1"/>
  <c r="E552" i="18"/>
  <c r="D291" i="18"/>
  <c r="E291" i="18"/>
  <c r="D450" i="18"/>
  <c r="E450" i="18"/>
  <c r="D118" i="18"/>
  <c r="E118" i="18"/>
  <c r="D494" i="18"/>
  <c r="E494" i="18"/>
  <c r="D430" i="18"/>
  <c r="E430" i="18"/>
  <c r="D352" i="18"/>
  <c r="E352" i="18"/>
  <c r="D238" i="18"/>
  <c r="E238" i="18"/>
  <c r="D523" i="18"/>
  <c r="E523" i="18"/>
  <c r="D459" i="18"/>
  <c r="E459" i="18"/>
  <c r="D381" i="18"/>
  <c r="E381" i="18"/>
  <c r="D213" i="18"/>
  <c r="E213" i="18"/>
  <c r="D79" i="18"/>
  <c r="E79" i="18"/>
  <c r="D314" i="18"/>
  <c r="E314" i="18"/>
  <c r="D250" i="18"/>
  <c r="E250" i="18"/>
  <c r="D149" i="18"/>
  <c r="E149" i="18"/>
  <c r="D109" i="18"/>
  <c r="E109" i="18"/>
  <c r="D36" i="18"/>
  <c r="J36" i="18" s="1"/>
  <c r="E36" i="18"/>
  <c r="D327" i="18"/>
  <c r="E327" i="18"/>
  <c r="D261" i="18"/>
  <c r="E261" i="18"/>
  <c r="D190" i="18"/>
  <c r="E190" i="18"/>
  <c r="E150" i="18"/>
  <c r="D150" i="18"/>
  <c r="D75" i="18"/>
  <c r="J75" i="18" s="1"/>
  <c r="E75" i="18"/>
  <c r="D25" i="18"/>
  <c r="E25" i="18"/>
  <c r="D230" i="18"/>
  <c r="E230" i="18"/>
  <c r="D152" i="18"/>
  <c r="E152" i="18"/>
  <c r="D98" i="18"/>
  <c r="J98" i="18" s="1"/>
  <c r="E98" i="18"/>
  <c r="D944" i="18"/>
  <c r="E944" i="18"/>
  <c r="D912" i="18"/>
  <c r="E912" i="18"/>
  <c r="D880" i="18"/>
  <c r="E880" i="18"/>
  <c r="D848" i="18"/>
  <c r="E848" i="18"/>
  <c r="D669" i="18"/>
  <c r="E669" i="18"/>
  <c r="E665" i="18"/>
  <c r="D665" i="18"/>
  <c r="D818" i="18"/>
  <c r="E818" i="18"/>
  <c r="D784" i="18"/>
  <c r="E784" i="18"/>
  <c r="D752" i="18"/>
  <c r="E752" i="18"/>
  <c r="D720" i="18"/>
  <c r="J720" i="18" s="1"/>
  <c r="E720" i="18"/>
  <c r="D688" i="18"/>
  <c r="J688" i="18" s="1"/>
  <c r="E688" i="18"/>
  <c r="D815" i="18"/>
  <c r="J815" i="18" s="1"/>
  <c r="E815" i="18"/>
  <c r="D675" i="18"/>
  <c r="E675" i="18"/>
  <c r="D643" i="18"/>
  <c r="E643" i="18"/>
  <c r="D802" i="18"/>
  <c r="E802" i="18"/>
  <c r="D786" i="18"/>
  <c r="E786" i="18"/>
  <c r="E770" i="18"/>
  <c r="D770" i="18"/>
  <c r="D754" i="18"/>
  <c r="E754" i="18"/>
  <c r="D738" i="18"/>
  <c r="E738" i="18"/>
  <c r="D722" i="18"/>
  <c r="E722" i="18"/>
  <c r="D706" i="18"/>
  <c r="E706" i="18"/>
  <c r="D690" i="18"/>
  <c r="E690" i="18"/>
  <c r="D622" i="18"/>
  <c r="E622" i="18"/>
  <c r="D590" i="18"/>
  <c r="E590" i="18"/>
  <c r="D619" i="18"/>
  <c r="E619" i="18"/>
  <c r="D603" i="18"/>
  <c r="E603" i="18"/>
  <c r="D587" i="18"/>
  <c r="E587" i="18"/>
  <c r="D560" i="18"/>
  <c r="J560" i="18" s="1"/>
  <c r="E560" i="18"/>
  <c r="D262" i="18"/>
  <c r="E262" i="18"/>
  <c r="E164" i="18"/>
  <c r="D164" i="18"/>
  <c r="D434" i="18"/>
  <c r="E434" i="18"/>
  <c r="D288" i="18"/>
  <c r="E288" i="18"/>
  <c r="E247" i="18"/>
  <c r="D247" i="18"/>
  <c r="E236" i="18"/>
  <c r="D236" i="18"/>
  <c r="D442" i="18"/>
  <c r="E442" i="18"/>
  <c r="D274" i="18"/>
  <c r="J274" i="18" s="1"/>
  <c r="E274" i="18"/>
  <c r="E33" i="18"/>
  <c r="D33" i="18"/>
  <c r="E252" i="18"/>
  <c r="D252" i="18"/>
  <c r="D519" i="18"/>
  <c r="E519" i="18"/>
  <c r="D455" i="18"/>
  <c r="E455" i="18"/>
  <c r="E377" i="18"/>
  <c r="D377" i="18"/>
  <c r="E285" i="18"/>
  <c r="D285" i="18"/>
  <c r="D180" i="18"/>
  <c r="E180" i="18"/>
  <c r="D526" i="18"/>
  <c r="E526" i="18"/>
  <c r="D462" i="18"/>
  <c r="E462" i="18"/>
  <c r="D384" i="18"/>
  <c r="E384" i="18"/>
  <c r="D306" i="18"/>
  <c r="E306" i="18"/>
  <c r="D507" i="18"/>
  <c r="E507" i="18"/>
  <c r="D443" i="18"/>
  <c r="E443" i="18"/>
  <c r="D365" i="18"/>
  <c r="E365" i="18"/>
  <c r="D292" i="18"/>
  <c r="E292" i="18"/>
  <c r="D160" i="18"/>
  <c r="E160" i="18"/>
  <c r="D275" i="18"/>
  <c r="E275" i="18"/>
  <c r="D185" i="18"/>
  <c r="E185" i="18"/>
  <c r="D423" i="18"/>
  <c r="E423" i="18"/>
  <c r="D299" i="18"/>
  <c r="E299" i="18"/>
  <c r="D249" i="18"/>
  <c r="E249" i="18"/>
  <c r="D132" i="18"/>
  <c r="E132" i="18"/>
  <c r="D37" i="18"/>
  <c r="E37" i="18"/>
  <c r="D516" i="18"/>
  <c r="E516" i="18"/>
  <c r="D484" i="18"/>
  <c r="E484" i="18"/>
  <c r="D452" i="18"/>
  <c r="E452" i="18"/>
  <c r="D413" i="18"/>
  <c r="E413" i="18"/>
  <c r="D374" i="18"/>
  <c r="E374" i="18"/>
  <c r="D342" i="18"/>
  <c r="E342" i="18"/>
  <c r="D297" i="18"/>
  <c r="E297" i="18"/>
  <c r="D224" i="18"/>
  <c r="E224" i="18"/>
  <c r="D84" i="18"/>
  <c r="E84" i="18"/>
  <c r="D425" i="18"/>
  <c r="E425" i="18"/>
  <c r="D308" i="18"/>
  <c r="E308" i="18"/>
  <c r="D253" i="18"/>
  <c r="E253" i="18"/>
  <c r="D187" i="18"/>
  <c r="E187" i="18"/>
  <c r="D58" i="18"/>
  <c r="J58" i="18" s="1"/>
  <c r="E58" i="18"/>
  <c r="D509" i="18"/>
  <c r="E509" i="18"/>
  <c r="D477" i="18"/>
  <c r="E477" i="18"/>
  <c r="D445" i="18"/>
  <c r="E445" i="18"/>
  <c r="D399" i="18"/>
  <c r="E399" i="18"/>
  <c r="E367" i="18"/>
  <c r="D367" i="18"/>
  <c r="E335" i="18"/>
  <c r="D335" i="18"/>
  <c r="D226" i="18"/>
  <c r="E226" i="18"/>
  <c r="E133" i="18"/>
  <c r="D133" i="18"/>
  <c r="E140" i="18"/>
  <c r="D140" i="18"/>
  <c r="D92" i="18"/>
  <c r="E92" i="18"/>
  <c r="D61" i="18"/>
  <c r="E61" i="18"/>
  <c r="D158" i="18"/>
  <c r="E158" i="18"/>
  <c r="D21" i="18"/>
  <c r="E21" i="18"/>
  <c r="D211" i="18"/>
  <c r="E211" i="18"/>
  <c r="D94" i="18"/>
  <c r="E94" i="18"/>
  <c r="D48" i="18"/>
  <c r="E48" i="18"/>
  <c r="D146" i="18"/>
  <c r="J146" i="18" s="1"/>
  <c r="E146" i="18"/>
  <c r="E28" i="18"/>
  <c r="D28" i="18"/>
  <c r="J28" i="18" s="1"/>
  <c r="D51" i="18"/>
  <c r="J51" i="18" s="1"/>
  <c r="E51" i="18"/>
  <c r="D27" i="18"/>
  <c r="J27" i="18" s="1"/>
  <c r="E27" i="18"/>
  <c r="D713" i="18"/>
  <c r="E713" i="18"/>
  <c r="D557" i="18"/>
  <c r="E557" i="18"/>
  <c r="D1048" i="18"/>
  <c r="E1048" i="18"/>
  <c r="D1032" i="18"/>
  <c r="E1032" i="18"/>
  <c r="D1016" i="18"/>
  <c r="E1016" i="18"/>
  <c r="D1000" i="18"/>
  <c r="E1000" i="18"/>
  <c r="D984" i="18"/>
  <c r="E984" i="18"/>
  <c r="D964" i="18"/>
  <c r="E964" i="18"/>
  <c r="D924" i="18"/>
  <c r="E924" i="18"/>
  <c r="D892" i="18"/>
  <c r="E892" i="18"/>
  <c r="D860" i="18"/>
  <c r="E860" i="18"/>
  <c r="D822" i="18"/>
  <c r="E822" i="18"/>
  <c r="D937" i="18"/>
  <c r="E937" i="18"/>
  <c r="D905" i="18"/>
  <c r="E905" i="18"/>
  <c r="D873" i="18"/>
  <c r="E873" i="18"/>
  <c r="D841" i="18"/>
  <c r="E841" i="18"/>
  <c r="D769" i="18"/>
  <c r="E769" i="18"/>
  <c r="D705" i="18"/>
  <c r="J705" i="18" s="1"/>
  <c r="E705" i="18"/>
  <c r="D639" i="18"/>
  <c r="J639" i="18" s="1"/>
  <c r="E639" i="18"/>
  <c r="D1050" i="18"/>
  <c r="E1050" i="18"/>
  <c r="D1034" i="18"/>
  <c r="E1034" i="18"/>
  <c r="D1018" i="18"/>
  <c r="E1018" i="18"/>
  <c r="D1002" i="18"/>
  <c r="E1002" i="18"/>
  <c r="D986" i="18"/>
  <c r="E986" i="18"/>
  <c r="D970" i="18"/>
  <c r="E970" i="18"/>
  <c r="D803" i="18"/>
  <c r="E803" i="18"/>
  <c r="D553" i="18"/>
  <c r="J553" i="18" s="1"/>
  <c r="E553" i="18"/>
  <c r="D927" i="18"/>
  <c r="E927" i="18"/>
  <c r="D911" i="18"/>
  <c r="E911" i="18"/>
  <c r="D895" i="18"/>
  <c r="E895" i="18"/>
  <c r="D879" i="18"/>
  <c r="E879" i="18"/>
  <c r="D863" i="18"/>
  <c r="J863" i="18" s="1"/>
  <c r="E863" i="18"/>
  <c r="D847" i="18"/>
  <c r="J847" i="18" s="1"/>
  <c r="E847" i="18"/>
  <c r="D830" i="18"/>
  <c r="E830" i="18"/>
  <c r="D781" i="18"/>
  <c r="E781" i="18"/>
  <c r="D749" i="18"/>
  <c r="E749" i="18"/>
  <c r="D717" i="18"/>
  <c r="E717" i="18"/>
  <c r="D685" i="18"/>
  <c r="E685" i="18"/>
  <c r="D578" i="18"/>
  <c r="J578" i="18" s="1"/>
  <c r="E578" i="18"/>
  <c r="D772" i="18"/>
  <c r="E772" i="18"/>
  <c r="D740" i="18"/>
  <c r="E740" i="18"/>
  <c r="D708" i="18"/>
  <c r="E708" i="18"/>
  <c r="D954" i="18"/>
  <c r="E954" i="18"/>
  <c r="D938" i="18"/>
  <c r="E938" i="18"/>
  <c r="D922" i="18"/>
  <c r="E922" i="18"/>
  <c r="D906" i="18"/>
  <c r="E906" i="18"/>
  <c r="D890" i="18"/>
  <c r="E890" i="18"/>
  <c r="D874" i="18"/>
  <c r="E874" i="18"/>
  <c r="D858" i="18"/>
  <c r="E858" i="18"/>
  <c r="D842" i="18"/>
  <c r="E842" i="18"/>
  <c r="D825" i="18"/>
  <c r="E825" i="18"/>
  <c r="D809" i="18"/>
  <c r="E809" i="18"/>
  <c r="D664" i="18"/>
  <c r="E664" i="18"/>
  <c r="D648" i="18"/>
  <c r="E648" i="18"/>
  <c r="D632" i="18"/>
  <c r="J632" i="18" s="1"/>
  <c r="E632" i="18"/>
  <c r="D791" i="18"/>
  <c r="E791" i="18"/>
  <c r="D775" i="18"/>
  <c r="E775" i="18"/>
  <c r="D759" i="18"/>
  <c r="J759" i="18" s="1"/>
  <c r="E759" i="18"/>
  <c r="D743" i="18"/>
  <c r="J743" i="18" s="1"/>
  <c r="E743" i="18"/>
  <c r="D727" i="18"/>
  <c r="J727" i="18" s="1"/>
  <c r="E727" i="18"/>
  <c r="D711" i="18"/>
  <c r="J711" i="18" s="1"/>
  <c r="E711" i="18"/>
  <c r="D695" i="18"/>
  <c r="J695" i="18" s="1"/>
  <c r="E695" i="18"/>
  <c r="D679" i="18"/>
  <c r="J679" i="18" s="1"/>
  <c r="E679" i="18"/>
  <c r="D602" i="18"/>
  <c r="E602" i="18"/>
  <c r="D567" i="18"/>
  <c r="J567" i="18" s="1"/>
  <c r="E567" i="18"/>
  <c r="D670" i="18"/>
  <c r="E670" i="18"/>
  <c r="D654" i="18"/>
  <c r="E654" i="18"/>
  <c r="D638" i="18"/>
  <c r="E638" i="18"/>
  <c r="D564" i="18"/>
  <c r="E564" i="18"/>
  <c r="D609" i="18"/>
  <c r="J609" i="18" s="1"/>
  <c r="E609" i="18"/>
  <c r="D571" i="18"/>
  <c r="E571" i="18"/>
  <c r="D620" i="18"/>
  <c r="E620" i="18"/>
  <c r="D604" i="18"/>
  <c r="E604" i="18"/>
  <c r="D588" i="18"/>
  <c r="E588" i="18"/>
  <c r="D307" i="18"/>
  <c r="E307" i="18"/>
  <c r="E209" i="18"/>
  <c r="D209" i="18"/>
  <c r="D328" i="18"/>
  <c r="E328" i="18"/>
  <c r="D514" i="18"/>
  <c r="E514" i="18"/>
  <c r="D396" i="18"/>
  <c r="E396" i="18"/>
  <c r="D102" i="18"/>
  <c r="E102" i="18"/>
  <c r="D46" i="18"/>
  <c r="E46" i="18"/>
  <c r="E201" i="18"/>
  <c r="D201" i="18"/>
  <c r="D522" i="18"/>
  <c r="E522" i="18"/>
  <c r="D356" i="18"/>
  <c r="E356" i="18"/>
  <c r="D219" i="18"/>
  <c r="E219" i="18"/>
  <c r="D97" i="18"/>
  <c r="E97" i="18"/>
  <c r="D174" i="18"/>
  <c r="E174" i="18"/>
  <c r="D495" i="18"/>
  <c r="E495" i="18"/>
  <c r="E431" i="18"/>
  <c r="D431" i="18"/>
  <c r="E353" i="18"/>
  <c r="D353" i="18"/>
  <c r="E221" i="18"/>
  <c r="D221" i="18"/>
  <c r="E137" i="18"/>
  <c r="D137" i="18"/>
  <c r="D502" i="18"/>
  <c r="E502" i="18"/>
  <c r="D438" i="18"/>
  <c r="E438" i="18"/>
  <c r="D360" i="18"/>
  <c r="E360" i="18"/>
  <c r="D284" i="18"/>
  <c r="E284" i="18"/>
  <c r="E57" i="18"/>
  <c r="D57" i="18"/>
  <c r="D483" i="18"/>
  <c r="E483" i="18"/>
  <c r="D416" i="18"/>
  <c r="E416" i="18"/>
  <c r="D341" i="18"/>
  <c r="E341" i="18"/>
  <c r="D251" i="18"/>
  <c r="E251" i="18"/>
  <c r="D424" i="18"/>
  <c r="E424" i="18"/>
  <c r="D256" i="18"/>
  <c r="E256" i="18"/>
  <c r="D126" i="18"/>
  <c r="E126" i="18"/>
  <c r="D404" i="18"/>
  <c r="E404" i="18"/>
  <c r="D267" i="18"/>
  <c r="E267" i="18"/>
  <c r="E220" i="18"/>
  <c r="D220" i="18"/>
  <c r="D504" i="18"/>
  <c r="E504" i="18"/>
  <c r="D472" i="18"/>
  <c r="E472" i="18"/>
  <c r="D440" i="18"/>
  <c r="E440" i="18"/>
  <c r="D394" i="18"/>
  <c r="E394" i="18"/>
  <c r="D362" i="18"/>
  <c r="E362" i="18"/>
  <c r="D286" i="18"/>
  <c r="E286" i="18"/>
  <c r="D197" i="18"/>
  <c r="E197" i="18"/>
  <c r="D128" i="18"/>
  <c r="E128" i="18"/>
  <c r="D406" i="18"/>
  <c r="E406" i="18"/>
  <c r="D273" i="18"/>
  <c r="E273" i="18"/>
  <c r="D216" i="18"/>
  <c r="E216" i="18"/>
  <c r="D156" i="18"/>
  <c r="E156" i="18"/>
  <c r="E529" i="18"/>
  <c r="D529" i="18"/>
  <c r="E497" i="18"/>
  <c r="D497" i="18"/>
  <c r="E465" i="18"/>
  <c r="D465" i="18"/>
  <c r="E433" i="18"/>
  <c r="D433" i="18"/>
  <c r="E387" i="18"/>
  <c r="D387" i="18"/>
  <c r="D355" i="18"/>
  <c r="E355" i="18"/>
  <c r="E316" i="18"/>
  <c r="D316" i="18"/>
  <c r="E276" i="18"/>
  <c r="D276" i="18"/>
  <c r="D207" i="18"/>
  <c r="E207" i="18"/>
  <c r="D114" i="18"/>
  <c r="E114" i="18"/>
  <c r="D82" i="18"/>
  <c r="J82" i="18" s="1"/>
  <c r="E82" i="18"/>
  <c r="D138" i="18"/>
  <c r="E138" i="18"/>
  <c r="D73" i="18"/>
  <c r="E73" i="18"/>
  <c r="D172" i="18"/>
  <c r="E172" i="18"/>
  <c r="D112" i="18"/>
  <c r="E112" i="18"/>
  <c r="D80" i="18"/>
  <c r="E80" i="18"/>
  <c r="D176" i="18"/>
  <c r="E176" i="18"/>
  <c r="D131" i="18"/>
  <c r="E131" i="18"/>
  <c r="D67" i="18"/>
  <c r="J67" i="18" s="1"/>
  <c r="E67" i="18"/>
  <c r="D38" i="18"/>
  <c r="E38" i="18"/>
  <c r="D645" i="18"/>
  <c r="E645" i="18"/>
  <c r="D936" i="18"/>
  <c r="E936" i="18"/>
  <c r="D904" i="18"/>
  <c r="E904" i="18"/>
  <c r="D872" i="18"/>
  <c r="E872" i="18"/>
  <c r="D840" i="18"/>
  <c r="E840" i="18"/>
  <c r="D653" i="18"/>
  <c r="E653" i="18"/>
  <c r="D828" i="18"/>
  <c r="E828" i="18"/>
  <c r="D649" i="18"/>
  <c r="E649" i="18"/>
  <c r="D804" i="18"/>
  <c r="E804" i="18"/>
  <c r="D776" i="18"/>
  <c r="E776" i="18"/>
  <c r="D744" i="18"/>
  <c r="E744" i="18"/>
  <c r="D712" i="18"/>
  <c r="J712" i="18" s="1"/>
  <c r="E712" i="18"/>
  <c r="D680" i="18"/>
  <c r="J680" i="18" s="1"/>
  <c r="E680" i="18"/>
  <c r="D582" i="18"/>
  <c r="E582" i="18"/>
  <c r="D832" i="18"/>
  <c r="J832" i="18" s="1"/>
  <c r="E832" i="18"/>
  <c r="D581" i="18"/>
  <c r="E581" i="18"/>
  <c r="D808" i="18"/>
  <c r="J808" i="18" s="1"/>
  <c r="E808" i="18"/>
  <c r="D630" i="18"/>
  <c r="E630" i="18"/>
  <c r="D559" i="18"/>
  <c r="J559" i="18" s="1"/>
  <c r="E559" i="18"/>
  <c r="D667" i="18"/>
  <c r="E667" i="18"/>
  <c r="D635" i="18"/>
  <c r="E635" i="18"/>
  <c r="D605" i="18"/>
  <c r="E605" i="18"/>
  <c r="D798" i="18"/>
  <c r="E798" i="18"/>
  <c r="D782" i="18"/>
  <c r="E782" i="18"/>
  <c r="D766" i="18"/>
  <c r="E766" i="18"/>
  <c r="D750" i="18"/>
  <c r="E750" i="18"/>
  <c r="D734" i="18"/>
  <c r="E734" i="18"/>
  <c r="D718" i="18"/>
  <c r="E718" i="18"/>
  <c r="D702" i="18"/>
  <c r="E702" i="18"/>
  <c r="D686" i="18"/>
  <c r="E686" i="18"/>
  <c r="D631" i="18"/>
  <c r="J631" i="18" s="1"/>
  <c r="E631" i="18"/>
  <c r="D615" i="18"/>
  <c r="J615" i="18" s="1"/>
  <c r="E615" i="18"/>
  <c r="D599" i="18"/>
  <c r="J599" i="18" s="1"/>
  <c r="E599" i="18"/>
  <c r="D583" i="18"/>
  <c r="J583" i="18" s="1"/>
  <c r="E583" i="18"/>
  <c r="D556" i="18"/>
  <c r="E556" i="18"/>
  <c r="D409" i="18"/>
  <c r="E409" i="18"/>
  <c r="D100" i="18"/>
  <c r="E100" i="18"/>
  <c r="D415" i="18"/>
  <c r="E415" i="18"/>
  <c r="D210" i="18"/>
  <c r="E210" i="18"/>
  <c r="D66" i="18"/>
  <c r="J66" i="18" s="1"/>
  <c r="E66" i="18"/>
  <c r="D141" i="18"/>
  <c r="E141" i="18"/>
  <c r="D372" i="18"/>
  <c r="E372" i="18"/>
  <c r="D237" i="18"/>
  <c r="E237" i="18"/>
  <c r="D218" i="18"/>
  <c r="E218" i="18"/>
  <c r="E223" i="18"/>
  <c r="D223" i="18"/>
  <c r="D503" i="18"/>
  <c r="E503" i="18"/>
  <c r="D439" i="18"/>
  <c r="E439" i="18"/>
  <c r="E361" i="18"/>
  <c r="D361" i="18"/>
  <c r="D510" i="18"/>
  <c r="E510" i="18"/>
  <c r="D446" i="18"/>
  <c r="E446" i="18"/>
  <c r="D368" i="18"/>
  <c r="E368" i="18"/>
  <c r="E295" i="18"/>
  <c r="D295" i="18"/>
  <c r="D88" i="18"/>
  <c r="E88" i="18"/>
  <c r="D491" i="18"/>
  <c r="E491" i="18"/>
  <c r="D427" i="18"/>
  <c r="E427" i="18"/>
  <c r="D349" i="18"/>
  <c r="E349" i="18"/>
  <c r="D278" i="18"/>
  <c r="E278" i="18"/>
  <c r="E31" i="18"/>
  <c r="D31" i="18"/>
  <c r="D264" i="18"/>
  <c r="E264" i="18"/>
  <c r="D145" i="18"/>
  <c r="E145" i="18"/>
  <c r="D408" i="18"/>
  <c r="E408" i="18"/>
  <c r="E271" i="18"/>
  <c r="D271" i="18"/>
  <c r="D229" i="18"/>
  <c r="E229" i="18"/>
  <c r="D99" i="18"/>
  <c r="E99" i="18"/>
  <c r="D508" i="18"/>
  <c r="E508" i="18"/>
  <c r="D476" i="18"/>
  <c r="E476" i="18"/>
  <c r="D444" i="18"/>
  <c r="E444" i="18"/>
  <c r="D398" i="18"/>
  <c r="E398" i="18"/>
  <c r="D366" i="18"/>
  <c r="E366" i="18"/>
  <c r="D334" i="18"/>
  <c r="E334" i="18"/>
  <c r="D290" i="18"/>
  <c r="J290" i="18" s="1"/>
  <c r="E290" i="18"/>
  <c r="D205" i="18"/>
  <c r="E205" i="18"/>
  <c r="D139" i="18"/>
  <c r="E139" i="18"/>
  <c r="D64" i="18"/>
  <c r="E64" i="18"/>
  <c r="D410" i="18"/>
  <c r="E410" i="18"/>
  <c r="D225" i="18"/>
  <c r="E225" i="18"/>
  <c r="D170" i="18"/>
  <c r="J170" i="18" s="1"/>
  <c r="E170" i="18"/>
  <c r="D501" i="18"/>
  <c r="E501" i="18"/>
  <c r="D469" i="18"/>
  <c r="E469" i="18"/>
  <c r="D437" i="18"/>
  <c r="E437" i="18"/>
  <c r="E391" i="18"/>
  <c r="D391" i="18"/>
  <c r="E359" i="18"/>
  <c r="D359" i="18"/>
  <c r="E320" i="18"/>
  <c r="D320" i="18"/>
  <c r="E280" i="18"/>
  <c r="D280" i="18"/>
  <c r="E208" i="18"/>
  <c r="D208" i="18"/>
  <c r="E72" i="18"/>
  <c r="D72" i="18"/>
  <c r="D125" i="18"/>
  <c r="E125" i="18"/>
  <c r="D85" i="18"/>
  <c r="E85" i="18"/>
  <c r="E45" i="18"/>
  <c r="D45" i="18"/>
  <c r="D182" i="18"/>
  <c r="E182" i="18"/>
  <c r="D148" i="18"/>
  <c r="E148" i="18"/>
  <c r="D76" i="18"/>
  <c r="E76" i="18"/>
  <c r="D179" i="18"/>
  <c r="E179" i="18"/>
  <c r="D123" i="18"/>
  <c r="E123" i="18"/>
  <c r="D87" i="18"/>
  <c r="E87" i="18"/>
  <c r="E183" i="18"/>
  <c r="D183" i="18"/>
  <c r="E135" i="18"/>
  <c r="D135" i="18"/>
  <c r="D70" i="18"/>
  <c r="E70" i="18"/>
  <c r="D42" i="18"/>
  <c r="J42" i="18" s="1"/>
  <c r="E42" i="18"/>
  <c r="E1052" i="18"/>
  <c r="D1052" i="18"/>
  <c r="D1036" i="18"/>
  <c r="E1036" i="18"/>
  <c r="E1020" i="18"/>
  <c r="D1020" i="18"/>
  <c r="D1004" i="18"/>
  <c r="E1004" i="18"/>
  <c r="E988" i="18"/>
  <c r="D988" i="18"/>
  <c r="D972" i="18"/>
  <c r="E972" i="18"/>
  <c r="D932" i="18"/>
  <c r="E932" i="18"/>
  <c r="E900" i="18"/>
  <c r="D900" i="18"/>
  <c r="D868" i="18"/>
  <c r="E868" i="18"/>
  <c r="D836" i="18"/>
  <c r="E836" i="18"/>
  <c r="D940" i="18"/>
  <c r="E940" i="18"/>
  <c r="D913" i="18"/>
  <c r="E913" i="18"/>
  <c r="D881" i="18"/>
  <c r="E881" i="18"/>
  <c r="D849" i="18"/>
  <c r="E849" i="18"/>
  <c r="D785" i="18"/>
  <c r="E785" i="18"/>
  <c r="D721" i="18"/>
  <c r="E721" i="18"/>
  <c r="D655" i="18"/>
  <c r="J655" i="18" s="1"/>
  <c r="E655" i="18"/>
  <c r="D1054" i="18"/>
  <c r="E1054" i="18"/>
  <c r="D1038" i="18"/>
  <c r="E1038" i="18"/>
  <c r="D1022" i="18"/>
  <c r="E1022" i="18"/>
  <c r="D1006" i="18"/>
  <c r="E1006" i="18"/>
  <c r="D990" i="18"/>
  <c r="E990" i="18"/>
  <c r="D974" i="18"/>
  <c r="E974" i="18"/>
  <c r="D941" i="18"/>
  <c r="E941" i="18"/>
  <c r="D585" i="18"/>
  <c r="J585" i="18" s="1"/>
  <c r="E585" i="18"/>
  <c r="D931" i="18"/>
  <c r="E931" i="18"/>
  <c r="D915" i="18"/>
  <c r="E915" i="18"/>
  <c r="D899" i="18"/>
  <c r="E899" i="18"/>
  <c r="D883" i="18"/>
  <c r="E883" i="18"/>
  <c r="D867" i="18"/>
  <c r="E867" i="18"/>
  <c r="D851" i="18"/>
  <c r="E851" i="18"/>
  <c r="D835" i="18"/>
  <c r="E835" i="18"/>
  <c r="D789" i="18"/>
  <c r="E789" i="18"/>
  <c r="D757" i="18"/>
  <c r="E757" i="18"/>
  <c r="D725" i="18"/>
  <c r="E725" i="18"/>
  <c r="D693" i="18"/>
  <c r="E693" i="18"/>
  <c r="D812" i="18"/>
  <c r="E812" i="18"/>
  <c r="D780" i="18"/>
  <c r="E780" i="18"/>
  <c r="D748" i="18"/>
  <c r="E748" i="18"/>
  <c r="D716" i="18"/>
  <c r="E716" i="18"/>
  <c r="D684" i="18"/>
  <c r="E684" i="18"/>
  <c r="D563" i="18"/>
  <c r="E563" i="18"/>
  <c r="D958" i="18"/>
  <c r="E958" i="18"/>
  <c r="D942" i="18"/>
  <c r="E942" i="18"/>
  <c r="D926" i="18"/>
  <c r="E926" i="18"/>
  <c r="D910" i="18"/>
  <c r="E910" i="18"/>
  <c r="D894" i="18"/>
  <c r="E894" i="18"/>
  <c r="D878" i="18"/>
  <c r="E878" i="18"/>
  <c r="D862" i="18"/>
  <c r="E862" i="18"/>
  <c r="D846" i="18"/>
  <c r="E846" i="18"/>
  <c r="D823" i="18"/>
  <c r="J823" i="18" s="1"/>
  <c r="E823" i="18"/>
  <c r="D829" i="18"/>
  <c r="E829" i="18"/>
  <c r="D813" i="18"/>
  <c r="E813" i="18"/>
  <c r="D668" i="18"/>
  <c r="E668" i="18"/>
  <c r="D652" i="18"/>
  <c r="E652" i="18"/>
  <c r="D636" i="18"/>
  <c r="E636" i="18"/>
  <c r="D554" i="18"/>
  <c r="J554" i="18" s="1"/>
  <c r="E554" i="18"/>
  <c r="D779" i="18"/>
  <c r="E779" i="18"/>
  <c r="D763" i="18"/>
  <c r="E763" i="18"/>
  <c r="D747" i="18"/>
  <c r="E747" i="18"/>
  <c r="D731" i="18"/>
  <c r="E731" i="18"/>
  <c r="D715" i="18"/>
  <c r="E715" i="18"/>
  <c r="D699" i="18"/>
  <c r="E699" i="18"/>
  <c r="D683" i="18"/>
  <c r="E683" i="18"/>
  <c r="D674" i="18"/>
  <c r="E674" i="18"/>
  <c r="D658" i="18"/>
  <c r="E658" i="18"/>
  <c r="D642" i="18"/>
  <c r="E642" i="18"/>
  <c r="D624" i="18"/>
  <c r="J624" i="18" s="1"/>
  <c r="E624" i="18"/>
  <c r="D608" i="18"/>
  <c r="J608" i="18" s="1"/>
  <c r="E608" i="18"/>
  <c r="D592" i="18"/>
  <c r="J592" i="18" s="1"/>
  <c r="E592" i="18"/>
  <c r="D326" i="18"/>
  <c r="E326" i="18"/>
  <c r="E228" i="18"/>
  <c r="D228" i="18"/>
  <c r="D200" i="18"/>
  <c r="E200" i="18"/>
  <c r="D258" i="18"/>
  <c r="E258" i="18"/>
  <c r="D178" i="18"/>
  <c r="J178" i="18" s="1"/>
  <c r="E178" i="18"/>
  <c r="D388" i="18"/>
  <c r="E388" i="18"/>
  <c r="D248" i="18"/>
  <c r="E248" i="18"/>
  <c r="D270" i="18"/>
  <c r="E270" i="18"/>
  <c r="D241" i="18"/>
  <c r="E241" i="18"/>
  <c r="E511" i="18"/>
  <c r="D511" i="18"/>
  <c r="E447" i="18"/>
  <c r="D447" i="18"/>
  <c r="D369" i="18"/>
  <c r="E369" i="18"/>
  <c r="E282" i="18"/>
  <c r="D282" i="18"/>
  <c r="J282" i="18" s="1"/>
  <c r="D177" i="18"/>
  <c r="E177" i="18"/>
  <c r="D518" i="18"/>
  <c r="E518" i="18"/>
  <c r="D454" i="18"/>
  <c r="E454" i="18"/>
  <c r="D376" i="18"/>
  <c r="E376" i="18"/>
  <c r="E113" i="18"/>
  <c r="D113" i="18"/>
  <c r="D499" i="18"/>
  <c r="E499" i="18"/>
  <c r="D435" i="18"/>
  <c r="E435" i="18"/>
  <c r="D357" i="18"/>
  <c r="E357" i="18"/>
  <c r="E289" i="18"/>
  <c r="D289" i="18"/>
  <c r="D107" i="18"/>
  <c r="E107" i="18"/>
  <c r="D272" i="18"/>
  <c r="E272" i="18"/>
  <c r="D157" i="18"/>
  <c r="E157" i="18"/>
  <c r="D419" i="18"/>
  <c r="E419" i="18"/>
  <c r="E239" i="18"/>
  <c r="D239" i="18"/>
  <c r="D121" i="18"/>
  <c r="E121" i="18"/>
  <c r="D35" i="18"/>
  <c r="J35" i="18" s="1"/>
  <c r="E35" i="18"/>
  <c r="D512" i="18"/>
  <c r="E512" i="18"/>
  <c r="D480" i="18"/>
  <c r="E480" i="18"/>
  <c r="D448" i="18"/>
  <c r="E448" i="18"/>
  <c r="D402" i="18"/>
  <c r="E402" i="18"/>
  <c r="D370" i="18"/>
  <c r="E370" i="18"/>
  <c r="D338" i="18"/>
  <c r="E338" i="18"/>
  <c r="D293" i="18"/>
  <c r="E293" i="18"/>
  <c r="D214" i="18"/>
  <c r="E214" i="18"/>
  <c r="D151" i="18"/>
  <c r="E151" i="18"/>
  <c r="D81" i="18"/>
  <c r="E81" i="18"/>
  <c r="D421" i="18"/>
  <c r="E421" i="18"/>
  <c r="D283" i="18"/>
  <c r="E283" i="18"/>
  <c r="D244" i="18"/>
  <c r="E244" i="18"/>
  <c r="D44" i="18"/>
  <c r="J44" i="18" s="1"/>
  <c r="E44" i="18"/>
  <c r="E505" i="18"/>
  <c r="D505" i="18"/>
  <c r="E473" i="18"/>
  <c r="D473" i="18"/>
  <c r="E441" i="18"/>
  <c r="D441" i="18"/>
  <c r="E395" i="18"/>
  <c r="D395" i="18"/>
  <c r="E363" i="18"/>
  <c r="D363" i="18"/>
  <c r="E331" i="18"/>
  <c r="D331" i="18"/>
  <c r="E287" i="18"/>
  <c r="D287" i="18"/>
  <c r="E217" i="18"/>
  <c r="D217" i="18"/>
  <c r="D122" i="18"/>
  <c r="E122" i="18"/>
  <c r="E167" i="18"/>
  <c r="D167" i="18"/>
  <c r="E129" i="18"/>
  <c r="D129" i="18"/>
  <c r="D89" i="18"/>
  <c r="E89" i="18"/>
  <c r="D186" i="18"/>
  <c r="J186" i="18" s="1"/>
  <c r="E186" i="18"/>
  <c r="D155" i="18"/>
  <c r="J155" i="18" s="1"/>
  <c r="E155" i="18"/>
  <c r="D83" i="18"/>
  <c r="E83" i="18"/>
  <c r="D127" i="18"/>
  <c r="E127" i="18"/>
  <c r="E74" i="18"/>
  <c r="D74" i="18"/>
  <c r="J74" i="18" s="1"/>
  <c r="E20" i="18"/>
  <c r="D20" i="18"/>
  <c r="J20" i="18" s="1"/>
  <c r="E24" i="18"/>
  <c r="D24" i="18"/>
  <c r="G65" i="13" l="1"/>
  <c r="G3" i="13" s="1"/>
  <c r="I65" i="13"/>
  <c r="I3" i="13" s="1"/>
  <c r="F65" i="13"/>
  <c r="F3" i="13" s="1"/>
  <c r="B5" i="5" s="1"/>
  <c r="H5" i="5" s="1"/>
  <c r="C65" i="13"/>
  <c r="C3" i="13" s="1"/>
  <c r="B3" i="5" s="1"/>
  <c r="H3" i="5" s="1"/>
  <c r="D65" i="13"/>
  <c r="D3" i="13" s="1"/>
  <c r="B4" i="5" s="1"/>
  <c r="H4" i="5" s="1"/>
  <c r="E65" i="13"/>
  <c r="E3" i="13" s="1"/>
  <c r="B6" i="5" s="1"/>
  <c r="H6" i="5" s="1"/>
  <c r="H65" i="13"/>
  <c r="H3" i="13" s="1"/>
  <c r="B65" i="13"/>
  <c r="B3" i="13" s="1"/>
  <c r="I6" i="5" l="1"/>
  <c r="I3" i="5"/>
  <c r="I4" i="5"/>
  <c r="I5" i="5"/>
  <c r="AD18" i="2" l="1"/>
  <c r="Z41" i="2"/>
  <c r="D18" i="3"/>
  <c r="D42" i="4"/>
  <c r="H42" i="3"/>
  <c r="Y42" i="4"/>
  <c r="Y18" i="4"/>
  <c r="AB42" i="3"/>
  <c r="Y42" i="3"/>
  <c r="H18" i="4"/>
  <c r="AC41" i="2"/>
  <c r="D18" i="2"/>
  <c r="H18" i="3"/>
  <c r="Z18" i="2"/>
  <c r="AB18" i="3"/>
  <c r="AB42" i="4"/>
  <c r="D41" i="2"/>
  <c r="G18" i="3"/>
  <c r="D18" i="4"/>
  <c r="P18" i="2"/>
  <c r="G18" i="4"/>
  <c r="H41" i="2"/>
  <c r="AC18" i="2"/>
  <c r="G41" i="2"/>
  <c r="D42" i="3"/>
  <c r="AC42" i="4"/>
  <c r="H18" i="2"/>
  <c r="AL18" i="2"/>
  <c r="AC18" i="4"/>
  <c r="G42" i="4"/>
  <c r="AB18" i="4"/>
  <c r="G18" i="2"/>
  <c r="G42" i="3"/>
  <c r="H42" i="4"/>
  <c r="AD41" i="2"/>
  <c r="Y18" i="3"/>
  <c r="AC18" i="3"/>
  <c r="AC42" i="3"/>
  <c r="J122" i="18" l="1"/>
  <c r="J402" i="18"/>
  <c r="J179" i="18"/>
  <c r="J148" i="18"/>
  <c r="J99" i="18"/>
  <c r="J210" i="18"/>
  <c r="J138" i="18"/>
  <c r="J156" i="18"/>
  <c r="J226" i="18"/>
  <c r="J37" i="18"/>
  <c r="J275" i="18"/>
  <c r="J314" i="18"/>
  <c r="J130" i="18"/>
  <c r="J234" i="18"/>
  <c r="J322" i="18"/>
  <c r="J29" i="18"/>
  <c r="J45" i="18"/>
  <c r="J60" i="18"/>
  <c r="J52" i="18"/>
  <c r="J283" i="18"/>
  <c r="J107" i="18"/>
  <c r="J76" i="18"/>
  <c r="J410" i="18"/>
  <c r="J218" i="18"/>
  <c r="J172" i="18"/>
  <c r="J114" i="18"/>
  <c r="J21" i="18"/>
  <c r="J187" i="18"/>
  <c r="J299" i="18"/>
  <c r="J306" i="18"/>
  <c r="J291" i="18"/>
  <c r="J195" i="18"/>
  <c r="J330" i="18"/>
  <c r="J91" i="18"/>
  <c r="J83" i="18"/>
  <c r="J164" i="18"/>
  <c r="J68" i="18"/>
  <c r="J426" i="18"/>
  <c r="J203" i="18"/>
  <c r="J418" i="18"/>
  <c r="I66" i="5" l="1"/>
  <c r="M66" i="5"/>
  <c r="G66" i="5"/>
  <c r="C66" i="5"/>
  <c r="E66" i="5"/>
  <c r="K66" i="5"/>
  <c r="J66" i="5"/>
  <c r="F66" i="5"/>
  <c r="L66" i="5"/>
  <c r="D66" i="5"/>
  <c r="B66" i="5"/>
  <c r="H66" i="5"/>
  <c r="B162" i="5" l="1"/>
  <c r="B160" i="5" l="1"/>
  <c r="H59" i="5" l="1"/>
  <c r="M59" i="5"/>
  <c r="G59" i="5"/>
  <c r="B59" i="5"/>
  <c r="C59" i="5"/>
  <c r="D59" i="5"/>
  <c r="J59" i="5"/>
  <c r="E59" i="5"/>
  <c r="L59" i="5"/>
  <c r="I59" i="5"/>
  <c r="F59" i="5"/>
  <c r="K59" i="5" l="1"/>
  <c r="J536" i="18" l="1"/>
  <c r="L544" i="18" l="1"/>
  <c r="L546" i="18"/>
  <c r="L545" i="18"/>
  <c r="L543" i="18"/>
  <c r="D58" i="5" l="1"/>
  <c r="I151" i="5" l="1"/>
  <c r="G151" i="5"/>
  <c r="M151" i="5"/>
  <c r="K151" i="5"/>
  <c r="AF18" i="3" l="1"/>
  <c r="K42" i="3"/>
  <c r="AE18" i="2"/>
  <c r="I18" i="2"/>
  <c r="AG41" i="2"/>
  <c r="I18" i="3"/>
  <c r="I42" i="3"/>
  <c r="AJ42" i="4"/>
  <c r="AF42" i="3"/>
  <c r="O41" i="2"/>
  <c r="AF42" i="4"/>
  <c r="AD18" i="4"/>
  <c r="AJ18" i="3"/>
  <c r="O18" i="4"/>
  <c r="K41" i="2"/>
  <c r="I18" i="4"/>
  <c r="K18" i="2"/>
  <c r="O42" i="4"/>
  <c r="O42" i="3"/>
  <c r="I42" i="4"/>
  <c r="AF18" i="4"/>
  <c r="AJ18" i="4"/>
  <c r="AD42" i="3"/>
  <c r="AD42" i="4"/>
  <c r="AK18" i="2"/>
  <c r="K18" i="3"/>
  <c r="O18" i="3"/>
  <c r="AK41" i="2"/>
  <c r="AM41" i="2"/>
  <c r="O18" i="2"/>
  <c r="I41" i="2"/>
  <c r="AJ42" i="3"/>
  <c r="AG18" i="2"/>
  <c r="K18" i="4"/>
  <c r="Q41" i="2"/>
  <c r="K42" i="4"/>
  <c r="AD18" i="3"/>
  <c r="AE41" i="2"/>
  <c r="Q10" i="18" l="1"/>
  <c r="Q543" i="18"/>
  <c r="V41" i="2"/>
  <c r="U18" i="3"/>
  <c r="V18" i="2"/>
  <c r="U42" i="4"/>
  <c r="U42" i="3"/>
  <c r="U18" i="4"/>
  <c r="L65" i="5" l="1"/>
  <c r="H65" i="5"/>
  <c r="D65" i="5"/>
  <c r="F65" i="5"/>
  <c r="B65" i="5"/>
  <c r="J65" i="5"/>
  <c r="J3" i="18" l="1"/>
  <c r="B158" i="5" l="1"/>
  <c r="L10" i="18" l="1"/>
  <c r="L13" i="18"/>
  <c r="L12" i="18"/>
  <c r="L11" i="18"/>
  <c r="M2" i="18" l="1"/>
  <c r="AF498" i="11"/>
  <c r="R498" i="11"/>
  <c r="N435" i="11"/>
  <c r="T598" i="11"/>
  <c r="W780" i="11"/>
  <c r="AF803" i="11"/>
  <c r="AM591" i="11"/>
  <c r="I46" i="11"/>
  <c r="Y436" i="11"/>
  <c r="AC873" i="11"/>
  <c r="AN596" i="11"/>
  <c r="Y505" i="11"/>
  <c r="AF209" i="11"/>
  <c r="Q46" i="11"/>
  <c r="C776" i="11"/>
  <c r="O7" i="3"/>
  <c r="AD338" i="11"/>
  <c r="AL496" i="11"/>
  <c r="AK420" i="11"/>
  <c r="R589" i="11"/>
  <c r="J128" i="11"/>
  <c r="V778" i="11"/>
  <c r="Q217" i="11"/>
  <c r="M780" i="11"/>
  <c r="N208" i="11"/>
  <c r="AB497" i="11"/>
  <c r="W417" i="11"/>
  <c r="AJ775" i="11"/>
  <c r="Y785" i="11"/>
  <c r="AE591" i="11"/>
  <c r="AL591" i="11"/>
  <c r="I589" i="11"/>
  <c r="F497" i="11"/>
  <c r="H589" i="11"/>
  <c r="AD595" i="11"/>
  <c r="B599" i="11"/>
  <c r="AB215" i="11"/>
  <c r="AH340" i="11"/>
  <c r="F782" i="11"/>
  <c r="J598" i="11"/>
  <c r="L595" i="11"/>
  <c r="AA777" i="11"/>
  <c r="I804" i="11"/>
  <c r="T214" i="11"/>
  <c r="AK713" i="11"/>
  <c r="I498" i="11"/>
  <c r="O218" i="11"/>
  <c r="L775" i="11"/>
  <c r="C780" i="11"/>
  <c r="G37" i="11"/>
  <c r="U776" i="11"/>
  <c r="AJ498" i="11"/>
  <c r="T36" i="11"/>
  <c r="Q436" i="11"/>
  <c r="AK802" i="11"/>
  <c r="T126" i="11"/>
  <c r="L418" i="11"/>
  <c r="AJ45" i="11"/>
  <c r="I805" i="11"/>
  <c r="R591" i="11"/>
  <c r="M874" i="11"/>
  <c r="V502" i="11"/>
  <c r="H598" i="11"/>
  <c r="P713" i="11"/>
  <c r="Y435" i="11"/>
  <c r="AN43" i="11"/>
  <c r="AK593" i="11"/>
  <c r="AE437" i="11"/>
  <c r="V412" i="11"/>
  <c r="L497" i="11"/>
  <c r="AI803" i="11"/>
  <c r="V498" i="11"/>
  <c r="P36" i="11"/>
  <c r="AP45" i="11"/>
  <c r="C865" i="11"/>
  <c r="H802" i="11"/>
  <c r="I593" i="11"/>
  <c r="H870" i="11"/>
  <c r="Z338" i="11"/>
  <c r="N593" i="11"/>
  <c r="AD805" i="11"/>
  <c r="K418" i="11"/>
  <c r="AA339" i="11"/>
  <c r="P506" i="11"/>
  <c r="V338" i="11"/>
  <c r="AB780" i="11"/>
  <c r="F496" i="11"/>
  <c r="AJ210" i="11"/>
  <c r="AE778" i="11"/>
  <c r="W209" i="11"/>
  <c r="W419" i="11"/>
  <c r="U864" i="11"/>
  <c r="AN714" i="11"/>
  <c r="T596" i="11"/>
  <c r="Y598" i="11"/>
  <c r="T597" i="11"/>
  <c r="Q504" i="11"/>
  <c r="AD785" i="11"/>
  <c r="AC804" i="11"/>
  <c r="AA437" i="11"/>
  <c r="AK209" i="11"/>
  <c r="AE419" i="11"/>
  <c r="V438" i="11"/>
  <c r="Y210" i="11"/>
  <c r="AG217" i="11"/>
  <c r="U339" i="11"/>
  <c r="AI216" i="11"/>
  <c r="R866" i="11"/>
  <c r="AD507" i="11"/>
  <c r="H38" i="11"/>
  <c r="H410" i="11"/>
  <c r="N421" i="11"/>
  <c r="F805" i="11"/>
  <c r="N340" i="11"/>
  <c r="AH596" i="11"/>
  <c r="X210" i="11"/>
  <c r="V715" i="11"/>
  <c r="K588" i="11"/>
  <c r="AA7" i="2"/>
  <c r="K28" i="4"/>
  <c r="J8" i="2"/>
  <c r="G339" i="11"/>
  <c r="L597" i="11"/>
  <c r="R35" i="3"/>
  <c r="T780" i="11"/>
  <c r="AH411" i="11"/>
  <c r="AM39" i="11"/>
  <c r="H588" i="11"/>
  <c r="O37" i="11"/>
  <c r="AL872" i="11"/>
  <c r="AP44" i="11"/>
  <c r="C785" i="11"/>
  <c r="AA782" i="11"/>
  <c r="M10" i="4"/>
  <c r="S419" i="11"/>
  <c r="W497" i="11"/>
  <c r="I502" i="11"/>
  <c r="AB45" i="11"/>
  <c r="N804" i="11"/>
  <c r="J127" i="11"/>
  <c r="L803" i="11"/>
  <c r="D802" i="11"/>
  <c r="AM499" i="11"/>
  <c r="Q785" i="11"/>
  <c r="F128" i="11"/>
  <c r="AG874" i="11"/>
  <c r="R777" i="11"/>
  <c r="AN588" i="11"/>
  <c r="B714" i="11"/>
  <c r="AE713" i="11"/>
  <c r="AA591" i="11"/>
  <c r="R340" i="11"/>
  <c r="AK504" i="11"/>
  <c r="W782" i="11"/>
  <c r="F420" i="11"/>
  <c r="R496" i="11"/>
  <c r="Q216" i="11"/>
  <c r="AK716" i="11"/>
  <c r="AC46" i="11"/>
  <c r="AJ865" i="11"/>
  <c r="AF873" i="11"/>
  <c r="AL214" i="11"/>
  <c r="AE588" i="11"/>
  <c r="AJ127" i="11"/>
  <c r="X803" i="11"/>
  <c r="W36" i="11"/>
  <c r="AE127" i="11"/>
  <c r="I337" i="11"/>
  <c r="P592" i="11"/>
  <c r="E596" i="11"/>
  <c r="V337" i="11"/>
  <c r="T588" i="11"/>
  <c r="AK496" i="11"/>
  <c r="G497" i="11"/>
  <c r="M588" i="11"/>
  <c r="I214" i="11"/>
  <c r="AC875" i="11"/>
  <c r="AG593" i="11"/>
  <c r="C598" i="11"/>
  <c r="F867" i="11"/>
  <c r="Q505" i="11"/>
  <c r="AH496" i="11"/>
  <c r="F874" i="11"/>
  <c r="AE218" i="11"/>
  <c r="O864" i="11"/>
  <c r="G126" i="11"/>
  <c r="F437" i="11"/>
  <c r="Q775" i="11"/>
  <c r="E504" i="11"/>
  <c r="M499" i="11"/>
  <c r="M416" i="11"/>
  <c r="X502" i="11"/>
  <c r="Q865" i="11"/>
  <c r="AA216" i="11"/>
  <c r="J871" i="11"/>
  <c r="AG781" i="11"/>
  <c r="R870" i="11"/>
  <c r="B46" i="11"/>
  <c r="M594" i="11"/>
  <c r="L209" i="11"/>
  <c r="Z420" i="11"/>
  <c r="D43" i="11"/>
  <c r="E38" i="11"/>
  <c r="N38" i="11"/>
  <c r="AE803" i="11"/>
  <c r="R597" i="11"/>
  <c r="N592" i="11"/>
  <c r="G39" i="11"/>
  <c r="AH777" i="11"/>
  <c r="E874" i="11"/>
  <c r="L866" i="11"/>
  <c r="B592" i="11"/>
  <c r="AH781" i="11"/>
  <c r="Y775" i="11"/>
  <c r="M804" i="11"/>
  <c r="AA865" i="11"/>
  <c r="M412" i="11"/>
  <c r="L598" i="11"/>
  <c r="X421" i="11"/>
  <c r="S874" i="11"/>
  <c r="E872" i="11"/>
  <c r="AN421" i="11"/>
  <c r="P37" i="11"/>
  <c r="AN209" i="11"/>
  <c r="S497" i="11"/>
  <c r="B777" i="11"/>
  <c r="B497" i="11"/>
  <c r="X409" i="11"/>
  <c r="AF409" i="11"/>
  <c r="G875" i="11"/>
  <c r="AG591" i="11"/>
  <c r="AK409" i="11"/>
  <c r="T866" i="11"/>
  <c r="AF599" i="11"/>
  <c r="E783" i="11"/>
  <c r="AN338" i="11"/>
  <c r="AA28" i="3"/>
  <c r="K37" i="11"/>
  <c r="AD128" i="11"/>
  <c r="AB776" i="11"/>
  <c r="AK598" i="11"/>
  <c r="AN496" i="11"/>
  <c r="S592" i="11"/>
  <c r="AH713" i="11"/>
  <c r="Z419" i="11"/>
  <c r="AE12" i="2"/>
  <c r="AJ421" i="11"/>
  <c r="Q340" i="11"/>
  <c r="D781" i="11"/>
  <c r="AA4" i="4"/>
  <c r="AC30" i="2"/>
  <c r="F409" i="11"/>
  <c r="AI208" i="11"/>
  <c r="H498" i="11"/>
  <c r="O38" i="11"/>
  <c r="S207" i="11"/>
  <c r="AK503" i="11"/>
  <c r="B37" i="11"/>
  <c r="AH337" i="11"/>
  <c r="B337" i="11"/>
  <c r="AC438" i="11"/>
  <c r="P411" i="11"/>
  <c r="N409" i="11"/>
  <c r="K207" i="11"/>
  <c r="T867" i="11"/>
  <c r="X498" i="11"/>
  <c r="K340" i="11"/>
  <c r="D126" i="11"/>
  <c r="D339" i="11"/>
  <c r="E438" i="11"/>
  <c r="K714" i="11"/>
  <c r="AK214" i="11"/>
  <c r="AE210" i="11"/>
  <c r="N716" i="11"/>
  <c r="AA210" i="11"/>
  <c r="AG209" i="11"/>
  <c r="AC36" i="11"/>
  <c r="AC502" i="11"/>
  <c r="W588" i="11"/>
  <c r="Y217" i="11"/>
  <c r="Z776" i="11"/>
  <c r="E776" i="11"/>
  <c r="H46" i="11"/>
  <c r="W127" i="11"/>
  <c r="R503" i="11"/>
  <c r="AN715" i="11"/>
  <c r="AC411" i="11"/>
  <c r="AD713" i="11"/>
  <c r="Z864" i="11"/>
  <c r="J802" i="11"/>
  <c r="AD777" i="11"/>
  <c r="E803" i="11"/>
  <c r="S498" i="11"/>
  <c r="AB436" i="11"/>
  <c r="M217" i="11"/>
  <c r="AN875" i="11"/>
  <c r="W216" i="11"/>
  <c r="AO38" i="11"/>
  <c r="AI127" i="11"/>
  <c r="O43" i="11"/>
  <c r="AB716" i="11"/>
  <c r="N782" i="11"/>
  <c r="U502" i="11"/>
  <c r="N590" i="11"/>
  <c r="N776" i="11"/>
  <c r="AM593" i="11"/>
  <c r="J497" i="11"/>
  <c r="D436" i="11"/>
  <c r="AC338" i="11"/>
  <c r="R595" i="11"/>
  <c r="U716" i="11"/>
  <c r="AB416" i="11"/>
  <c r="AC37" i="11"/>
  <c r="T420" i="11"/>
  <c r="G506" i="11"/>
  <c r="AA435" i="11"/>
  <c r="AM438" i="11"/>
  <c r="I37" i="11"/>
  <c r="R867" i="11"/>
  <c r="E36" i="11"/>
  <c r="T589" i="11"/>
  <c r="G593" i="11"/>
  <c r="R598" i="11"/>
  <c r="AN591" i="11"/>
  <c r="AI128" i="11"/>
  <c r="Z783" i="11"/>
  <c r="P498" i="11"/>
  <c r="C873" i="11"/>
  <c r="N214" i="11"/>
  <c r="N37" i="11"/>
  <c r="U498" i="11"/>
  <c r="AG805" i="11"/>
  <c r="Z43" i="11"/>
  <c r="AL38" i="11"/>
  <c r="T128" i="11"/>
  <c r="AM412" i="11"/>
  <c r="D497" i="11"/>
  <c r="AE875" i="11"/>
  <c r="AJ784" i="11"/>
  <c r="AH590" i="11"/>
  <c r="I215" i="11"/>
  <c r="Q804" i="11"/>
  <c r="P39" i="11"/>
  <c r="AD780" i="11"/>
  <c r="S340" i="11"/>
  <c r="AI416" i="11"/>
  <c r="H871" i="11"/>
  <c r="N873" i="11"/>
  <c r="AG436" i="11"/>
  <c r="K597" i="11"/>
  <c r="AJ126" i="11"/>
  <c r="E339" i="11"/>
  <c r="F38" i="11"/>
  <c r="U419" i="11"/>
  <c r="AL867" i="11"/>
  <c r="W46" i="11"/>
  <c r="AJ438" i="11"/>
  <c r="AG783" i="11"/>
  <c r="AB409" i="11"/>
  <c r="AL412" i="11"/>
  <c r="L781" i="11"/>
  <c r="L776" i="11"/>
  <c r="C804" i="11"/>
  <c r="Z499" i="11"/>
  <c r="E210" i="11"/>
  <c r="P874" i="11"/>
  <c r="AK781" i="11"/>
  <c r="AM128" i="11"/>
  <c r="AC871" i="11"/>
  <c r="P218" i="11"/>
  <c r="G867" i="11"/>
  <c r="H10" i="4"/>
  <c r="R27" i="3"/>
  <c r="AD38" i="11"/>
  <c r="K592" i="11"/>
  <c r="AA37" i="4"/>
  <c r="H12" i="4"/>
  <c r="AB9" i="3"/>
  <c r="AB46" i="11"/>
  <c r="AL502" i="11"/>
  <c r="AD775" i="11"/>
  <c r="V214" i="11"/>
  <c r="C778" i="11"/>
  <c r="AM590" i="11"/>
  <c r="AF783" i="11"/>
  <c r="AL209" i="11"/>
  <c r="M418" i="11"/>
  <c r="T776" i="11"/>
  <c r="AD865" i="11"/>
  <c r="T595" i="11"/>
  <c r="B870" i="11"/>
  <c r="R218" i="11"/>
  <c r="H217" i="11"/>
  <c r="X716" i="11"/>
  <c r="AH588" i="11"/>
  <c r="J39" i="11"/>
  <c r="AF411" i="11"/>
  <c r="P216" i="11"/>
  <c r="E775" i="11"/>
  <c r="AE126" i="11"/>
  <c r="Y409" i="11"/>
  <c r="B775" i="11"/>
  <c r="AK780" i="11"/>
  <c r="AE802" i="11"/>
  <c r="AC785" i="11"/>
  <c r="AC39" i="11"/>
  <c r="AE208" i="11"/>
  <c r="AI865" i="11"/>
  <c r="M435" i="11"/>
  <c r="AM502" i="11"/>
  <c r="AN780" i="11"/>
  <c r="S417" i="11"/>
  <c r="AG210" i="11"/>
  <c r="F43" i="11"/>
  <c r="G775" i="11"/>
  <c r="R499" i="11"/>
  <c r="X714" i="11"/>
  <c r="W595" i="11"/>
  <c r="Q36" i="11"/>
  <c r="H713" i="11"/>
  <c r="AF438" i="11"/>
  <c r="AN217" i="11"/>
  <c r="AI38" i="11"/>
  <c r="X126" i="11"/>
  <c r="S438" i="11"/>
  <c r="Y207" i="11"/>
  <c r="R875" i="11"/>
  <c r="O217" i="11"/>
  <c r="AD210" i="11"/>
  <c r="V209" i="11"/>
  <c r="Y805" i="11"/>
  <c r="AK597" i="11"/>
  <c r="AH805" i="11"/>
  <c r="AJ596" i="11"/>
  <c r="D496" i="11"/>
  <c r="H873" i="11"/>
  <c r="K38" i="11"/>
  <c r="C503" i="11"/>
  <c r="S505" i="11"/>
  <c r="G716" i="11"/>
  <c r="B594" i="11"/>
  <c r="W867" i="11"/>
  <c r="F126" i="11"/>
  <c r="V506" i="11"/>
  <c r="U588" i="11"/>
  <c r="T785" i="11"/>
  <c r="U803" i="11"/>
  <c r="AB874" i="11"/>
  <c r="D35" i="2"/>
  <c r="E865" i="11"/>
  <c r="AA497" i="11"/>
  <c r="AA338" i="11"/>
  <c r="AG716" i="11"/>
  <c r="AA207" i="11"/>
  <c r="Z590" i="11"/>
  <c r="AA502" i="11"/>
  <c r="Z714" i="11"/>
  <c r="AE716" i="11"/>
  <c r="D338" i="11"/>
  <c r="AA593" i="11"/>
  <c r="AI417" i="11"/>
  <c r="J218" i="11"/>
  <c r="AB496" i="11"/>
  <c r="F339" i="11"/>
  <c r="AG421" i="11"/>
  <c r="AG599" i="11"/>
  <c r="Z208" i="11"/>
  <c r="V215" i="11"/>
  <c r="AB592" i="11"/>
  <c r="AN871" i="11"/>
  <c r="Y804" i="11"/>
  <c r="J804" i="11"/>
  <c r="AM782" i="11"/>
  <c r="F4" i="2"/>
  <c r="Z599" i="11"/>
  <c r="O597" i="11"/>
  <c r="AD125" i="11"/>
  <c r="AD505" i="11"/>
  <c r="AN126" i="11"/>
  <c r="Y865" i="11"/>
  <c r="B802" i="11"/>
  <c r="K496" i="11"/>
  <c r="V590" i="11"/>
  <c r="AE785" i="11"/>
  <c r="Z872" i="11"/>
  <c r="AF716" i="11"/>
  <c r="AN599" i="11"/>
  <c r="Z207" i="11"/>
  <c r="AN435" i="11"/>
  <c r="U340" i="11"/>
  <c r="F417" i="11"/>
  <c r="Z126" i="11"/>
  <c r="V873" i="11"/>
  <c r="R783" i="11"/>
  <c r="M592" i="11"/>
  <c r="G38" i="11"/>
  <c r="U590" i="11"/>
  <c r="I217" i="11"/>
  <c r="W596" i="11"/>
  <c r="AC36" i="3"/>
  <c r="J597" i="11"/>
  <c r="M215" i="11"/>
  <c r="AN778" i="11"/>
  <c r="E29" i="2"/>
  <c r="AK36" i="2"/>
  <c r="E410" i="11"/>
  <c r="D208" i="11"/>
  <c r="AE780" i="11"/>
  <c r="U409" i="11"/>
  <c r="AF867" i="11"/>
  <c r="AM713" i="11"/>
  <c r="B591" i="11"/>
  <c r="D872" i="11"/>
  <c r="I126" i="11"/>
  <c r="Y216" i="11"/>
  <c r="AK714" i="11"/>
  <c r="M714" i="11"/>
  <c r="AF866" i="11"/>
  <c r="T412" i="11"/>
  <c r="K36" i="11"/>
  <c r="C803" i="11"/>
  <c r="AL594" i="11"/>
  <c r="AF598" i="11"/>
  <c r="AH873" i="11"/>
  <c r="Y802" i="11"/>
  <c r="E871" i="11"/>
  <c r="AA784" i="11"/>
  <c r="R127" i="11"/>
  <c r="C716" i="11"/>
  <c r="AM594" i="11"/>
  <c r="P716" i="11"/>
  <c r="AG597" i="11"/>
  <c r="E595" i="11"/>
  <c r="D36" i="11"/>
  <c r="AC716" i="11"/>
  <c r="U872" i="11"/>
  <c r="AK340" i="11"/>
  <c r="AJ411" i="11"/>
  <c r="B417" i="11"/>
  <c r="U599" i="11"/>
  <c r="AE874" i="11"/>
  <c r="AJ38" i="11"/>
  <c r="E502" i="11"/>
  <c r="AL437" i="11"/>
  <c r="AI435" i="11"/>
  <c r="Q715" i="11"/>
  <c r="AD214" i="11"/>
  <c r="AL128" i="11"/>
  <c r="G780" i="11"/>
  <c r="K594" i="11"/>
  <c r="AC589" i="11"/>
  <c r="AE590" i="11"/>
  <c r="AB417" i="11"/>
  <c r="Q780" i="11"/>
  <c r="E506" i="11"/>
  <c r="P593" i="11"/>
  <c r="Q39" i="11"/>
  <c r="I39" i="11"/>
  <c r="AF410" i="11"/>
  <c r="AM37" i="11"/>
  <c r="P44" i="11"/>
  <c r="AM596" i="11"/>
  <c r="U595" i="11"/>
  <c r="AH595" i="11"/>
  <c r="AC506" i="11"/>
  <c r="F775" i="11"/>
  <c r="K502" i="11"/>
  <c r="AG804" i="11"/>
  <c r="G778" i="11"/>
  <c r="T416" i="11"/>
  <c r="O784" i="11"/>
  <c r="C867" i="11"/>
  <c r="I598" i="11"/>
  <c r="J592" i="11"/>
  <c r="B588" i="11"/>
  <c r="AN870" i="11"/>
  <c r="K781" i="11"/>
  <c r="E32" i="3"/>
  <c r="AC802" i="11"/>
  <c r="AF872" i="11"/>
  <c r="F591" i="11"/>
  <c r="AM588" i="11"/>
  <c r="AF592" i="11"/>
  <c r="AE37" i="11"/>
  <c r="AH497" i="11"/>
  <c r="AG125" i="11"/>
  <c r="AA499" i="11"/>
  <c r="AC418" i="11"/>
  <c r="K804" i="11"/>
  <c r="K435" i="11"/>
  <c r="AI805" i="11"/>
  <c r="AD410" i="11"/>
  <c r="C871" i="11"/>
  <c r="K209" i="11"/>
  <c r="AK505" i="11"/>
  <c r="S36" i="11"/>
  <c r="Y208" i="11"/>
  <c r="AH499" i="11"/>
  <c r="AN218" i="11"/>
  <c r="V126" i="11"/>
  <c r="AD870" i="11"/>
  <c r="L39" i="4"/>
  <c r="AN713" i="11"/>
  <c r="AN783" i="11"/>
  <c r="R803" i="11"/>
  <c r="AH46" i="11"/>
  <c r="N218" i="11"/>
  <c r="Z411" i="11"/>
  <c r="AG497" i="11"/>
  <c r="X867" i="11"/>
  <c r="B125" i="11"/>
  <c r="P208" i="11"/>
  <c r="C715" i="11"/>
  <c r="AH409" i="11"/>
  <c r="AD127" i="11"/>
  <c r="U592" i="11"/>
  <c r="AN214" i="11"/>
  <c r="S506" i="11"/>
  <c r="X128" i="11"/>
  <c r="N498" i="11"/>
  <c r="V210" i="11"/>
  <c r="AI497" i="11"/>
  <c r="E411" i="11"/>
  <c r="R209" i="11"/>
  <c r="T337" i="11"/>
  <c r="AJ597" i="11"/>
  <c r="F17" i="2"/>
  <c r="AC37" i="3"/>
  <c r="AM504" i="11"/>
  <c r="H866" i="11"/>
  <c r="V804" i="11"/>
  <c r="D7" i="3"/>
  <c r="Z46" i="11"/>
  <c r="X591" i="11"/>
  <c r="AE715" i="11"/>
  <c r="D715" i="11"/>
  <c r="AM421" i="11"/>
  <c r="AF505" i="11"/>
  <c r="U208" i="11"/>
  <c r="AK498" i="11"/>
  <c r="H784" i="11"/>
  <c r="N872" i="11"/>
  <c r="E503" i="11"/>
  <c r="V784" i="11"/>
  <c r="AI419" i="11"/>
  <c r="E39" i="11"/>
  <c r="V505" i="11"/>
  <c r="AE418" i="11"/>
  <c r="G209" i="11"/>
  <c r="J864" i="11"/>
  <c r="AA588" i="11"/>
  <c r="AM783" i="11"/>
  <c r="AL871" i="11"/>
  <c r="AD506" i="11"/>
  <c r="W337" i="11"/>
  <c r="AO44" i="11"/>
  <c r="J507" i="11"/>
  <c r="X592" i="11"/>
  <c r="AA871" i="11"/>
  <c r="AM44" i="11"/>
  <c r="AJ592" i="11"/>
  <c r="W594" i="11"/>
  <c r="AC409" i="11"/>
  <c r="R214" i="11"/>
  <c r="D215" i="11"/>
  <c r="P589" i="11"/>
  <c r="AH214" i="11"/>
  <c r="AD716" i="11"/>
  <c r="X505" i="11"/>
  <c r="F598" i="11"/>
  <c r="K716" i="11"/>
  <c r="N713" i="11"/>
  <c r="K506" i="11"/>
  <c r="H438" i="11"/>
  <c r="F340" i="11"/>
  <c r="AF437" i="11"/>
  <c r="S775" i="11"/>
  <c r="U43" i="11"/>
  <c r="I45" i="11"/>
  <c r="L804" i="11"/>
  <c r="AM125" i="11"/>
  <c r="P339" i="11"/>
  <c r="R873" i="11"/>
  <c r="H596" i="11"/>
  <c r="O498" i="11"/>
  <c r="H783" i="11"/>
  <c r="AJ802" i="11"/>
  <c r="P867" i="11"/>
  <c r="AG418" i="11"/>
  <c r="AM870" i="11"/>
  <c r="U410" i="11"/>
  <c r="X506" i="11"/>
  <c r="G340" i="11"/>
  <c r="E777" i="11"/>
  <c r="U783" i="11"/>
  <c r="X435" i="11"/>
  <c r="G210" i="11"/>
  <c r="F207" i="11"/>
  <c r="Q874" i="11"/>
  <c r="AL215" i="11"/>
  <c r="K499" i="11"/>
  <c r="V592" i="11"/>
  <c r="AI867" i="11"/>
  <c r="P502" i="11"/>
  <c r="Q435" i="11"/>
  <c r="X338" i="11"/>
  <c r="H209" i="11"/>
  <c r="D784" i="11"/>
  <c r="AF497" i="11"/>
  <c r="AO45" i="11"/>
  <c r="G502" i="11"/>
  <c r="Z214" i="11"/>
  <c r="AB714" i="11"/>
  <c r="Y340" i="11"/>
  <c r="H864" i="11"/>
  <c r="C593" i="11"/>
  <c r="AM215" i="11"/>
  <c r="B503" i="11"/>
  <c r="AG872" i="11"/>
  <c r="AB438" i="11"/>
  <c r="P7" i="3"/>
  <c r="Z870" i="11"/>
  <c r="J503" i="11"/>
  <c r="L218" i="11"/>
  <c r="AN593" i="11"/>
  <c r="B778" i="11"/>
  <c r="AE594" i="11"/>
  <c r="AE599" i="11"/>
  <c r="M409" i="11"/>
  <c r="AB410" i="11"/>
  <c r="L865" i="11"/>
  <c r="AM126" i="11"/>
  <c r="AM716" i="11"/>
  <c r="M867" i="11"/>
  <c r="X777" i="11"/>
  <c r="D596" i="11"/>
  <c r="W412" i="11"/>
  <c r="AE589" i="11"/>
  <c r="L591" i="11"/>
  <c r="AN590" i="11"/>
  <c r="AE46" i="11"/>
  <c r="K872" i="11"/>
  <c r="AI591" i="11"/>
  <c r="D217" i="11"/>
  <c r="B208" i="11"/>
  <c r="AL875" i="11"/>
  <c r="AN410" i="11"/>
  <c r="Y715" i="11"/>
  <c r="AB498" i="11"/>
  <c r="P599" i="11"/>
  <c r="AL36" i="11"/>
  <c r="K866" i="11"/>
  <c r="AK127" i="11"/>
  <c r="J504" i="11"/>
  <c r="AP30" i="2"/>
  <c r="AF503" i="11"/>
  <c r="K208" i="11"/>
  <c r="X775" i="11"/>
  <c r="AB777" i="11"/>
  <c r="J44" i="11"/>
  <c r="J207" i="11"/>
  <c r="D207" i="11"/>
  <c r="M506" i="11"/>
  <c r="AF218" i="11"/>
  <c r="AC128" i="11"/>
  <c r="AM46" i="11"/>
  <c r="X43" i="11"/>
  <c r="AB499" i="11"/>
  <c r="W870" i="11"/>
  <c r="I871" i="11"/>
  <c r="Z785" i="11"/>
  <c r="D805" i="11"/>
  <c r="AB778" i="11"/>
  <c r="Q872" i="11"/>
  <c r="AI715" i="11"/>
  <c r="AF782" i="11"/>
  <c r="B218" i="11"/>
  <c r="AF865" i="11"/>
  <c r="AJ594" i="11"/>
  <c r="O436" i="11"/>
  <c r="P126" i="11"/>
  <c r="AB216" i="11"/>
  <c r="W592" i="11"/>
  <c r="AC783" i="11"/>
  <c r="AN802" i="11"/>
  <c r="P804" i="11"/>
  <c r="AL217" i="11"/>
  <c r="I438" i="11"/>
  <c r="AE804" i="11"/>
  <c r="D214" i="11"/>
  <c r="C411" i="11"/>
  <c r="C594" i="11"/>
  <c r="L780" i="11"/>
  <c r="V419" i="11"/>
  <c r="AE507" i="11"/>
  <c r="AE598" i="11"/>
  <c r="H590" i="11"/>
  <c r="J872" i="11"/>
  <c r="M805" i="11"/>
  <c r="AL127" i="11"/>
  <c r="AB37" i="11"/>
  <c r="R802" i="11"/>
  <c r="E218" i="11"/>
  <c r="R409" i="11"/>
  <c r="K507" i="11"/>
  <c r="AG438" i="11"/>
  <c r="AK873" i="11"/>
  <c r="Y593" i="11"/>
  <c r="AB804" i="11"/>
  <c r="AI866" i="11"/>
  <c r="AJ418" i="11"/>
  <c r="AA870" i="11"/>
  <c r="AG503" i="11"/>
  <c r="E785" i="11"/>
  <c r="F410" i="11"/>
  <c r="AD867" i="11"/>
  <c r="V785" i="11"/>
  <c r="I781" i="11"/>
  <c r="W715" i="11"/>
  <c r="AJ714" i="11"/>
  <c r="C802" i="11"/>
  <c r="D44" i="11"/>
  <c r="U38" i="11"/>
  <c r="T594" i="11"/>
  <c r="X874" i="11"/>
  <c r="N506" i="11"/>
  <c r="U411" i="11"/>
  <c r="W125" i="11"/>
  <c r="O714" i="11"/>
  <c r="AG778" i="11"/>
  <c r="AE209" i="11"/>
  <c r="AG784" i="11"/>
  <c r="AM597" i="11"/>
  <c r="X44" i="11"/>
  <c r="X339" i="11"/>
  <c r="P37" i="4"/>
  <c r="N715" i="11"/>
  <c r="I409" i="11"/>
  <c r="AJ43" i="11"/>
  <c r="AG785" i="11"/>
  <c r="E420" i="11"/>
  <c r="AC777" i="11"/>
  <c r="AH715" i="11"/>
  <c r="U496" i="11"/>
  <c r="N867" i="11"/>
  <c r="S421" i="11"/>
  <c r="AL865" i="11"/>
  <c r="AB865" i="11"/>
  <c r="E409" i="11"/>
  <c r="G44" i="11"/>
  <c r="W207" i="11"/>
  <c r="AA874" i="11"/>
  <c r="M782" i="11"/>
  <c r="AC417" i="11"/>
  <c r="M36" i="11"/>
  <c r="AM208" i="11"/>
  <c r="I128" i="11"/>
  <c r="AE409" i="11"/>
  <c r="Z217" i="11"/>
  <c r="E590" i="11"/>
  <c r="S713" i="11"/>
  <c r="N865" i="11"/>
  <c r="AK218" i="11"/>
  <c r="AG420" i="11"/>
  <c r="E588" i="11"/>
  <c r="O416" i="11"/>
  <c r="AI218" i="11"/>
  <c r="B127" i="11"/>
  <c r="H126" i="11"/>
  <c r="Q496" i="11"/>
  <c r="F125" i="11"/>
  <c r="AN409" i="11"/>
  <c r="AC127" i="11"/>
  <c r="AD497" i="11"/>
  <c r="V420" i="11"/>
  <c r="H776" i="11"/>
  <c r="I873" i="11"/>
  <c r="AK40" i="3"/>
  <c r="AH872" i="11"/>
  <c r="L12" i="4"/>
  <c r="Q10" i="3"/>
  <c r="D41" i="4"/>
  <c r="AA39" i="4"/>
  <c r="J37" i="11"/>
  <c r="AH597" i="11"/>
  <c r="K416" i="11"/>
  <c r="Y215" i="11"/>
  <c r="C872" i="11"/>
  <c r="N778" i="11"/>
  <c r="AK866" i="11"/>
  <c r="I785" i="11"/>
  <c r="H416" i="11"/>
  <c r="AN507" i="11"/>
  <c r="L874" i="11"/>
  <c r="J418" i="11"/>
  <c r="E337" i="11"/>
  <c r="AA589" i="11"/>
  <c r="AF784" i="11"/>
  <c r="O713" i="11"/>
  <c r="AH420" i="11"/>
  <c r="AH207" i="11"/>
  <c r="S127" i="11"/>
  <c r="AL438" i="11"/>
  <c r="AK874" i="11"/>
  <c r="L805" i="11"/>
  <c r="H127" i="11"/>
  <c r="AK215" i="11"/>
  <c r="AM416" i="11"/>
  <c r="AE339" i="11"/>
  <c r="Y45" i="11"/>
  <c r="J214" i="11"/>
  <c r="Z339" i="11"/>
  <c r="I802" i="11"/>
  <c r="V782" i="11"/>
  <c r="S865" i="11"/>
  <c r="S596" i="11"/>
  <c r="D503" i="11"/>
  <c r="S875" i="11"/>
  <c r="K870" i="11"/>
  <c r="AD598" i="11"/>
  <c r="AG504" i="11"/>
  <c r="H496" i="11"/>
  <c r="C714" i="11"/>
  <c r="AJ595" i="11"/>
  <c r="I38" i="11"/>
  <c r="W338" i="11"/>
  <c r="AJ214" i="11"/>
  <c r="C339" i="11"/>
  <c r="AB596" i="11"/>
  <c r="AA409" i="11"/>
  <c r="C210" i="11"/>
  <c r="L214" i="11"/>
  <c r="T504" i="11"/>
  <c r="Z775" i="11"/>
  <c r="O507" i="11"/>
  <c r="AC209" i="11"/>
  <c r="B805" i="11"/>
  <c r="AM598" i="11"/>
  <c r="AL599" i="11"/>
  <c r="G870" i="11"/>
  <c r="D589" i="11"/>
  <c r="D218" i="11"/>
  <c r="AF781" i="11"/>
  <c r="Y591" i="11"/>
  <c r="B864" i="11"/>
  <c r="AE417" i="11"/>
  <c r="AF44" i="11"/>
  <c r="F872" i="11"/>
  <c r="AG126" i="11"/>
  <c r="Q594" i="11"/>
  <c r="O502" i="11"/>
  <c r="C417" i="11"/>
  <c r="P503" i="11"/>
  <c r="AJ39" i="11"/>
  <c r="E215" i="11"/>
  <c r="O775" i="11"/>
  <c r="AG713" i="11"/>
  <c r="Z715" i="11"/>
  <c r="AF418" i="11"/>
  <c r="K410" i="11"/>
  <c r="R339" i="11"/>
  <c r="G804" i="11"/>
  <c r="Y421" i="11"/>
  <c r="N210" i="11"/>
  <c r="AM778" i="11"/>
  <c r="M504" i="11"/>
  <c r="T592" i="11"/>
  <c r="AL497" i="11"/>
  <c r="U417" i="11"/>
  <c r="K875" i="11"/>
  <c r="AD588" i="11"/>
  <c r="H420" i="11"/>
  <c r="AK875" i="11"/>
  <c r="Q409" i="11"/>
  <c r="AC588" i="11"/>
  <c r="W498" i="11"/>
  <c r="AO39" i="11"/>
  <c r="K127" i="11"/>
  <c r="I504" i="11"/>
  <c r="P714" i="11"/>
  <c r="AH437" i="11"/>
  <c r="AA418" i="11"/>
  <c r="T874" i="11"/>
  <c r="H419" i="11"/>
  <c r="AK596" i="11"/>
  <c r="M866" i="11"/>
  <c r="AB437" i="11"/>
  <c r="AM802" i="11"/>
  <c r="V776" i="11"/>
  <c r="D592" i="11"/>
  <c r="I412" i="11"/>
  <c r="D871" i="11"/>
  <c r="H337" i="11"/>
  <c r="AE497" i="11"/>
  <c r="L437" i="11"/>
  <c r="W783" i="11"/>
  <c r="AM210" i="11"/>
  <c r="R784" i="11"/>
  <c r="AN339" i="11"/>
  <c r="M337" i="11"/>
  <c r="AK782" i="11"/>
  <c r="AC803" i="11"/>
  <c r="G208" i="11"/>
  <c r="AD340" i="11"/>
  <c r="AC35" i="2"/>
  <c r="AN419" i="11"/>
  <c r="AF8" i="4"/>
  <c r="D3" i="3"/>
  <c r="AN781" i="11"/>
  <c r="N216" i="11"/>
  <c r="D865" i="11"/>
  <c r="AI592" i="11"/>
  <c r="P780" i="11"/>
  <c r="Q420" i="11"/>
  <c r="AA803" i="11"/>
  <c r="AF506" i="11"/>
  <c r="AC13" i="2"/>
  <c r="I778" i="11"/>
  <c r="G216" i="11"/>
  <c r="AF874" i="11"/>
  <c r="O593" i="11"/>
  <c r="W803" i="11"/>
  <c r="AK417" i="11"/>
  <c r="X496" i="11"/>
  <c r="AG39" i="11"/>
  <c r="AN803" i="11"/>
  <c r="S436" i="11"/>
  <c r="Z777" i="11"/>
  <c r="D125" i="11"/>
  <c r="W45" i="11"/>
  <c r="M593" i="11"/>
  <c r="T409" i="11"/>
  <c r="C599" i="11"/>
  <c r="AL804" i="11"/>
  <c r="AL503" i="11"/>
  <c r="AI597" i="11"/>
  <c r="N599" i="11"/>
  <c r="AD417" i="11"/>
  <c r="AM496" i="11"/>
  <c r="E207" i="11"/>
  <c r="AH43" i="11"/>
  <c r="AE867" i="11"/>
  <c r="AH594" i="11"/>
  <c r="AM216" i="11"/>
  <c r="I411" i="11"/>
  <c r="T802" i="11"/>
  <c r="J340" i="11"/>
  <c r="F498" i="11"/>
  <c r="AG215" i="11"/>
  <c r="O216" i="11"/>
  <c r="AC599" i="11"/>
  <c r="AK872" i="11"/>
  <c r="M38" i="11"/>
  <c r="V417" i="11"/>
  <c r="AM784" i="11"/>
  <c r="C218" i="11"/>
  <c r="AJ588" i="11"/>
  <c r="V207" i="11"/>
  <c r="N598" i="11"/>
  <c r="K216" i="11"/>
  <c r="AJ499" i="11"/>
  <c r="AH218" i="11"/>
  <c r="K777" i="11"/>
  <c r="J593" i="11"/>
  <c r="J590" i="11"/>
  <c r="U497" i="11"/>
  <c r="AD590" i="11"/>
  <c r="U775" i="11"/>
  <c r="AE207" i="11"/>
  <c r="AD496" i="11"/>
  <c r="Z713" i="11"/>
  <c r="AG218" i="11"/>
  <c r="Y126" i="11"/>
  <c r="S125" i="11"/>
  <c r="W872" i="11"/>
  <c r="T875" i="11"/>
  <c r="V597" i="11"/>
  <c r="H125" i="11"/>
  <c r="L125" i="11"/>
  <c r="G590" i="11"/>
  <c r="J210" i="11"/>
  <c r="AE27" i="2"/>
  <c r="AB506" i="11"/>
  <c r="P43" i="11"/>
  <c r="B418" i="11"/>
  <c r="F776" i="11"/>
  <c r="P595" i="11"/>
  <c r="AJ410" i="11"/>
  <c r="K417" i="11"/>
  <c r="AM714" i="11"/>
  <c r="R507" i="11"/>
  <c r="AA127" i="11"/>
  <c r="H418" i="11"/>
  <c r="AG216" i="11"/>
  <c r="B38" i="11"/>
  <c r="AB507" i="11"/>
  <c r="F713" i="11"/>
  <c r="W210" i="11"/>
  <c r="AJ783" i="11"/>
  <c r="AH498" i="11"/>
  <c r="AI781" i="11"/>
  <c r="Z873" i="11"/>
  <c r="L217" i="11"/>
  <c r="AF36" i="11"/>
  <c r="AD594" i="11"/>
  <c r="Q781" i="11"/>
  <c r="AN804" i="11"/>
  <c r="N497" i="11"/>
  <c r="R216" i="11"/>
  <c r="Q410" i="11"/>
  <c r="T496" i="11"/>
  <c r="AA209" i="11"/>
  <c r="AC784" i="11"/>
  <c r="E338" i="11"/>
  <c r="AA126" i="11"/>
  <c r="H44" i="11"/>
  <c r="Y36" i="11"/>
  <c r="AN505" i="11"/>
  <c r="I416" i="11"/>
  <c r="V128" i="11"/>
  <c r="E46" i="11"/>
  <c r="P588" i="11"/>
  <c r="W340" i="11"/>
  <c r="D507" i="11"/>
  <c r="E805" i="11"/>
  <c r="AI503" i="11"/>
  <c r="I36" i="11"/>
  <c r="K411" i="11"/>
  <c r="Q782" i="11"/>
  <c r="Q776" i="11"/>
  <c r="AD39" i="2"/>
  <c r="J217" i="11"/>
  <c r="Y599" i="11"/>
  <c r="M34" i="2"/>
  <c r="Y9" i="4"/>
  <c r="E340" i="11"/>
  <c r="F217" i="11"/>
  <c r="AE498" i="11"/>
  <c r="T777" i="11"/>
  <c r="AN864" i="11"/>
  <c r="AC593" i="11"/>
  <c r="AD46" i="11"/>
  <c r="S784" i="11"/>
  <c r="P504" i="11"/>
  <c r="D216" i="11"/>
  <c r="Y438" i="11"/>
  <c r="I338" i="11"/>
  <c r="W409" i="11"/>
  <c r="F507" i="11"/>
  <c r="AD875" i="11"/>
  <c r="F785" i="11"/>
  <c r="AJ598" i="11"/>
  <c r="AI780" i="11"/>
  <c r="AM599" i="11"/>
  <c r="H128" i="11"/>
  <c r="G596" i="11"/>
  <c r="J716" i="11"/>
  <c r="O870" i="11"/>
  <c r="I420" i="11"/>
  <c r="K125" i="11"/>
  <c r="AM775" i="11"/>
  <c r="AH338" i="11"/>
  <c r="N802" i="11"/>
  <c r="R215" i="11"/>
  <c r="W599" i="11"/>
  <c r="T499" i="11"/>
  <c r="H411" i="11"/>
  <c r="AL419" i="11"/>
  <c r="AM339" i="11"/>
  <c r="U418" i="11"/>
  <c r="I872" i="11"/>
  <c r="AL598" i="11"/>
  <c r="AP36" i="11"/>
  <c r="AA802" i="11"/>
  <c r="N337" i="11"/>
  <c r="AN597" i="11"/>
  <c r="I864" i="11"/>
  <c r="N594" i="11"/>
  <c r="R593" i="11"/>
  <c r="AL44" i="11"/>
  <c r="R864" i="11"/>
  <c r="AA421" i="11"/>
  <c r="S594" i="11"/>
  <c r="AG875" i="11"/>
  <c r="AL784" i="11"/>
  <c r="Z804" i="11"/>
  <c r="AL506" i="11"/>
  <c r="AB127" i="11"/>
  <c r="T210" i="11"/>
  <c r="E126" i="11"/>
  <c r="M46" i="11"/>
  <c r="O804" i="11"/>
  <c r="AJ437" i="11"/>
  <c r="U504" i="11"/>
  <c r="F46" i="11"/>
  <c r="AB598" i="11"/>
  <c r="F209" i="11"/>
  <c r="AM36" i="11"/>
  <c r="AD592" i="11"/>
  <c r="AD593" i="11"/>
  <c r="D17" i="3"/>
  <c r="AD499" i="11"/>
  <c r="I803" i="11"/>
  <c r="AI420" i="11"/>
  <c r="X416" i="11"/>
  <c r="G337" i="11"/>
  <c r="E217" i="11"/>
  <c r="AB803" i="11"/>
  <c r="AL713" i="11"/>
  <c r="AI411" i="11"/>
  <c r="Y411" i="11"/>
  <c r="U37" i="11"/>
  <c r="AI594" i="11"/>
  <c r="L504" i="11"/>
  <c r="R418" i="11"/>
  <c r="H867" i="11"/>
  <c r="Q497" i="11"/>
  <c r="K780" i="11"/>
  <c r="U126" i="11"/>
  <c r="I715" i="11"/>
  <c r="O210" i="11"/>
  <c r="AD39" i="11"/>
  <c r="T435" i="11"/>
  <c r="AE593" i="11"/>
  <c r="AH125" i="11"/>
  <c r="AN499" i="11"/>
  <c r="AB207" i="11"/>
  <c r="AM805" i="11"/>
  <c r="AF778" i="11"/>
  <c r="V36" i="11"/>
  <c r="AL775" i="11"/>
  <c r="AF208" i="11"/>
  <c r="D209" i="11"/>
  <c r="T217" i="11"/>
  <c r="C128" i="11"/>
  <c r="N207" i="11"/>
  <c r="AC714" i="11"/>
  <c r="T339" i="11"/>
  <c r="K215" i="11"/>
  <c r="I339" i="11"/>
  <c r="AA867" i="11"/>
  <c r="N866" i="11"/>
  <c r="N803" i="11"/>
  <c r="AJ36" i="11"/>
  <c r="W866" i="11"/>
  <c r="AK421" i="11"/>
  <c r="Y503" i="11"/>
  <c r="W784" i="11"/>
  <c r="AA340" i="11"/>
  <c r="W421" i="11"/>
  <c r="AN594" i="11"/>
  <c r="K214" i="11"/>
  <c r="AD784" i="11"/>
  <c r="K210" i="11"/>
  <c r="M498" i="11"/>
  <c r="B419" i="11"/>
  <c r="I597" i="11"/>
  <c r="O36" i="11"/>
  <c r="AE502" i="11"/>
  <c r="P803" i="11"/>
  <c r="C596" i="11"/>
  <c r="V865" i="11"/>
  <c r="J596" i="11"/>
  <c r="Y874" i="11"/>
  <c r="AM497" i="11"/>
  <c r="AC865" i="11"/>
  <c r="M339" i="11"/>
  <c r="Q44" i="11"/>
  <c r="U420" i="11"/>
  <c r="AH804" i="11"/>
  <c r="AC210" i="11"/>
  <c r="AE870" i="11"/>
  <c r="Z589" i="11"/>
  <c r="I499" i="11"/>
  <c r="AE784" i="11"/>
  <c r="AI410" i="11"/>
  <c r="B596" i="11"/>
  <c r="AH785" i="11"/>
  <c r="AJ780" i="11"/>
  <c r="X597" i="11"/>
  <c r="O866" i="11"/>
  <c r="AI46" i="11"/>
  <c r="L872" i="11"/>
  <c r="AF39" i="11"/>
  <c r="Y497" i="11"/>
  <c r="O32" i="4"/>
  <c r="Y218" i="11"/>
  <c r="R43" i="11"/>
  <c r="AH209" i="11"/>
  <c r="AD411" i="11"/>
  <c r="K783" i="11"/>
  <c r="AC595" i="11"/>
  <c r="P865" i="11"/>
  <c r="K437" i="11"/>
  <c r="L36" i="11"/>
  <c r="E867" i="11"/>
  <c r="K595" i="11"/>
  <c r="V507" i="11"/>
  <c r="AA780" i="11"/>
  <c r="N805" i="11"/>
  <c r="AF419" i="11"/>
  <c r="AJ208" i="11"/>
  <c r="AF777" i="11"/>
  <c r="T715" i="11"/>
  <c r="R505" i="11"/>
  <c r="Y502" i="11"/>
  <c r="AI421" i="11"/>
  <c r="U217" i="11"/>
  <c r="AF207" i="11"/>
  <c r="H785" i="11"/>
  <c r="AL776" i="11"/>
  <c r="G783" i="11"/>
  <c r="W215" i="11"/>
  <c r="AA46" i="11"/>
  <c r="G421" i="11"/>
  <c r="Q418" i="11"/>
  <c r="AF38" i="11"/>
  <c r="AN873" i="11"/>
  <c r="J776" i="11"/>
  <c r="W411" i="11"/>
  <c r="Z437" i="11"/>
  <c r="AF594" i="11"/>
  <c r="AL873" i="11"/>
  <c r="AG802" i="11"/>
  <c r="AN784" i="11"/>
  <c r="AJ417" i="11"/>
  <c r="T716" i="11"/>
  <c r="AM874" i="11"/>
  <c r="J777" i="11"/>
  <c r="AA599" i="11"/>
  <c r="AG208" i="11"/>
  <c r="R713" i="11"/>
  <c r="AN37" i="11"/>
  <c r="X776" i="11"/>
  <c r="P590" i="11"/>
  <c r="M502" i="11"/>
  <c r="AG803" i="11"/>
  <c r="F214" i="11"/>
  <c r="AI45" i="11"/>
  <c r="C592" i="11"/>
  <c r="M39" i="11"/>
  <c r="S410" i="11"/>
  <c r="Y588" i="11"/>
  <c r="AE214" i="11"/>
  <c r="AI713" i="11"/>
  <c r="B874" i="11"/>
  <c r="X209" i="11"/>
  <c r="AD337" i="11"/>
  <c r="T506" i="11"/>
  <c r="I11" i="3"/>
  <c r="X33" i="4"/>
  <c r="AL339" i="11"/>
  <c r="Z784" i="11"/>
  <c r="AH32" i="4"/>
  <c r="AJ13" i="2"/>
  <c r="AH39" i="3"/>
  <c r="AD871" i="11"/>
  <c r="Y594" i="11"/>
  <c r="N45" i="11"/>
  <c r="K46" i="11"/>
  <c r="AH435" i="11"/>
  <c r="O590" i="11"/>
  <c r="P436" i="11"/>
  <c r="AJ215" i="11"/>
  <c r="AG776" i="11"/>
  <c r="AK126" i="11"/>
  <c r="AK45" i="11"/>
  <c r="AK777" i="11"/>
  <c r="X419" i="11"/>
  <c r="AJ338" i="11"/>
  <c r="T590" i="11"/>
  <c r="F337" i="11"/>
  <c r="B804" i="11"/>
  <c r="H417" i="11"/>
  <c r="M497" i="11"/>
  <c r="B776" i="11"/>
  <c r="U591" i="11"/>
  <c r="AF502" i="11"/>
  <c r="O417" i="11"/>
  <c r="P340" i="11"/>
  <c r="D45" i="11"/>
  <c r="M802" i="11"/>
  <c r="V436" i="11"/>
  <c r="L340" i="11"/>
  <c r="AE595" i="11"/>
  <c r="I782" i="11"/>
  <c r="W214" i="11"/>
  <c r="X417" i="11"/>
  <c r="AN598" i="11"/>
  <c r="D875" i="11"/>
  <c r="AG866" i="11"/>
  <c r="AI778" i="11"/>
  <c r="AH506" i="11"/>
  <c r="J588" i="11"/>
  <c r="AC775" i="11"/>
  <c r="AI874" i="11"/>
  <c r="P777" i="11"/>
  <c r="AB589" i="11"/>
  <c r="B590" i="11"/>
  <c r="Q411" i="11"/>
  <c r="AF412" i="11"/>
  <c r="AF595" i="11"/>
  <c r="Z866" i="11"/>
  <c r="AC596" i="11"/>
  <c r="AH216" i="11"/>
  <c r="AK804" i="11"/>
  <c r="AJ593" i="11"/>
  <c r="AM214" i="11"/>
  <c r="AH38" i="11"/>
  <c r="L716" i="11"/>
  <c r="AF420" i="11"/>
  <c r="Q599" i="11"/>
  <c r="AA875" i="11"/>
  <c r="X411" i="11"/>
  <c r="S778" i="11"/>
  <c r="G873" i="11"/>
  <c r="H780" i="11"/>
  <c r="AJ46" i="11"/>
  <c r="AA504" i="11"/>
  <c r="W874" i="11"/>
  <c r="Z802" i="11"/>
  <c r="AC591" i="11"/>
  <c r="AI38" i="4" s="1"/>
  <c r="C416" i="11"/>
  <c r="H593" i="11"/>
  <c r="K803" i="11"/>
  <c r="AG780" i="11"/>
  <c r="S217" i="11"/>
  <c r="K412" i="11"/>
  <c r="U437" i="11"/>
  <c r="X208" i="11"/>
  <c r="J506" i="11"/>
  <c r="P597" i="11"/>
  <c r="AI804" i="11"/>
  <c r="V38" i="11"/>
  <c r="N209" i="11"/>
  <c r="AE776" i="11"/>
  <c r="H595" i="11"/>
  <c r="AB209" i="11"/>
  <c r="N125" i="11"/>
  <c r="F599" i="11"/>
  <c r="L871" i="11"/>
  <c r="G412" i="11"/>
  <c r="B713" i="11"/>
  <c r="W597" i="11"/>
  <c r="L784" i="11"/>
  <c r="X588" i="11"/>
  <c r="B593" i="11"/>
  <c r="L875" i="11"/>
  <c r="O875" i="11"/>
  <c r="U416" i="11"/>
  <c r="C412" i="11"/>
  <c r="M208" i="11"/>
  <c r="G782" i="11"/>
  <c r="P805" i="11"/>
  <c r="U125" i="11"/>
  <c r="D418" i="11"/>
  <c r="P784" i="11"/>
  <c r="C37" i="11"/>
  <c r="AH127" i="11"/>
  <c r="K337" i="11"/>
  <c r="S588" i="11"/>
  <c r="R436" i="11"/>
  <c r="P496" i="11"/>
  <c r="AL780" i="11"/>
  <c r="AD36" i="11"/>
  <c r="I125" i="11"/>
  <c r="W805" i="11"/>
  <c r="AL596" i="11"/>
  <c r="Q875" i="11"/>
  <c r="S437" i="11"/>
  <c r="M785" i="11"/>
  <c r="AF804" i="11"/>
  <c r="AL435" i="11"/>
  <c r="AF127" i="11"/>
  <c r="AE44" i="11"/>
  <c r="AE866" i="11"/>
  <c r="K17" i="4"/>
  <c r="L216" i="11"/>
  <c r="U209" i="11"/>
  <c r="AB4" i="2"/>
  <c r="J32" i="4"/>
  <c r="AH26" i="2"/>
  <c r="AL10" i="3"/>
  <c r="X420" i="11"/>
  <c r="F802" i="11"/>
  <c r="B865" i="11"/>
  <c r="AG592" i="11"/>
  <c r="Q590" i="11"/>
  <c r="Q437" i="11"/>
  <c r="R6" i="3"/>
  <c r="AL208" i="11"/>
  <c r="AA208" i="11"/>
  <c r="G504" i="11"/>
  <c r="AG714" i="11"/>
  <c r="W778" i="11"/>
  <c r="AH775" i="11"/>
  <c r="AN418" i="11"/>
  <c r="L438" i="11"/>
  <c r="U337" i="11"/>
  <c r="AH871" i="11"/>
  <c r="B412" i="11"/>
  <c r="AE782" i="11"/>
  <c r="AI125" i="11"/>
  <c r="L420" i="11"/>
  <c r="AA38" i="11"/>
  <c r="Q218" i="11"/>
  <c r="O438" i="11"/>
  <c r="K421" i="11"/>
  <c r="N595" i="11"/>
  <c r="H778" i="11"/>
  <c r="AN127" i="11"/>
  <c r="AN498" i="11"/>
  <c r="Z596" i="11"/>
  <c r="W785" i="11"/>
  <c r="E13" i="3"/>
  <c r="AL218" i="11"/>
  <c r="Z874" i="11"/>
  <c r="J778" i="11"/>
  <c r="K591" i="11"/>
  <c r="AG867" i="11"/>
  <c r="AE597" i="11"/>
  <c r="F218" i="11"/>
  <c r="AG496" i="11"/>
  <c r="Y43" i="11"/>
  <c r="G411" i="11"/>
  <c r="X864" i="11"/>
  <c r="AD502" i="11"/>
  <c r="AC597" i="11"/>
  <c r="N36" i="11"/>
  <c r="F592" i="11"/>
  <c r="AK338" i="11"/>
  <c r="K438" i="11"/>
  <c r="M410" i="11"/>
  <c r="AH210" i="11"/>
  <c r="F416" i="11"/>
  <c r="AD591" i="11"/>
  <c r="U874" i="11"/>
  <c r="U804" i="11"/>
  <c r="AH215" i="11"/>
  <c r="I218" i="11"/>
  <c r="Q867" i="11"/>
  <c r="AC437" i="11"/>
  <c r="AN46" i="11"/>
  <c r="E780" i="11"/>
  <c r="G872" i="11"/>
  <c r="B783" i="11"/>
  <c r="I436" i="11"/>
  <c r="AL595" i="11"/>
  <c r="L128" i="11"/>
  <c r="AD216" i="11"/>
  <c r="R126" i="11"/>
  <c r="M496" i="11"/>
  <c r="Z867" i="11"/>
  <c r="D437" i="11"/>
  <c r="AG499" i="11"/>
  <c r="AH45" i="11"/>
  <c r="R410" i="11"/>
  <c r="D417" i="11"/>
  <c r="W416" i="11"/>
  <c r="S38" i="11"/>
  <c r="U338" i="11"/>
  <c r="R36" i="11"/>
  <c r="D864" i="11"/>
  <c r="S595" i="11"/>
  <c r="F873" i="11"/>
  <c r="AK590" i="11"/>
  <c r="S339" i="11"/>
  <c r="AC218" i="11"/>
  <c r="AA503" i="11"/>
  <c r="P209" i="11"/>
  <c r="X340" i="11"/>
  <c r="D416" i="11"/>
  <c r="F411" i="11"/>
  <c r="B499" i="11"/>
  <c r="Z595" i="11"/>
  <c r="I437" i="11"/>
  <c r="B409" i="11"/>
  <c r="AI437" i="11"/>
  <c r="S435" i="11"/>
  <c r="N338" i="11"/>
  <c r="AA417" i="11"/>
  <c r="R412" i="11"/>
  <c r="B595" i="11"/>
  <c r="V588" i="11"/>
  <c r="J780" i="11"/>
  <c r="E589" i="11"/>
  <c r="D775" i="11"/>
  <c r="F875" i="11"/>
  <c r="AJ436" i="11"/>
  <c r="AL715" i="11"/>
  <c r="U715" i="11"/>
  <c r="AG777" i="11"/>
  <c r="H804" i="11"/>
  <c r="Y864" i="11"/>
  <c r="L596" i="11"/>
  <c r="Q778" i="11"/>
  <c r="C588" i="11"/>
  <c r="Z871" i="11"/>
  <c r="J416" i="11"/>
  <c r="P775" i="11"/>
  <c r="C337" i="11"/>
  <c r="AI337" i="11"/>
  <c r="AB31" i="4"/>
  <c r="AN12" i="3"/>
  <c r="P417" i="11"/>
  <c r="AB502" i="11"/>
  <c r="AH36" i="4"/>
  <c r="I10" i="3"/>
  <c r="C866" i="11"/>
  <c r="AN436" i="11"/>
  <c r="AD802" i="11"/>
  <c r="Z805" i="11"/>
  <c r="AH591" i="11"/>
  <c r="AI802" i="11"/>
  <c r="W506" i="11"/>
  <c r="AC867" i="11"/>
  <c r="N785" i="11"/>
  <c r="AN128" i="11"/>
  <c r="Z417" i="11"/>
  <c r="G438" i="11"/>
  <c r="J215" i="11"/>
  <c r="F210" i="11"/>
  <c r="L590" i="11"/>
  <c r="Q337" i="11"/>
  <c r="AM507" i="11"/>
  <c r="H507" i="11"/>
  <c r="H716" i="11"/>
  <c r="AJ872" i="11"/>
  <c r="J873" i="11"/>
  <c r="X872" i="11"/>
  <c r="Z412" i="11"/>
  <c r="AK128" i="11"/>
  <c r="T599" i="11"/>
  <c r="AF435" i="11"/>
  <c r="T778" i="11"/>
  <c r="AJ803" i="11"/>
  <c r="T871" i="11"/>
  <c r="J803" i="11"/>
  <c r="W865" i="11"/>
  <c r="AL126" i="11"/>
  <c r="AM781" i="11"/>
  <c r="R12" i="4"/>
  <c r="Q416" i="11"/>
  <c r="AN785" i="11"/>
  <c r="E873" i="11"/>
  <c r="AN595" i="11"/>
  <c r="X783" i="11"/>
  <c r="AA410" i="11"/>
  <c r="U36" i="11"/>
  <c r="AI589" i="11"/>
  <c r="Z588" i="11"/>
  <c r="N777" i="11"/>
  <c r="J870" i="11"/>
  <c r="S499" i="11"/>
  <c r="AG410" i="11"/>
  <c r="F499" i="11"/>
  <c r="N437" i="11"/>
  <c r="M340" i="11"/>
  <c r="Z418" i="11"/>
  <c r="AJ864" i="11"/>
  <c r="Y37" i="11"/>
  <c r="C208" i="11"/>
  <c r="C784" i="11"/>
  <c r="Y410" i="11"/>
  <c r="H218" i="11"/>
  <c r="L873" i="11"/>
  <c r="V44" i="11"/>
  <c r="AJ777" i="11"/>
  <c r="AI207" i="11"/>
  <c r="E593" i="11"/>
  <c r="N783" i="11"/>
  <c r="AG871" i="11"/>
  <c r="AE865" i="11"/>
  <c r="AL592" i="11"/>
  <c r="C127" i="11"/>
  <c r="X713" i="11"/>
  <c r="N864" i="11"/>
  <c r="Q802" i="11"/>
  <c r="N591" i="11"/>
  <c r="AK776" i="11"/>
  <c r="G599" i="11"/>
  <c r="X337" i="11"/>
  <c r="AK803" i="11"/>
  <c r="AA411" i="11"/>
  <c r="AE805" i="11"/>
  <c r="AK783" i="11"/>
  <c r="D591" i="11"/>
  <c r="T437" i="11"/>
  <c r="AB599" i="11"/>
  <c r="AA505" i="11"/>
  <c r="U503" i="11"/>
  <c r="Z498" i="11"/>
  <c r="E436" i="11"/>
  <c r="Y875" i="11"/>
  <c r="AH803" i="11"/>
  <c r="AI496" i="11"/>
  <c r="J339" i="11"/>
  <c r="AM872" i="11"/>
  <c r="S589" i="11"/>
  <c r="R417" i="11"/>
  <c r="G597" i="11"/>
  <c r="F716" i="11"/>
  <c r="AB867" i="11"/>
  <c r="P598" i="11"/>
  <c r="AL589" i="11"/>
  <c r="AK217" i="11"/>
  <c r="V410" i="11"/>
  <c r="Z506" i="11"/>
  <c r="B784" i="11"/>
  <c r="AG498" i="11"/>
  <c r="J874" i="11"/>
  <c r="I207" i="11"/>
  <c r="O595" i="11"/>
  <c r="W218" i="11"/>
  <c r="W128" i="11"/>
  <c r="E784" i="11"/>
  <c r="D435" i="11"/>
  <c r="AB864" i="11"/>
  <c r="X37" i="11"/>
  <c r="AL39" i="11"/>
  <c r="U784" i="11"/>
  <c r="I776" i="11"/>
  <c r="AN865" i="11"/>
  <c r="Y590" i="11"/>
  <c r="W37" i="11"/>
  <c r="C45" i="11"/>
  <c r="K505" i="11"/>
  <c r="AB217" i="11"/>
  <c r="AM595" i="11"/>
  <c r="J4" i="3"/>
  <c r="P16" i="4"/>
  <c r="E714" i="11"/>
  <c r="O865" i="11"/>
  <c r="H504" i="11"/>
  <c r="O420" i="11"/>
  <c r="P416" i="11"/>
  <c r="I27" i="3"/>
  <c r="N502" i="11"/>
  <c r="R785" i="11"/>
  <c r="AC498" i="11"/>
  <c r="O777" i="11"/>
  <c r="AD597" i="11"/>
  <c r="I506" i="11"/>
  <c r="AJ776" i="11"/>
  <c r="C410" i="11"/>
  <c r="AC874" i="11"/>
  <c r="AF43" i="11"/>
  <c r="AD438" i="11"/>
  <c r="AF215" i="11"/>
  <c r="Q506" i="11"/>
  <c r="Q498" i="11"/>
  <c r="L37" i="11"/>
  <c r="AM410" i="11"/>
  <c r="AI870" i="11"/>
  <c r="AD44" i="11"/>
  <c r="X207" i="11"/>
  <c r="AK17" i="3"/>
  <c r="S215" i="11"/>
  <c r="AJ591" i="11"/>
  <c r="U873" i="11"/>
  <c r="AC7" i="4"/>
  <c r="AM30" i="4"/>
  <c r="AF875" i="11"/>
  <c r="AI9" i="2"/>
  <c r="S418" i="11"/>
  <c r="AB505" i="11"/>
  <c r="AM436" i="11"/>
  <c r="AA39" i="11"/>
  <c r="AD13" i="4"/>
  <c r="AC715" i="11"/>
  <c r="F26" i="2"/>
  <c r="AI599" i="11"/>
  <c r="T218" i="11"/>
  <c r="X36" i="4"/>
  <c r="AJ14" i="4"/>
  <c r="H11" i="3"/>
  <c r="G127" i="11"/>
  <c r="AA214" i="11"/>
  <c r="X7" i="4"/>
  <c r="AH128" i="11"/>
  <c r="J39" i="3"/>
  <c r="M33" i="2"/>
  <c r="R782" i="11"/>
  <c r="E7" i="3"/>
  <c r="S5" i="3"/>
  <c r="J33" i="4"/>
  <c r="AJ339" i="11"/>
  <c r="Y870" i="11"/>
  <c r="H34" i="2"/>
  <c r="AI30" i="4"/>
  <c r="C9" i="4"/>
  <c r="F34" i="2"/>
  <c r="N37" i="3"/>
  <c r="S30" i="4"/>
  <c r="F804" i="11"/>
  <c r="AP39" i="11"/>
  <c r="V45" i="11"/>
  <c r="AI8" i="2"/>
  <c r="AH30" i="3"/>
  <c r="AK27" i="4"/>
  <c r="G16" i="2"/>
  <c r="M31" i="2"/>
  <c r="O803" i="11"/>
  <c r="B214" i="11"/>
  <c r="Z5" i="3"/>
  <c r="AG41" i="4"/>
  <c r="Y12" i="3"/>
  <c r="V599" i="11"/>
  <c r="AH9" i="3"/>
  <c r="N7" i="2"/>
  <c r="K504" i="11"/>
  <c r="AJ506" i="11"/>
  <c r="F5" i="3"/>
  <c r="H32" i="3"/>
  <c r="AA33" i="2"/>
  <c r="AF416" i="11"/>
  <c r="AG437" i="11"/>
  <c r="AH28" i="2"/>
  <c r="H599" i="11"/>
  <c r="C39" i="11"/>
  <c r="AC33" i="2"/>
  <c r="AC4" i="2"/>
  <c r="Z30" i="2"/>
  <c r="AK31" i="4"/>
  <c r="W505" i="11"/>
  <c r="AB594" i="11"/>
  <c r="C499" i="11"/>
  <c r="P28" i="3"/>
  <c r="P32" i="3"/>
  <c r="J417" i="11"/>
  <c r="O591" i="11"/>
  <c r="K33" i="4"/>
  <c r="S7" i="3"/>
  <c r="AM785" i="11"/>
  <c r="T872" i="11"/>
  <c r="J35" i="2"/>
  <c r="AN4" i="3"/>
  <c r="S7" i="4"/>
  <c r="S34" i="3"/>
  <c r="R29" i="4"/>
  <c r="M218" i="11"/>
  <c r="R210" i="11"/>
  <c r="AA595" i="11"/>
  <c r="AM31" i="2"/>
  <c r="C14" i="2"/>
  <c r="T507" i="11"/>
  <c r="R128" i="11"/>
  <c r="F27" i="4"/>
  <c r="P6" i="2"/>
  <c r="T784" i="11"/>
  <c r="D38" i="11"/>
  <c r="X11" i="4"/>
  <c r="R9" i="3"/>
  <c r="D128" i="11"/>
  <c r="Z598" i="11"/>
  <c r="N31" i="2"/>
  <c r="AB31" i="3"/>
  <c r="Y127" i="11"/>
  <c r="J3" i="3"/>
  <c r="B875" i="11"/>
  <c r="E32" i="2"/>
  <c r="Y38" i="2"/>
  <c r="V593" i="11"/>
  <c r="S496" i="11"/>
  <c r="D46" i="11"/>
  <c r="AB873" i="11"/>
  <c r="AK592" i="11"/>
  <c r="AE38" i="11"/>
  <c r="D504" i="11"/>
  <c r="AJ778" i="11"/>
  <c r="U805" i="11"/>
  <c r="N215" i="11"/>
  <c r="U507" i="11"/>
  <c r="P783" i="11"/>
  <c r="K409" i="11"/>
  <c r="H805" i="11"/>
  <c r="S776" i="11"/>
  <c r="AI590" i="11"/>
  <c r="S782" i="11"/>
  <c r="E507" i="11"/>
  <c r="N7" i="3"/>
  <c r="AJ28" i="4"/>
  <c r="B435" i="11"/>
  <c r="O419" i="11"/>
  <c r="AA714" i="11"/>
  <c r="AH778" i="11"/>
  <c r="R34" i="2"/>
  <c r="H497" i="11"/>
  <c r="AH33" i="3"/>
  <c r="Y40" i="2"/>
  <c r="AJ590" i="11"/>
  <c r="P217" i="11"/>
  <c r="AC27" i="3"/>
  <c r="AI5" i="2"/>
  <c r="Q12" i="3"/>
  <c r="X412" i="11"/>
  <c r="AJ10" i="4"/>
  <c r="G35" i="4"/>
  <c r="X781" i="11"/>
  <c r="H777" i="11"/>
  <c r="O783" i="11"/>
  <c r="L208" i="11"/>
  <c r="N17" i="3"/>
  <c r="AH217" i="11"/>
  <c r="AG17" i="3"/>
  <c r="N34" i="3"/>
  <c r="Z337" i="11"/>
  <c r="AI8" i="4"/>
  <c r="AI33" i="4"/>
  <c r="AE3" i="4"/>
  <c r="K38" i="2"/>
  <c r="T215" i="11"/>
  <c r="V496" i="11"/>
  <c r="AJ715" i="11"/>
  <c r="AG588" i="11"/>
  <c r="Z30" i="4"/>
  <c r="G7" i="3"/>
  <c r="U870" i="11"/>
  <c r="O8" i="4"/>
  <c r="C409" i="11"/>
  <c r="W43" i="11"/>
  <c r="AC421" i="11"/>
  <c r="Y27" i="2"/>
  <c r="AD10" i="3"/>
  <c r="U785" i="11"/>
  <c r="M783" i="11"/>
  <c r="G39" i="2"/>
  <c r="H4" i="3"/>
  <c r="AB38" i="11"/>
  <c r="G215" i="11"/>
  <c r="AE29" i="2"/>
  <c r="AA28" i="2"/>
  <c r="K32" i="4"/>
  <c r="AH598" i="11"/>
  <c r="M32" i="3"/>
  <c r="AB420" i="11"/>
  <c r="E419" i="11"/>
  <c r="AB775" i="11"/>
  <c r="AA45" i="11"/>
  <c r="N32" i="2"/>
  <c r="AF3" i="2"/>
  <c r="P125" i="11"/>
  <c r="AC864" i="11"/>
  <c r="AI31" i="4"/>
  <c r="AH412" i="11"/>
  <c r="Z11" i="4"/>
  <c r="AJ32" i="2"/>
  <c r="AK34" i="2"/>
  <c r="AE8" i="3"/>
  <c r="I4" i="4"/>
  <c r="Q11" i="3"/>
  <c r="V864" i="11"/>
  <c r="AI507" i="11"/>
  <c r="AN41" i="3"/>
  <c r="E12" i="4"/>
  <c r="D421" i="11"/>
  <c r="T505" i="11"/>
  <c r="X31" i="3"/>
  <c r="AB39" i="3"/>
  <c r="AD208" i="11"/>
  <c r="AG214" i="11"/>
  <c r="N6" i="3"/>
  <c r="G218" i="11"/>
  <c r="Q592" i="11"/>
  <c r="B437" i="11"/>
  <c r="P337" i="11"/>
  <c r="O12" i="4"/>
  <c r="W496" i="11"/>
  <c r="J438" i="11"/>
  <c r="L5" i="2"/>
  <c r="AE10" i="3"/>
  <c r="AF588" i="11"/>
  <c r="AN207" i="11"/>
  <c r="AG36" i="4"/>
  <c r="P26" i="2"/>
  <c r="I594" i="11"/>
  <c r="W44" i="11"/>
  <c r="E778" i="11"/>
  <c r="W438" i="11"/>
  <c r="J9" i="4"/>
  <c r="T503" i="11"/>
  <c r="Z409" i="11"/>
  <c r="AF9" i="3"/>
  <c r="G217" i="11"/>
  <c r="AK38" i="2"/>
  <c r="F506" i="11"/>
  <c r="L43" i="11"/>
  <c r="AB3" i="4"/>
  <c r="V596" i="11"/>
  <c r="J783" i="11"/>
  <c r="AI714" i="11"/>
  <c r="K503" i="11"/>
  <c r="AK46" i="11"/>
  <c r="S337" i="11"/>
  <c r="F780" i="11"/>
  <c r="O126" i="11"/>
  <c r="U781" i="11"/>
  <c r="U782" i="11"/>
  <c r="AI44" i="11"/>
  <c r="AL338" i="11"/>
  <c r="AK208" i="11"/>
  <c r="AM503" i="11"/>
  <c r="AF126" i="11"/>
  <c r="AD866" i="11"/>
  <c r="S802" i="11"/>
  <c r="E804" i="11"/>
  <c r="AN17" i="2"/>
  <c r="U777" i="11"/>
  <c r="P40" i="4"/>
  <c r="U780" i="11"/>
  <c r="H874" i="11"/>
  <c r="AC126" i="11"/>
  <c r="Q784" i="11"/>
  <c r="P39" i="2"/>
  <c r="M781" i="11"/>
  <c r="AN14" i="4"/>
  <c r="X503" i="11"/>
  <c r="Z37" i="11"/>
  <c r="R39" i="2"/>
  <c r="F3" i="3"/>
  <c r="K871" i="11"/>
  <c r="AI504" i="11"/>
  <c r="M38" i="3"/>
  <c r="AC3" i="2"/>
  <c r="AN35" i="2"/>
  <c r="E418" i="11"/>
  <c r="AC866" i="11"/>
  <c r="AH503" i="11"/>
  <c r="AM776" i="11"/>
  <c r="S873" i="11"/>
  <c r="AL39" i="4"/>
  <c r="AI499" i="11"/>
  <c r="O207" i="11"/>
  <c r="AN502" i="11"/>
  <c r="I592" i="11"/>
  <c r="AC3" i="4"/>
  <c r="O27" i="3"/>
  <c r="AE32" i="2"/>
  <c r="H7" i="2"/>
  <c r="K713" i="11"/>
  <c r="Z39" i="11"/>
  <c r="C37" i="2"/>
  <c r="J10" i="3"/>
  <c r="G591" i="11"/>
  <c r="I8" i="3"/>
  <c r="E39" i="2"/>
  <c r="C502" i="11"/>
  <c r="G417" i="11"/>
  <c r="F7" i="3"/>
  <c r="X41" i="3"/>
  <c r="AP39" i="2"/>
  <c r="AA44" i="11"/>
  <c r="M37" i="3"/>
  <c r="O12" i="3"/>
  <c r="R435" i="11"/>
  <c r="V339" i="11"/>
  <c r="K36" i="3"/>
  <c r="X12" i="3"/>
  <c r="I14" i="2"/>
  <c r="Q338" i="11"/>
  <c r="C5" i="4"/>
  <c r="N41" i="3"/>
  <c r="V871" i="11"/>
  <c r="AK805" i="11"/>
  <c r="X595" i="11"/>
  <c r="R10" i="3"/>
  <c r="R775" i="11"/>
  <c r="G776" i="11"/>
  <c r="X596" i="11"/>
  <c r="AI32" i="2"/>
  <c r="X805" i="11"/>
  <c r="AO26" i="2"/>
  <c r="AI13" i="2"/>
  <c r="AI27" i="4"/>
  <c r="AN29" i="3"/>
  <c r="L6" i="2"/>
  <c r="N31" i="4"/>
  <c r="AM804" i="11"/>
  <c r="D599" i="11"/>
  <c r="AM3" i="4"/>
  <c r="D210" i="11"/>
  <c r="L16" i="2"/>
  <c r="J29" i="3"/>
  <c r="O38" i="3"/>
  <c r="G866" i="11"/>
  <c r="X36" i="11"/>
  <c r="AG435" i="11"/>
  <c r="S785" i="11"/>
  <c r="AG31" i="3"/>
  <c r="J496" i="11"/>
  <c r="O782" i="11"/>
  <c r="S27" i="4"/>
  <c r="AA27" i="4"/>
  <c r="AC38" i="11"/>
  <c r="T593" i="11"/>
  <c r="P9" i="4"/>
  <c r="AN7" i="3"/>
  <c r="J9" i="2"/>
  <c r="M207" i="11"/>
  <c r="P27" i="2"/>
  <c r="Q10" i="4"/>
  <c r="D127" i="11"/>
  <c r="N339" i="11"/>
  <c r="Q17" i="3"/>
  <c r="I32" i="4"/>
  <c r="AD596" i="11"/>
  <c r="M7" i="3"/>
  <c r="Y36" i="3"/>
  <c r="C27" i="3"/>
  <c r="D29" i="4"/>
  <c r="AH8" i="4"/>
  <c r="J15" i="4"/>
  <c r="C777" i="11"/>
  <c r="H505" i="11"/>
  <c r="AB503" i="11"/>
  <c r="I595" i="11"/>
  <c r="AA716" i="11"/>
  <c r="AH126" i="11"/>
  <c r="AE412" i="11"/>
  <c r="AG411" i="11"/>
  <c r="X594" i="11"/>
  <c r="Y338" i="11"/>
  <c r="AB340" i="11"/>
  <c r="AJ419" i="11"/>
  <c r="J209" i="11"/>
  <c r="AD872" i="11"/>
  <c r="N410" i="11"/>
  <c r="C864" i="11"/>
  <c r="S126" i="11"/>
  <c r="D502" i="11"/>
  <c r="T782" i="11"/>
  <c r="E209" i="11"/>
  <c r="S208" i="11"/>
  <c r="O14" i="4"/>
  <c r="T497" i="11"/>
  <c r="Q589" i="11"/>
  <c r="AG9" i="2"/>
  <c r="D870" i="11"/>
  <c r="AD26" i="2"/>
  <c r="F39" i="4"/>
  <c r="AI12" i="3"/>
  <c r="X217" i="11"/>
  <c r="AH504" i="11"/>
  <c r="J41" i="4"/>
  <c r="P11" i="3"/>
  <c r="R34" i="3"/>
  <c r="D714" i="11"/>
  <c r="L499" i="11"/>
  <c r="AG9" i="3"/>
  <c r="AJ713" i="11"/>
  <c r="J410" i="11"/>
  <c r="G46" i="11"/>
  <c r="Y596" i="11"/>
  <c r="B589" i="11"/>
  <c r="AJ27" i="3"/>
  <c r="C29" i="3"/>
  <c r="Y784" i="11"/>
  <c r="Y437" i="11"/>
  <c r="AK5" i="2"/>
  <c r="F12" i="3"/>
  <c r="AG15" i="4"/>
  <c r="X782" i="11"/>
  <c r="AI32" i="4"/>
  <c r="M15" i="2"/>
  <c r="AE410" i="11"/>
  <c r="H421" i="11"/>
  <c r="AB39" i="11"/>
  <c r="O10" i="4"/>
  <c r="R3" i="3"/>
  <c r="D34" i="2"/>
  <c r="J436" i="11"/>
  <c r="X9" i="4"/>
  <c r="L592" i="11"/>
  <c r="G592" i="11"/>
  <c r="F8" i="4"/>
  <c r="Z32" i="2"/>
  <c r="T8" i="2"/>
  <c r="K338" i="11"/>
  <c r="R17" i="3"/>
  <c r="AA337" i="11"/>
  <c r="AI340" i="11"/>
  <c r="U207" i="11"/>
  <c r="H214" i="11"/>
  <c r="K3" i="3"/>
  <c r="AI32" i="3"/>
  <c r="AJ504" i="11"/>
  <c r="AJ782" i="11"/>
  <c r="E28" i="3"/>
  <c r="D598" i="11"/>
  <c r="AI39" i="11"/>
  <c r="AF507" i="11"/>
  <c r="AH37" i="4"/>
  <c r="P11" i="4"/>
  <c r="D780" i="11"/>
  <c r="M338" i="11"/>
  <c r="B217" i="11"/>
  <c r="K599" i="11"/>
  <c r="AI39" i="3"/>
  <c r="AD14" i="4"/>
  <c r="I30" i="3"/>
  <c r="AH410" i="11"/>
  <c r="G32" i="3"/>
  <c r="AK7" i="2"/>
  <c r="J46" i="11"/>
  <c r="AI784" i="11"/>
  <c r="G38" i="2"/>
  <c r="Y12" i="4"/>
  <c r="AF125" i="11"/>
  <c r="R438" i="11"/>
  <c r="AC504" i="11"/>
  <c r="AB12" i="3"/>
  <c r="K39" i="11"/>
  <c r="AJ44" i="11"/>
  <c r="M35" i="2"/>
  <c r="AG4" i="4"/>
  <c r="AD35" i="3"/>
  <c r="P128" i="11"/>
  <c r="K7" i="4"/>
  <c r="AB28" i="3"/>
  <c r="D411" i="11"/>
  <c r="N39" i="11"/>
  <c r="AF870" i="11"/>
  <c r="AF11" i="4"/>
  <c r="R13" i="3"/>
  <c r="I209" i="11"/>
  <c r="V589" i="11"/>
  <c r="AE35" i="3"/>
  <c r="G36" i="11"/>
  <c r="AI776" i="11"/>
  <c r="AN8" i="3"/>
  <c r="F9" i="3"/>
  <c r="Z27" i="4"/>
  <c r="E208" i="11"/>
  <c r="AB125" i="11"/>
  <c r="M34" i="4"/>
  <c r="AH3" i="4"/>
  <c r="R33" i="3"/>
  <c r="E216" i="11"/>
  <c r="AC38" i="4"/>
  <c r="F777" i="11"/>
  <c r="AF128" i="11"/>
  <c r="AE596" i="11"/>
  <c r="AB504" i="11"/>
  <c r="Y781" i="11"/>
  <c r="AH776" i="11"/>
  <c r="T419" i="11"/>
  <c r="T38" i="11"/>
  <c r="R207" i="11"/>
  <c r="AL783" i="11"/>
  <c r="R874" i="11"/>
  <c r="AL781" i="11"/>
  <c r="M591" i="11"/>
  <c r="X507" i="11"/>
  <c r="C338" i="11"/>
  <c r="L416" i="11"/>
  <c r="G418" i="11"/>
  <c r="G871" i="11"/>
  <c r="X780" i="11"/>
  <c r="AA596" i="11"/>
  <c r="AL43" i="11"/>
  <c r="I29" i="2"/>
  <c r="AE36" i="11"/>
  <c r="P29" i="4"/>
  <c r="AB6" i="4"/>
  <c r="AE40" i="3"/>
  <c r="L26" i="2"/>
  <c r="AJ31" i="4"/>
  <c r="AL411" i="11"/>
  <c r="AL597" i="11"/>
  <c r="AI875" i="11"/>
  <c r="V216" i="11"/>
  <c r="AG409" i="11"/>
  <c r="Q5" i="4"/>
  <c r="W777" i="11"/>
  <c r="I35" i="4"/>
  <c r="AF31" i="4"/>
  <c r="O594" i="11"/>
  <c r="L421" i="11"/>
  <c r="O32" i="2"/>
  <c r="K39" i="2"/>
  <c r="AD36" i="4"/>
  <c r="C28" i="3"/>
  <c r="R10" i="2"/>
  <c r="AC410" i="11"/>
  <c r="N875" i="11"/>
  <c r="AD13" i="2"/>
  <c r="Z12" i="4"/>
  <c r="AI596" i="11"/>
  <c r="J7" i="2"/>
  <c r="AL7" i="3"/>
  <c r="AI39" i="2"/>
  <c r="J591" i="11"/>
  <c r="I507" i="11"/>
  <c r="AG27" i="2"/>
  <c r="AE29" i="4"/>
  <c r="I6" i="4"/>
  <c r="AL418" i="11"/>
  <c r="Y28" i="3"/>
  <c r="AA11" i="3"/>
  <c r="E594" i="11"/>
  <c r="AI209" i="11"/>
  <c r="Y39" i="4"/>
  <c r="Q16" i="2"/>
  <c r="AB30" i="4"/>
  <c r="N46" i="11"/>
  <c r="M4" i="2"/>
  <c r="AJ15" i="2"/>
  <c r="AK416" i="11"/>
  <c r="AG419" i="11"/>
  <c r="AD217" i="11"/>
  <c r="AB13" i="3"/>
  <c r="AN125" i="11"/>
  <c r="S590" i="11"/>
  <c r="AB802" i="11"/>
  <c r="E5" i="4"/>
  <c r="AC207" i="11"/>
  <c r="AB870" i="11"/>
  <c r="AM3" i="3"/>
  <c r="M12" i="4"/>
  <c r="E13" i="4"/>
  <c r="F865" i="11"/>
  <c r="P34" i="4"/>
  <c r="AI126" i="11"/>
  <c r="AB210" i="11"/>
  <c r="R15" i="4"/>
  <c r="F864" i="11"/>
  <c r="W804" i="11"/>
  <c r="S43" i="11"/>
  <c r="F28" i="4"/>
  <c r="C126" i="11"/>
  <c r="AA872" i="11"/>
  <c r="C340" i="11"/>
  <c r="AA4" i="2"/>
  <c r="AE28" i="3"/>
  <c r="X873" i="11"/>
  <c r="AF46" i="11"/>
  <c r="AG8" i="2"/>
  <c r="AG34" i="3"/>
  <c r="V775" i="11"/>
  <c r="J125" i="11"/>
  <c r="X29" i="4"/>
  <c r="AN3" i="3"/>
  <c r="AI10" i="3"/>
  <c r="N596" i="11"/>
  <c r="AE338" i="11"/>
  <c r="N17" i="2"/>
  <c r="J589" i="11"/>
  <c r="Q209" i="11"/>
  <c r="D866" i="11"/>
  <c r="AC27" i="2"/>
  <c r="O34" i="3"/>
  <c r="AD43" i="11"/>
  <c r="D9" i="2"/>
  <c r="M16" i="3"/>
  <c r="K45" i="11"/>
  <c r="O503" i="11"/>
  <c r="AM780" i="11"/>
  <c r="AD33" i="4"/>
  <c r="O871" i="11"/>
  <c r="AJ785" i="11"/>
  <c r="H207" i="11"/>
  <c r="AK4" i="4"/>
  <c r="Z438" i="11"/>
  <c r="Z503" i="11"/>
  <c r="I870" i="11"/>
  <c r="AM8" i="3"/>
  <c r="M28" i="2"/>
  <c r="C875" i="11"/>
  <c r="X437" i="11"/>
  <c r="AD503" i="11"/>
  <c r="AH418" i="11"/>
  <c r="AK865" i="11"/>
  <c r="AM867" i="11"/>
  <c r="D785" i="11"/>
  <c r="Z597" i="11"/>
  <c r="AK337" i="11"/>
  <c r="O505" i="11"/>
  <c r="B716" i="11"/>
  <c r="K44" i="11"/>
  <c r="M776" i="11"/>
  <c r="Q716" i="11"/>
  <c r="AG207" i="11"/>
  <c r="E421" i="11"/>
  <c r="AK436" i="11"/>
  <c r="AG595" i="11"/>
  <c r="AG870" i="11"/>
  <c r="AF214" i="11"/>
  <c r="S34" i="4"/>
  <c r="F783" i="11"/>
  <c r="Q27" i="4"/>
  <c r="AF38" i="2"/>
  <c r="AG10" i="4"/>
  <c r="AH16" i="4"/>
  <c r="I37" i="4"/>
  <c r="E26" i="2"/>
  <c r="AD37" i="11"/>
  <c r="Q866" i="11"/>
  <c r="L35" i="4"/>
  <c r="F33" i="4"/>
  <c r="L13" i="3"/>
  <c r="F597" i="11"/>
  <c r="M864" i="11"/>
  <c r="K12" i="4"/>
  <c r="C438" i="11"/>
  <c r="C28" i="4"/>
  <c r="AG5" i="3"/>
  <c r="O28" i="3"/>
  <c r="C8" i="4"/>
  <c r="T805" i="11"/>
  <c r="U214" i="11"/>
  <c r="AF217" i="11"/>
  <c r="W775" i="11"/>
  <c r="D10" i="4"/>
  <c r="E27" i="4"/>
  <c r="Z210" i="11"/>
  <c r="Y39" i="3"/>
  <c r="P409" i="11"/>
  <c r="AG36" i="11"/>
  <c r="K11" i="4"/>
  <c r="N39" i="2"/>
  <c r="S864" i="11"/>
  <c r="AE416" i="11"/>
  <c r="N40" i="3"/>
  <c r="AE505" i="11"/>
  <c r="AN411" i="11"/>
  <c r="T44" i="11"/>
  <c r="Z6" i="4"/>
  <c r="AJ16" i="2"/>
  <c r="AH17" i="4"/>
  <c r="AB595" i="11"/>
  <c r="N43" i="11"/>
  <c r="Y32" i="3"/>
  <c r="AH507" i="11"/>
  <c r="G499" i="11"/>
  <c r="F9" i="4"/>
  <c r="M38" i="4"/>
  <c r="AA36" i="4"/>
  <c r="N436" i="11"/>
  <c r="V802" i="11"/>
  <c r="J13" i="3"/>
  <c r="J43" i="11"/>
  <c r="Z36" i="2"/>
  <c r="AB17" i="2"/>
  <c r="N496" i="11"/>
  <c r="AA43" i="11"/>
  <c r="U435" i="11"/>
  <c r="K4" i="2"/>
  <c r="Y595" i="11"/>
  <c r="L339" i="11"/>
  <c r="R8" i="2"/>
  <c r="S3" i="4"/>
  <c r="O9" i="3"/>
  <c r="AN28" i="3"/>
  <c r="C33" i="4"/>
  <c r="AL340" i="11"/>
  <c r="X784" i="11"/>
  <c r="I32" i="2"/>
  <c r="J13" i="4"/>
  <c r="B867" i="11"/>
  <c r="AJ5" i="2"/>
  <c r="AB10" i="4"/>
  <c r="R45" i="11"/>
  <c r="M507" i="11"/>
  <c r="D874" i="11"/>
  <c r="AG41" i="3"/>
  <c r="M8" i="4"/>
  <c r="AG44" i="11"/>
  <c r="G3" i="3"/>
  <c r="J12" i="3"/>
  <c r="I780" i="11"/>
  <c r="P419" i="11"/>
  <c r="T803" i="11"/>
  <c r="O34" i="2"/>
  <c r="S216" i="11"/>
  <c r="R776" i="11"/>
  <c r="AB713" i="11"/>
  <c r="N30" i="3"/>
  <c r="F784" i="11"/>
  <c r="S504" i="11"/>
  <c r="U218" i="11"/>
  <c r="AH10" i="3"/>
  <c r="AF37" i="11"/>
  <c r="Z507" i="11"/>
  <c r="AL45" i="11"/>
  <c r="M35" i="4"/>
  <c r="AK125" i="11"/>
  <c r="AN8" i="2"/>
  <c r="E4" i="3"/>
  <c r="O36" i="2"/>
  <c r="O873" i="11"/>
  <c r="AM337" i="11"/>
  <c r="M599" i="11"/>
  <c r="AG864" i="11"/>
  <c r="X599" i="11"/>
  <c r="N780" i="11"/>
  <c r="N420" i="11"/>
  <c r="P715" i="11"/>
  <c r="AN782" i="11"/>
  <c r="AH716" i="11"/>
  <c r="J595" i="11"/>
  <c r="R38" i="11"/>
  <c r="C504" i="11"/>
  <c r="AH416" i="11"/>
  <c r="AN216" i="11"/>
  <c r="T498" i="11"/>
  <c r="AI777" i="11"/>
  <c r="R416" i="11"/>
  <c r="AI29" i="3"/>
  <c r="B803" i="11"/>
  <c r="R9" i="2"/>
  <c r="P497" i="11"/>
  <c r="H506" i="11"/>
  <c r="F35" i="2"/>
  <c r="AI214" i="11"/>
  <c r="AM127" i="11"/>
  <c r="G874" i="11"/>
  <c r="AL216" i="11"/>
  <c r="D36" i="3"/>
  <c r="H781" i="11"/>
  <c r="F871" i="11"/>
  <c r="AF417" i="11"/>
  <c r="AL9" i="2"/>
  <c r="AI15" i="2"/>
  <c r="G803" i="11"/>
  <c r="X871" i="11"/>
  <c r="N11" i="3"/>
  <c r="C496" i="11"/>
  <c r="AB8" i="4"/>
  <c r="M589" i="11"/>
  <c r="P6" i="3"/>
  <c r="K7" i="2"/>
  <c r="R17" i="4"/>
  <c r="AD10" i="4"/>
  <c r="AF210" i="11"/>
  <c r="AN337" i="11"/>
  <c r="AE43" i="11"/>
  <c r="E416" i="11"/>
  <c r="AC7" i="2"/>
  <c r="J409" i="11"/>
  <c r="Z36" i="4"/>
  <c r="C7" i="2"/>
  <c r="AM435" i="11"/>
  <c r="W714" i="11"/>
  <c r="G27" i="4"/>
  <c r="AB36" i="3"/>
  <c r="AL38" i="2"/>
  <c r="P210" i="11"/>
  <c r="AI34" i="3"/>
  <c r="AE32" i="3"/>
  <c r="AM420" i="11"/>
  <c r="AF340" i="11"/>
  <c r="L713" i="11"/>
  <c r="E33" i="3"/>
  <c r="AP38" i="11"/>
  <c r="M126" i="11"/>
  <c r="AL874" i="11"/>
  <c r="AH6" i="4"/>
  <c r="P410" i="11"/>
  <c r="Y46" i="11"/>
  <c r="AL39" i="2"/>
  <c r="X39" i="11"/>
  <c r="AF27" i="4"/>
  <c r="Q588" i="11"/>
  <c r="M210" i="11"/>
  <c r="Z340" i="11"/>
  <c r="AJ420" i="11"/>
  <c r="AG7" i="2"/>
  <c r="L30" i="4"/>
  <c r="AJ871" i="11"/>
  <c r="D37" i="3"/>
  <c r="O5" i="2"/>
  <c r="Z31" i="4"/>
  <c r="D776" i="11"/>
  <c r="AL505" i="11"/>
  <c r="AH3" i="2"/>
  <c r="AE30" i="2"/>
  <c r="AD14" i="3"/>
  <c r="U593" i="11"/>
  <c r="AC32" i="3"/>
  <c r="Q40" i="3"/>
  <c r="AM411" i="11"/>
  <c r="N597" i="11"/>
  <c r="Q35" i="3"/>
  <c r="AG417" i="11"/>
  <c r="H28" i="3"/>
  <c r="X410" i="11"/>
  <c r="O8" i="3"/>
  <c r="K873" i="11"/>
  <c r="U215" i="11"/>
  <c r="I599" i="11"/>
  <c r="C38" i="11"/>
  <c r="AM27" i="2"/>
  <c r="N411" i="11"/>
  <c r="D410" i="11"/>
  <c r="Q45" i="11"/>
  <c r="AL16" i="3"/>
  <c r="AA866" i="11"/>
  <c r="C216" i="11"/>
  <c r="T713" i="11"/>
  <c r="AG13" i="2"/>
  <c r="L207" i="11"/>
  <c r="Q597" i="11"/>
  <c r="AF871" i="11"/>
  <c r="AI17" i="3"/>
  <c r="N507" i="11"/>
  <c r="H35" i="2"/>
  <c r="AK5" i="4"/>
  <c r="T34" i="2"/>
  <c r="AI34" i="4"/>
  <c r="G595" i="11"/>
  <c r="C31" i="2"/>
  <c r="AI506" i="11"/>
  <c r="I867" i="11"/>
  <c r="E39" i="4"/>
  <c r="K39" i="4"/>
  <c r="AB784" i="11"/>
  <c r="AN41" i="4"/>
  <c r="I783" i="11"/>
  <c r="Z128" i="11"/>
  <c r="K785" i="11"/>
  <c r="F39" i="11"/>
  <c r="AN416" i="11"/>
  <c r="AG37" i="11"/>
  <c r="I716" i="11"/>
  <c r="F803" i="11"/>
  <c r="AK37" i="11"/>
  <c r="N419" i="11"/>
  <c r="D593" i="11"/>
  <c r="F589" i="11"/>
  <c r="AA781" i="11"/>
  <c r="M777" i="11"/>
  <c r="AI217" i="11"/>
  <c r="AM506" i="11"/>
  <c r="Y214" i="11"/>
  <c r="E9" i="4"/>
  <c r="AN44" i="11"/>
  <c r="Y16" i="2"/>
  <c r="AK339" i="11"/>
  <c r="O338" i="11"/>
  <c r="AD420" i="11"/>
  <c r="I14" i="3"/>
  <c r="AK497" i="11"/>
  <c r="H875" i="11"/>
  <c r="F10" i="2"/>
  <c r="M14" i="4"/>
  <c r="X436" i="11"/>
  <c r="I43" i="11"/>
  <c r="N126" i="11"/>
  <c r="F7" i="4"/>
  <c r="L506" i="11"/>
  <c r="I410" i="11"/>
  <c r="O28" i="4"/>
  <c r="T207" i="11"/>
  <c r="AA776" i="11"/>
  <c r="R502" i="11"/>
  <c r="G39" i="3"/>
  <c r="O496" i="11"/>
  <c r="AI873" i="11"/>
  <c r="P8" i="3"/>
  <c r="AD12" i="2"/>
  <c r="D499" i="11"/>
  <c r="H591" i="11"/>
  <c r="AF15" i="4"/>
  <c r="AB12" i="4"/>
  <c r="L127" i="11"/>
  <c r="R872" i="11"/>
  <c r="J12" i="4"/>
  <c r="AN33" i="4"/>
  <c r="AE496" i="11"/>
  <c r="Q438" i="11"/>
  <c r="L215" i="11"/>
  <c r="AG3" i="4"/>
  <c r="I41" i="3"/>
  <c r="F590" i="11"/>
  <c r="G12" i="2"/>
  <c r="AE15" i="2"/>
  <c r="AI872" i="11"/>
  <c r="M421" i="11"/>
  <c r="AL507" i="11"/>
  <c r="C39" i="2"/>
  <c r="N12" i="2"/>
  <c r="T208" i="11"/>
  <c r="V125" i="11"/>
  <c r="S14" i="3"/>
  <c r="I777" i="11"/>
  <c r="M17" i="2"/>
  <c r="C10" i="2"/>
  <c r="C782" i="11"/>
  <c r="AI783" i="11"/>
  <c r="K778" i="11"/>
  <c r="F37" i="4"/>
  <c r="X125" i="11"/>
  <c r="AJ37" i="11"/>
  <c r="F27" i="3"/>
  <c r="O4" i="2"/>
  <c r="P5" i="3"/>
  <c r="J32" i="2"/>
  <c r="C870" i="11"/>
  <c r="AF216" i="11"/>
  <c r="G802" i="11"/>
  <c r="I9" i="2"/>
  <c r="O32" i="3"/>
  <c r="O867" i="11"/>
  <c r="AA498" i="11"/>
  <c r="C17" i="2"/>
  <c r="AD36" i="2"/>
  <c r="AC778" i="11"/>
  <c r="S714" i="11"/>
  <c r="AK871" i="11"/>
  <c r="P35" i="3"/>
  <c r="P31" i="3"/>
  <c r="Q339" i="11"/>
  <c r="Z32" i="4"/>
  <c r="C15" i="4"/>
  <c r="AB591" i="11"/>
  <c r="K867" i="11"/>
  <c r="AE215" i="11"/>
  <c r="C27" i="4"/>
  <c r="F421" i="11"/>
  <c r="O340" i="11"/>
  <c r="D783" i="11"/>
  <c r="G30" i="4"/>
  <c r="P215" i="11"/>
  <c r="X499" i="11"/>
  <c r="Q4" i="3"/>
  <c r="Q27" i="3"/>
  <c r="AF15" i="3"/>
  <c r="U713" i="11"/>
  <c r="AI864" i="11"/>
  <c r="I6" i="3"/>
  <c r="AC499" i="11"/>
  <c r="Y30" i="2"/>
  <c r="S38" i="3"/>
  <c r="G781" i="11"/>
  <c r="D412" i="11"/>
  <c r="AG35" i="2"/>
  <c r="E3" i="4"/>
  <c r="AC44" i="11"/>
  <c r="Q8" i="2"/>
  <c r="O40" i="2"/>
  <c r="AJ35" i="2"/>
  <c r="AN26" i="2"/>
  <c r="Q4" i="4"/>
  <c r="G594" i="11"/>
  <c r="AK43" i="11"/>
  <c r="F37" i="11"/>
  <c r="D778" i="11"/>
  <c r="G43" i="11"/>
  <c r="AN437" i="11"/>
  <c r="E597" i="11"/>
  <c r="F216" i="11"/>
  <c r="R588" i="11"/>
  <c r="E713" i="11"/>
  <c r="AE777" i="11"/>
  <c r="M214" i="11"/>
  <c r="F593" i="11"/>
  <c r="K598" i="11"/>
  <c r="AH589" i="11"/>
  <c r="Y416" i="11"/>
  <c r="N16" i="4"/>
  <c r="AE714" i="11"/>
  <c r="AP36" i="2"/>
  <c r="AJ10" i="3"/>
  <c r="J785" i="11"/>
  <c r="X45" i="11"/>
  <c r="AN15" i="2"/>
  <c r="AE40" i="4"/>
  <c r="AL29" i="4"/>
  <c r="E496" i="11"/>
  <c r="AG12" i="3"/>
  <c r="F866" i="11"/>
  <c r="M775" i="11"/>
  <c r="L782" i="11"/>
  <c r="O497" i="11"/>
  <c r="Z33" i="2"/>
  <c r="AM30" i="2"/>
  <c r="M125" i="11"/>
  <c r="P40" i="2"/>
  <c r="Z36" i="11"/>
  <c r="L337" i="11"/>
  <c r="Y14" i="2"/>
  <c r="E128" i="11"/>
  <c r="Y9" i="2"/>
  <c r="S32" i="4"/>
  <c r="P36" i="2"/>
  <c r="AF10" i="3"/>
  <c r="O874" i="11"/>
  <c r="C36" i="11"/>
  <c r="AL31" i="2"/>
  <c r="D9" i="4"/>
  <c r="G128" i="11"/>
  <c r="M865" i="11"/>
  <c r="O14" i="3"/>
  <c r="AF589" i="11"/>
  <c r="B502" i="11"/>
  <c r="AH502" i="11"/>
  <c r="N26" i="2"/>
  <c r="AP13" i="2"/>
  <c r="J33" i="2"/>
  <c r="N781" i="11"/>
  <c r="W875" i="11"/>
  <c r="J6" i="4"/>
  <c r="W507" i="11"/>
  <c r="S420" i="11"/>
  <c r="O11" i="4"/>
  <c r="N40" i="2"/>
  <c r="AD28" i="2"/>
  <c r="L864" i="11"/>
  <c r="AN775" i="11"/>
  <c r="AD589" i="11"/>
  <c r="AD498" i="11"/>
  <c r="Y32" i="4"/>
  <c r="E33" i="4"/>
  <c r="H215" i="11"/>
  <c r="AA37" i="3"/>
  <c r="AL26" i="2"/>
  <c r="AM15" i="4"/>
  <c r="Q598" i="11"/>
  <c r="AC435" i="11"/>
  <c r="C10" i="4"/>
  <c r="AF36" i="4"/>
  <c r="AC36" i="4"/>
  <c r="N8" i="4"/>
  <c r="Q17" i="4"/>
  <c r="L411" i="11"/>
  <c r="AB805" i="11"/>
  <c r="H7" i="4"/>
  <c r="Z31" i="2"/>
  <c r="Q36" i="3"/>
  <c r="P870" i="11"/>
  <c r="AF32" i="4"/>
  <c r="AH339" i="11"/>
  <c r="AI215" i="11"/>
  <c r="AF421" i="11"/>
  <c r="B504" i="11"/>
  <c r="S10" i="3"/>
  <c r="C597" i="11"/>
  <c r="B436" i="11"/>
  <c r="F412" i="11"/>
  <c r="N870" i="11"/>
  <c r="AE411" i="11"/>
  <c r="AK419" i="11"/>
  <c r="G7" i="4"/>
  <c r="AC10" i="3"/>
  <c r="C207" i="11"/>
  <c r="G498" i="11"/>
  <c r="AJ15" i="3"/>
  <c r="E214" i="11"/>
  <c r="AF36" i="2"/>
  <c r="AI36" i="3"/>
  <c r="T865" i="11"/>
  <c r="AL802" i="11"/>
  <c r="V803" i="11"/>
  <c r="AJ8" i="2"/>
  <c r="L594" i="11"/>
  <c r="AF713" i="11"/>
  <c r="AH17" i="3"/>
  <c r="Z14" i="4"/>
  <c r="I866" i="11"/>
  <c r="V421" i="11"/>
  <c r="F30" i="2"/>
  <c r="Z34" i="4"/>
  <c r="AH39" i="11"/>
  <c r="G31" i="4"/>
  <c r="AP40" i="2"/>
  <c r="AJ503" i="11"/>
  <c r="Q31" i="4"/>
  <c r="AN7" i="2"/>
  <c r="AM866" i="11"/>
  <c r="Y339" i="11"/>
  <c r="N871" i="11"/>
  <c r="T209" i="11"/>
  <c r="L410" i="11"/>
  <c r="G589" i="11"/>
  <c r="L126" i="11"/>
  <c r="P591" i="11"/>
  <c r="AP37" i="11"/>
  <c r="W590" i="11"/>
  <c r="E592" i="11"/>
  <c r="AG598" i="11"/>
  <c r="U714" i="11"/>
  <c r="B421" i="11"/>
  <c r="AM409" i="11"/>
  <c r="G865" i="11"/>
  <c r="J37" i="3"/>
  <c r="O715" i="11"/>
  <c r="N35" i="2"/>
  <c r="X36" i="3"/>
  <c r="S866" i="11"/>
  <c r="S210" i="11"/>
  <c r="AA40" i="2"/>
  <c r="J421" i="11"/>
  <c r="AI409" i="11"/>
  <c r="L498" i="11"/>
  <c r="AB418" i="11"/>
  <c r="K7" i="3"/>
  <c r="L436" i="11"/>
  <c r="Q27" i="2"/>
  <c r="K8" i="3"/>
  <c r="S783" i="11"/>
  <c r="P34" i="2"/>
  <c r="AG4" i="2"/>
  <c r="AL15" i="2"/>
  <c r="J782" i="11"/>
  <c r="K497" i="11"/>
  <c r="Z13" i="2"/>
  <c r="Z35" i="2"/>
  <c r="W38" i="11"/>
  <c r="R29" i="2"/>
  <c r="U505" i="11"/>
  <c r="AK31" i="2"/>
  <c r="O596" i="11"/>
  <c r="O716" i="11"/>
  <c r="I8" i="2"/>
  <c r="K26" i="2"/>
  <c r="P29" i="3"/>
  <c r="O412" i="11"/>
  <c r="Y26" i="2"/>
  <c r="J37" i="4"/>
  <c r="U871" i="11"/>
  <c r="AK502" i="11"/>
  <c r="AE436" i="11"/>
  <c r="AC28" i="2"/>
  <c r="H15" i="2"/>
  <c r="C498" i="11"/>
  <c r="U128" i="11"/>
  <c r="M14" i="2"/>
  <c r="AG38" i="11"/>
  <c r="L6" i="3"/>
  <c r="AE11" i="4"/>
  <c r="T39" i="11"/>
  <c r="AJ502" i="11"/>
  <c r="X598" i="11"/>
  <c r="L31" i="2"/>
  <c r="Y780" i="11"/>
  <c r="AN874" i="11"/>
  <c r="AF35" i="3"/>
  <c r="AK12" i="2"/>
  <c r="AK37" i="4"/>
  <c r="AK29" i="3"/>
  <c r="C4" i="2"/>
  <c r="AH866" i="11"/>
  <c r="B215" i="11"/>
  <c r="G496" i="11"/>
  <c r="AL8" i="4"/>
  <c r="F41" i="3"/>
  <c r="AG40" i="3"/>
  <c r="Q593" i="11"/>
  <c r="H12" i="2"/>
  <c r="L14" i="2"/>
  <c r="AG506" i="11"/>
  <c r="AN504" i="11"/>
  <c r="R32" i="3"/>
  <c r="P421" i="11"/>
  <c r="J12" i="2"/>
  <c r="U210" i="11"/>
  <c r="F215" i="11"/>
  <c r="T38" i="2"/>
  <c r="AD207" i="11"/>
  <c r="B43" i="11"/>
  <c r="AM592" i="11"/>
  <c r="AB28" i="2"/>
  <c r="J435" i="11"/>
  <c r="Z504" i="11"/>
  <c r="V867" i="11"/>
  <c r="O9" i="2"/>
  <c r="D438" i="11"/>
  <c r="Z39" i="3"/>
  <c r="X497" i="11"/>
  <c r="R497" i="11"/>
  <c r="Q37" i="11"/>
  <c r="AL409" i="11"/>
  <c r="I3" i="4"/>
  <c r="F594" i="11"/>
  <c r="AL778" i="11"/>
  <c r="M39" i="4"/>
  <c r="AH10" i="2"/>
  <c r="U44" i="11"/>
  <c r="AL866" i="11"/>
  <c r="F29" i="4"/>
  <c r="AI5" i="3"/>
  <c r="C874" i="11"/>
  <c r="L45" i="11"/>
  <c r="J27" i="3"/>
  <c r="C44" i="11"/>
  <c r="X31" i="4"/>
  <c r="AG37" i="4"/>
  <c r="R36" i="4"/>
  <c r="AL125" i="11"/>
  <c r="AA128" i="11"/>
  <c r="AF28" i="3"/>
  <c r="G45" i="11"/>
  <c r="F505" i="11"/>
  <c r="AH33" i="2"/>
  <c r="AG5" i="2"/>
  <c r="Z216" i="11"/>
  <c r="C420" i="11"/>
  <c r="AI595" i="11"/>
  <c r="I714" i="11"/>
  <c r="S867" i="11"/>
  <c r="AN777" i="11"/>
  <c r="X46" i="11"/>
  <c r="B507" i="11"/>
  <c r="S777" i="11"/>
  <c r="M417" i="11"/>
  <c r="Q783" i="11"/>
  <c r="S591" i="11"/>
  <c r="AG594" i="11"/>
  <c r="S37" i="11"/>
  <c r="AA805" i="11"/>
  <c r="L599" i="11"/>
  <c r="AC496" i="11"/>
  <c r="C36" i="2"/>
  <c r="AA598" i="11"/>
  <c r="Q6" i="4"/>
  <c r="Y716" i="11"/>
  <c r="H865" i="11"/>
  <c r="O209" i="11"/>
  <c r="D3" i="2"/>
  <c r="G125" i="11"/>
  <c r="P873" i="11"/>
  <c r="AB5" i="3"/>
  <c r="AJ40" i="2"/>
  <c r="AI412" i="11"/>
  <c r="J28" i="3"/>
  <c r="X38" i="4"/>
  <c r="W339" i="11"/>
  <c r="B339" i="11"/>
  <c r="AL37" i="4"/>
  <c r="AE30" i="4"/>
  <c r="D505" i="11"/>
  <c r="Y417" i="11"/>
  <c r="AN38" i="3"/>
  <c r="AM32" i="2"/>
  <c r="AN215" i="11"/>
  <c r="J419" i="11"/>
  <c r="AB32" i="4"/>
  <c r="C3" i="4"/>
  <c r="H435" i="11"/>
  <c r="AE592" i="11"/>
  <c r="U127" i="11"/>
  <c r="R208" i="11"/>
  <c r="AH12" i="2"/>
  <c r="D873" i="11"/>
  <c r="E41" i="4"/>
  <c r="AG32" i="3"/>
  <c r="AD874" i="11"/>
  <c r="AN208" i="11"/>
  <c r="AC870" i="11"/>
  <c r="J4" i="2"/>
  <c r="P875" i="11"/>
  <c r="J45" i="11"/>
  <c r="AL870" i="11"/>
  <c r="AI14" i="2"/>
  <c r="AN805" i="11"/>
  <c r="N30" i="2"/>
  <c r="AH14" i="2"/>
  <c r="S780" i="11"/>
  <c r="AC5" i="4"/>
  <c r="Q12" i="4"/>
  <c r="O35" i="3"/>
  <c r="U596" i="11"/>
  <c r="B128" i="11"/>
  <c r="S36" i="4"/>
  <c r="AH33" i="4"/>
  <c r="K29" i="3"/>
  <c r="L27" i="3"/>
  <c r="AG30" i="2"/>
  <c r="P32" i="4"/>
  <c r="Q43" i="11"/>
  <c r="I875" i="11"/>
  <c r="AC39" i="4"/>
  <c r="AA5" i="3"/>
  <c r="AI7" i="2"/>
  <c r="AD804" i="11"/>
  <c r="N30" i="4"/>
  <c r="R28" i="3"/>
  <c r="X589" i="11"/>
  <c r="E44" i="11"/>
  <c r="AI13" i="4"/>
  <c r="F35" i="3"/>
  <c r="I13" i="3"/>
  <c r="AD419" i="11"/>
  <c r="U865" i="11"/>
  <c r="AC29" i="4"/>
  <c r="AE340" i="11"/>
  <c r="C217" i="11"/>
  <c r="W589" i="11"/>
  <c r="K11" i="3"/>
  <c r="AM7" i="2"/>
  <c r="AB43" i="11"/>
  <c r="AH37" i="11"/>
  <c r="AF13" i="2"/>
  <c r="AB44" i="11"/>
  <c r="P38" i="3"/>
  <c r="AD38" i="4"/>
  <c r="AE38" i="3"/>
  <c r="R715" i="11"/>
  <c r="AA37" i="11"/>
  <c r="AG8" i="3"/>
  <c r="L44" i="11"/>
  <c r="Y776" i="11"/>
  <c r="Q13" i="4"/>
  <c r="AE31" i="3"/>
  <c r="N5" i="3"/>
  <c r="AN39" i="4"/>
  <c r="E29" i="4"/>
  <c r="AN31" i="2"/>
  <c r="L778" i="11"/>
  <c r="AL37" i="11"/>
  <c r="AF33" i="3"/>
  <c r="S26" i="2"/>
  <c r="M11" i="3"/>
  <c r="AJ15" i="4"/>
  <c r="O3" i="4"/>
  <c r="N29" i="2"/>
  <c r="E37" i="11"/>
  <c r="AC4" i="3"/>
  <c r="AI4" i="2"/>
  <c r="AG32" i="2"/>
  <c r="C214" i="11"/>
  <c r="Z594" i="11"/>
  <c r="M43" i="11"/>
  <c r="C505" i="11"/>
  <c r="O805" i="11"/>
  <c r="AL436" i="11"/>
  <c r="Q419" i="11"/>
  <c r="L338" i="11"/>
  <c r="U598" i="11"/>
  <c r="P505" i="11"/>
  <c r="Q421" i="11"/>
  <c r="AL782" i="11"/>
  <c r="AK411" i="11"/>
  <c r="L867" i="11"/>
  <c r="AH874" i="11"/>
  <c r="C595" i="11"/>
  <c r="S411" i="11"/>
  <c r="AE8" i="4"/>
  <c r="AC15" i="3"/>
  <c r="X41" i="4"/>
  <c r="AA7" i="3"/>
  <c r="C209" i="11"/>
  <c r="AB866" i="11"/>
  <c r="O5" i="3"/>
  <c r="AL8" i="2"/>
  <c r="Z9" i="3"/>
  <c r="AH782" i="11"/>
  <c r="AL46" i="11"/>
  <c r="AK10" i="4"/>
  <c r="S412" i="11"/>
  <c r="AJ8" i="4"/>
  <c r="AE37" i="4"/>
  <c r="AA36" i="11"/>
  <c r="C34" i="2"/>
  <c r="Y803" i="11"/>
  <c r="G8" i="3"/>
  <c r="P594" i="11"/>
  <c r="L777" i="11"/>
  <c r="L505" i="11"/>
  <c r="AG33" i="4"/>
  <c r="M26" i="2"/>
  <c r="AL590" i="11"/>
  <c r="R11" i="2"/>
  <c r="T31" i="2"/>
  <c r="T436" i="11"/>
  <c r="V340" i="11"/>
  <c r="H5" i="3"/>
  <c r="AF29" i="4"/>
  <c r="C11" i="3"/>
  <c r="AH875" i="11"/>
  <c r="I503" i="11"/>
  <c r="AL5" i="4"/>
  <c r="AA419" i="11"/>
  <c r="E591" i="11"/>
  <c r="B410" i="11"/>
  <c r="T26" i="2"/>
  <c r="AD27" i="2"/>
  <c r="I775" i="11"/>
  <c r="AN27" i="4"/>
  <c r="I44" i="11"/>
  <c r="AF597" i="11"/>
  <c r="Q10" i="2"/>
  <c r="AK13" i="3"/>
  <c r="L714" i="11"/>
  <c r="L17" i="2"/>
  <c r="N10" i="2"/>
  <c r="AE5" i="4"/>
  <c r="AN589" i="11"/>
  <c r="T46" i="11"/>
  <c r="AK28" i="2"/>
  <c r="E15" i="3"/>
  <c r="R8" i="3"/>
  <c r="AB208" i="11"/>
  <c r="D6" i="3"/>
  <c r="AD35" i="2"/>
  <c r="AJ416" i="11"/>
  <c r="E875" i="11"/>
  <c r="H17" i="2"/>
  <c r="I12" i="3"/>
  <c r="J437" i="11"/>
  <c r="G17" i="4"/>
  <c r="X32" i="3"/>
  <c r="P418" i="11"/>
  <c r="R805" i="11"/>
  <c r="Q591" i="11"/>
  <c r="AB6" i="3"/>
  <c r="F36" i="4"/>
  <c r="AM13" i="3"/>
  <c r="AH208" i="11"/>
  <c r="Q126" i="11"/>
  <c r="AB10" i="3"/>
  <c r="Q805" i="11"/>
  <c r="AC17" i="2"/>
  <c r="B782" i="11"/>
  <c r="AG715" i="11"/>
  <c r="M128" i="11"/>
  <c r="B39" i="11"/>
  <c r="AJ9" i="3"/>
  <c r="Z416" i="11"/>
  <c r="AN866" i="11"/>
  <c r="AH13" i="3"/>
  <c r="O6" i="4"/>
  <c r="AH30" i="2"/>
  <c r="AJ13" i="4"/>
  <c r="L40" i="2"/>
  <c r="C3" i="3"/>
  <c r="M778" i="11"/>
  <c r="C418" i="11"/>
  <c r="AC497" i="11"/>
  <c r="AE39" i="3"/>
  <c r="O37" i="3"/>
  <c r="AM12" i="2"/>
  <c r="H13" i="3"/>
  <c r="AE499" i="11"/>
  <c r="R437" i="11"/>
  <c r="M45" i="11"/>
  <c r="Q33" i="3"/>
  <c r="Y39" i="2"/>
  <c r="K27" i="4"/>
  <c r="G14" i="5"/>
  <c r="AP3" i="2"/>
  <c r="AK27" i="3"/>
  <c r="AJ599" i="11"/>
  <c r="AC16" i="3"/>
  <c r="K17" i="3"/>
  <c r="W39" i="11"/>
  <c r="Y783" i="11"/>
  <c r="AG28" i="4"/>
  <c r="AJ874" i="11"/>
  <c r="H436" i="11"/>
  <c r="AA125" i="11"/>
  <c r="S781" i="11"/>
  <c r="Z215" i="11"/>
  <c r="AH44" i="11"/>
  <c r="W591" i="11"/>
  <c r="H43" i="11"/>
  <c r="D595" i="11"/>
  <c r="O598" i="11"/>
  <c r="Q595" i="11"/>
  <c r="I127" i="11"/>
  <c r="H338" i="11"/>
  <c r="I591" i="11"/>
  <c r="R420" i="11"/>
  <c r="E598" i="11"/>
  <c r="AH6" i="3"/>
  <c r="F13" i="2"/>
  <c r="O31" i="4"/>
  <c r="L10" i="2"/>
  <c r="AI782" i="11"/>
  <c r="Q596" i="11"/>
  <c r="M15" i="3"/>
  <c r="AK29" i="4"/>
  <c r="D8" i="2"/>
  <c r="AL504" i="11"/>
  <c r="Y866" i="11"/>
  <c r="E870" i="11"/>
  <c r="I340" i="11"/>
  <c r="J338" i="11"/>
  <c r="X804" i="11"/>
  <c r="AJ13" i="3"/>
  <c r="R7" i="4"/>
  <c r="AM7" i="3"/>
  <c r="AE27" i="4"/>
  <c r="K589" i="11"/>
  <c r="Z875" i="11"/>
  <c r="S29" i="4"/>
  <c r="S805" i="11"/>
  <c r="C38" i="3"/>
  <c r="F418" i="11"/>
  <c r="AB32" i="3"/>
  <c r="E864" i="11"/>
  <c r="AG507" i="11"/>
  <c r="Y504" i="11"/>
  <c r="U506" i="11"/>
  <c r="M27" i="3"/>
  <c r="AK435" i="11"/>
  <c r="I418" i="11"/>
  <c r="P45" i="11"/>
  <c r="P11" i="2"/>
  <c r="AB218" i="11"/>
  <c r="AP15" i="2"/>
  <c r="AD41" i="3"/>
  <c r="G805" i="11"/>
  <c r="D37" i="4"/>
  <c r="B785" i="11"/>
  <c r="L3" i="2"/>
  <c r="AC872" i="11"/>
  <c r="AB339" i="11"/>
  <c r="X593" i="11"/>
  <c r="G29" i="2"/>
  <c r="H32" i="4"/>
  <c r="AN13" i="3"/>
  <c r="AJ218" i="11"/>
  <c r="AD31" i="3"/>
  <c r="R781" i="11"/>
  <c r="H502" i="11"/>
  <c r="AD32" i="3"/>
  <c r="AI38" i="2"/>
  <c r="J775" i="11"/>
  <c r="AE420" i="11"/>
  <c r="AA36" i="2"/>
  <c r="Y29" i="3"/>
  <c r="L419" i="11"/>
  <c r="Z505" i="11"/>
  <c r="R41" i="3"/>
  <c r="K9" i="4"/>
  <c r="Z28" i="2"/>
  <c r="R778" i="11"/>
  <c r="AB7" i="4"/>
  <c r="E6" i="3"/>
  <c r="AL805" i="11"/>
  <c r="D590" i="11"/>
  <c r="T9" i="2"/>
  <c r="R36" i="2"/>
  <c r="W873" i="11"/>
  <c r="Z435" i="11"/>
  <c r="F44" i="11"/>
  <c r="AD3" i="2"/>
  <c r="Y597" i="11"/>
  <c r="Y14" i="3"/>
  <c r="F4" i="3"/>
  <c r="AB15" i="2"/>
  <c r="S599" i="11"/>
  <c r="AE503" i="11"/>
  <c r="Q3" i="2"/>
  <c r="L785" i="11"/>
  <c r="W208" i="11"/>
  <c r="Y33" i="4"/>
  <c r="P9" i="3"/>
  <c r="O15" i="3"/>
  <c r="J5" i="2"/>
  <c r="H36" i="2"/>
  <c r="R865" i="11"/>
  <c r="G598" i="11"/>
  <c r="H775" i="11"/>
  <c r="AK14" i="2"/>
  <c r="E9" i="3"/>
  <c r="Q7" i="2"/>
  <c r="F13" i="4"/>
  <c r="C37" i="4"/>
  <c r="N3" i="3"/>
  <c r="AA507" i="11"/>
  <c r="AC208" i="11"/>
  <c r="G3" i="4"/>
  <c r="X38" i="3"/>
  <c r="B209" i="11"/>
  <c r="AI593" i="11"/>
  <c r="AB36" i="2"/>
  <c r="S3" i="3"/>
  <c r="N874" i="11"/>
  <c r="L17" i="4"/>
  <c r="AK864" i="11"/>
  <c r="AB337" i="11"/>
  <c r="AB27" i="2"/>
  <c r="C17" i="3"/>
  <c r="P866" i="11"/>
  <c r="L46" i="11"/>
  <c r="AG338" i="11"/>
  <c r="J865" i="11"/>
  <c r="L589" i="11"/>
  <c r="AM875" i="11"/>
  <c r="V598" i="11"/>
  <c r="T418" i="11"/>
  <c r="U45" i="11"/>
  <c r="AJ128" i="11"/>
  <c r="W776" i="11"/>
  <c r="U867" i="11"/>
  <c r="Y128" i="11"/>
  <c r="AK437" i="11"/>
  <c r="Z865" i="11"/>
  <c r="AM498" i="11"/>
  <c r="J35" i="4"/>
  <c r="I39" i="2"/>
  <c r="K12" i="2"/>
  <c r="L37" i="4"/>
  <c r="C421" i="11"/>
  <c r="K805" i="11"/>
  <c r="Y15" i="4"/>
  <c r="J420" i="11"/>
  <c r="AN28" i="2"/>
  <c r="AC505" i="11"/>
  <c r="AM589" i="11"/>
  <c r="AC776" i="11"/>
  <c r="E125" i="11"/>
  <c r="AK27" i="2"/>
  <c r="R37" i="3"/>
  <c r="E8" i="3"/>
  <c r="X865" i="11"/>
  <c r="AC39" i="3"/>
  <c r="S13" i="4"/>
  <c r="P781" i="11"/>
  <c r="K420" i="11"/>
  <c r="AF13" i="3"/>
  <c r="AK3" i="4"/>
  <c r="AC6" i="4"/>
  <c r="K802" i="11"/>
  <c r="L39" i="11"/>
  <c r="AM12" i="3"/>
  <c r="AH864" i="11"/>
  <c r="AK591" i="11"/>
  <c r="O599" i="11"/>
  <c r="Q39" i="3"/>
  <c r="U421" i="11"/>
  <c r="AG873" i="11"/>
  <c r="F13" i="3"/>
  <c r="T29" i="2"/>
  <c r="AI43" i="11"/>
  <c r="Z14" i="2"/>
  <c r="AG5" i="4"/>
  <c r="N499" i="11"/>
  <c r="J337" i="11"/>
  <c r="AN15" i="3"/>
  <c r="AD30" i="2"/>
  <c r="W420" i="11"/>
  <c r="O410" i="11"/>
  <c r="AF14" i="2"/>
  <c r="Q30" i="3"/>
  <c r="C32" i="2"/>
  <c r="AI27" i="2"/>
  <c r="E36" i="3"/>
  <c r="F8" i="3"/>
  <c r="AC592" i="11"/>
  <c r="AK36" i="11"/>
  <c r="B207" i="11"/>
  <c r="X13" i="3"/>
  <c r="AM4" i="4"/>
  <c r="E3" i="2"/>
  <c r="AB8" i="2"/>
  <c r="AA416" i="11"/>
  <c r="AF339" i="11"/>
  <c r="AP46" i="11"/>
  <c r="AL8" i="3"/>
  <c r="AD5" i="4"/>
  <c r="J29" i="2"/>
  <c r="G507" i="11"/>
  <c r="AH7" i="3"/>
  <c r="P16" i="2"/>
  <c r="W593" i="11"/>
  <c r="P776" i="11"/>
  <c r="U216" i="11"/>
  <c r="AK36" i="4"/>
  <c r="K41" i="3"/>
  <c r="O589" i="11"/>
  <c r="Z6" i="2"/>
  <c r="AL498" i="11"/>
  <c r="T783" i="11"/>
  <c r="AL39" i="3"/>
  <c r="K27" i="3"/>
  <c r="AL5" i="2"/>
  <c r="AA17" i="3"/>
  <c r="R30" i="3"/>
  <c r="AD29" i="4"/>
  <c r="L588" i="11"/>
  <c r="AK418" i="11"/>
  <c r="F11" i="2"/>
  <c r="H714" i="11"/>
  <c r="F32" i="2"/>
  <c r="AL7" i="2"/>
  <c r="S128" i="11"/>
  <c r="AI26" i="2"/>
  <c r="X127" i="11"/>
  <c r="L409" i="11"/>
  <c r="AF34" i="4"/>
  <c r="C39" i="3"/>
  <c r="T340" i="11"/>
  <c r="I435" i="11"/>
  <c r="AH39" i="4"/>
  <c r="O30" i="4"/>
  <c r="W598" i="11"/>
  <c r="AE45" i="11"/>
  <c r="Y5" i="4"/>
  <c r="AA715" i="11"/>
  <c r="U597" i="11"/>
  <c r="K593" i="11"/>
  <c r="AF30" i="4"/>
  <c r="T6" i="2"/>
  <c r="X214" i="11"/>
  <c r="G4" i="2"/>
  <c r="AK3" i="3"/>
  <c r="Y33" i="3"/>
  <c r="K865" i="11"/>
  <c r="AL337" i="11"/>
  <c r="J498" i="11"/>
  <c r="AA775" i="11"/>
  <c r="D506" i="11"/>
  <c r="T216" i="11"/>
  <c r="AM31" i="3"/>
  <c r="G419" i="11"/>
  <c r="P338" i="11"/>
  <c r="AL33" i="3"/>
  <c r="AK9" i="3"/>
  <c r="H15" i="3"/>
  <c r="AD9" i="2"/>
  <c r="E4" i="2"/>
  <c r="S35" i="4"/>
  <c r="N6" i="2"/>
  <c r="Q4" i="2"/>
  <c r="N10" i="3"/>
  <c r="AN3" i="4"/>
  <c r="AF436" i="11"/>
  <c r="M590" i="11"/>
  <c r="AH6" i="2"/>
  <c r="AB38" i="3"/>
  <c r="O588" i="11"/>
  <c r="I36" i="4"/>
  <c r="AF31" i="3"/>
  <c r="B44" i="11"/>
  <c r="F34" i="3"/>
  <c r="G11" i="4"/>
  <c r="N412" i="11"/>
  <c r="C7" i="3"/>
  <c r="N8" i="3"/>
  <c r="B210" i="11"/>
  <c r="K5" i="3"/>
  <c r="R7" i="3"/>
  <c r="D31" i="4"/>
  <c r="P27" i="4"/>
  <c r="S11" i="3"/>
  <c r="AK870" i="11"/>
  <c r="AC780" i="11"/>
  <c r="AL28" i="2"/>
  <c r="Z781" i="11"/>
  <c r="K28" i="3"/>
  <c r="AI9" i="3"/>
  <c r="I38" i="4"/>
  <c r="Z782" i="11"/>
  <c r="X418" i="11"/>
  <c r="AI716" i="11"/>
  <c r="F29" i="2"/>
  <c r="G714" i="11"/>
  <c r="T775" i="11"/>
  <c r="AP7" i="2"/>
  <c r="D34" i="4"/>
  <c r="J36" i="3"/>
  <c r="O33" i="2"/>
  <c r="I31" i="4"/>
  <c r="T28" i="2"/>
  <c r="AD9" i="3"/>
  <c r="L15" i="2"/>
  <c r="N38" i="4"/>
  <c r="Z29" i="2"/>
  <c r="AN8" i="4"/>
  <c r="AN39" i="2"/>
  <c r="S33" i="3"/>
  <c r="Z7" i="3"/>
  <c r="AC27" i="4"/>
  <c r="Q125" i="11"/>
  <c r="O33" i="3"/>
  <c r="K128" i="11"/>
  <c r="C497" i="11"/>
  <c r="AK499" i="11"/>
  <c r="Q873" i="11"/>
  <c r="K33" i="3"/>
  <c r="AC29" i="3"/>
  <c r="AG40" i="2"/>
  <c r="Y30" i="3"/>
  <c r="AD34" i="3"/>
  <c r="H9" i="2"/>
  <c r="Q39" i="4"/>
  <c r="AJ30" i="2"/>
  <c r="J8" i="3"/>
  <c r="AG36" i="3"/>
  <c r="T35" i="2"/>
  <c r="AN37" i="2"/>
  <c r="S29" i="2"/>
  <c r="AI8" i="3"/>
  <c r="AH15" i="2"/>
  <c r="AL27" i="2"/>
  <c r="Y28" i="2"/>
  <c r="X3" i="3"/>
  <c r="I208" i="11"/>
  <c r="O44" i="11"/>
  <c r="G14" i="3"/>
  <c r="Z4" i="4"/>
  <c r="Q714" i="11"/>
  <c r="AM803" i="11"/>
  <c r="I28" i="2"/>
  <c r="H30" i="2"/>
  <c r="AB16" i="3"/>
  <c r="AD715" i="11"/>
  <c r="O215" i="11"/>
  <c r="AP8" i="2"/>
  <c r="AF4" i="4"/>
  <c r="AE7" i="3"/>
  <c r="AJ36" i="2"/>
  <c r="R39" i="3"/>
  <c r="E34" i="4"/>
  <c r="N38" i="3"/>
  <c r="M29" i="4"/>
  <c r="J5" i="3"/>
  <c r="F588" i="11"/>
  <c r="D30" i="4"/>
  <c r="AA506" i="11"/>
  <c r="R26" i="2"/>
  <c r="L28" i="3"/>
  <c r="L9" i="2"/>
  <c r="H216" i="11"/>
  <c r="H39" i="2"/>
  <c r="AJ7" i="3"/>
  <c r="E11" i="4"/>
  <c r="AI3" i="4"/>
  <c r="AA6" i="3"/>
  <c r="Y28" i="4"/>
  <c r="X33" i="3"/>
  <c r="AL32" i="3"/>
  <c r="AD30" i="4"/>
  <c r="Q15" i="4"/>
  <c r="M784" i="11"/>
  <c r="AC436" i="11"/>
  <c r="H715" i="11"/>
  <c r="S46" i="11"/>
  <c r="O4" i="4"/>
  <c r="AG782" i="11"/>
  <c r="AJ28" i="3"/>
  <c r="W126" i="11"/>
  <c r="AN15" i="4"/>
  <c r="Q11" i="2"/>
  <c r="E27" i="3"/>
  <c r="Y15" i="2"/>
  <c r="AC5" i="2"/>
  <c r="M13" i="3"/>
  <c r="AF37" i="4"/>
  <c r="D32" i="2"/>
  <c r="L8" i="4"/>
  <c r="Z38" i="4"/>
  <c r="AN5" i="2"/>
  <c r="F503" i="11"/>
  <c r="I865" i="11"/>
  <c r="K590" i="11"/>
  <c r="I29" i="4"/>
  <c r="F338" i="11"/>
  <c r="E28" i="2"/>
  <c r="X37" i="4"/>
  <c r="Q34" i="4"/>
  <c r="J17" i="4"/>
  <c r="AC26" i="2"/>
  <c r="AK37" i="3"/>
  <c r="C8" i="2"/>
  <c r="S37" i="4"/>
  <c r="AB5" i="2"/>
  <c r="S41" i="3"/>
  <c r="AJ31" i="3"/>
  <c r="P27" i="3"/>
  <c r="J10" i="4"/>
  <c r="AH38" i="4"/>
  <c r="AJ409" i="11"/>
  <c r="AN867" i="11"/>
  <c r="T421" i="11"/>
  <c r="AB588" i="11"/>
  <c r="AF35" i="4"/>
  <c r="T410" i="11"/>
  <c r="L37" i="2"/>
  <c r="AD778" i="11"/>
  <c r="AG28" i="3"/>
  <c r="AI35" i="4"/>
  <c r="AB34" i="3"/>
  <c r="X14" i="4"/>
  <c r="F30" i="3"/>
  <c r="N14" i="4"/>
  <c r="AP11" i="2"/>
  <c r="AF11" i="3"/>
  <c r="AI37" i="4"/>
  <c r="I17" i="3"/>
  <c r="G28" i="2"/>
  <c r="R37" i="2"/>
  <c r="F6" i="4"/>
  <c r="G416" i="11"/>
  <c r="D28" i="4"/>
  <c r="R4" i="2"/>
  <c r="AH32" i="3"/>
  <c r="L802" i="11"/>
  <c r="P8" i="2"/>
  <c r="H8" i="2"/>
  <c r="AH28" i="4"/>
  <c r="AA14" i="4"/>
  <c r="AF6" i="2"/>
  <c r="I7" i="4"/>
  <c r="Z40" i="4"/>
  <c r="Z37" i="3"/>
  <c r="L32" i="2"/>
  <c r="AA9" i="3"/>
  <c r="AF32" i="3"/>
  <c r="AK33" i="2"/>
  <c r="Q7" i="3"/>
  <c r="F28" i="3"/>
  <c r="AH17" i="2"/>
  <c r="AF7" i="2"/>
  <c r="AN506" i="11"/>
  <c r="R504" i="11"/>
  <c r="M12" i="2"/>
  <c r="J35" i="3"/>
  <c r="V435" i="11"/>
  <c r="AL499" i="11"/>
  <c r="AK13" i="4"/>
  <c r="X15" i="3"/>
  <c r="J3" i="4"/>
  <c r="K419" i="11"/>
  <c r="AD714" i="11"/>
  <c r="AC35" i="4"/>
  <c r="AA29" i="3"/>
  <c r="Z218" i="11"/>
  <c r="AB15" i="4"/>
  <c r="D15" i="2"/>
  <c r="S33" i="2"/>
  <c r="N35" i="4"/>
  <c r="AA218" i="11"/>
  <c r="AC31" i="4"/>
  <c r="L37" i="3"/>
  <c r="D38" i="4"/>
  <c r="AJ340" i="11"/>
  <c r="V39" i="11"/>
  <c r="AE217" i="11"/>
  <c r="AJ32" i="3"/>
  <c r="C38" i="2"/>
  <c r="AM871" i="11"/>
  <c r="AD409" i="11"/>
  <c r="X17" i="3"/>
  <c r="C507" i="11"/>
  <c r="AB27" i="3"/>
  <c r="R31" i="2"/>
  <c r="Z780" i="11"/>
  <c r="Q499" i="11"/>
  <c r="X9" i="3"/>
  <c r="AA32" i="2"/>
  <c r="P35" i="2"/>
  <c r="AC41" i="4"/>
  <c r="AC16" i="4"/>
  <c r="AI31" i="3"/>
  <c r="M40" i="4"/>
  <c r="C3" i="2"/>
  <c r="Y40" i="3"/>
  <c r="O6" i="2"/>
  <c r="AJ507" i="11"/>
  <c r="Q210" i="11"/>
  <c r="AI35" i="3"/>
  <c r="AN497" i="11"/>
  <c r="AK9" i="2"/>
  <c r="AD8" i="2"/>
  <c r="F41" i="4"/>
  <c r="Q3" i="3"/>
  <c r="Q40" i="2"/>
  <c r="H35" i="3"/>
  <c r="R11" i="4"/>
  <c r="AB593" i="11"/>
  <c r="J784" i="11"/>
  <c r="W436" i="11"/>
  <c r="P872" i="11"/>
  <c r="O776" i="11"/>
  <c r="Q128" i="11"/>
  <c r="AK412" i="11"/>
  <c r="K30" i="4"/>
  <c r="X504" i="11"/>
  <c r="AO36" i="2"/>
  <c r="AC6" i="3"/>
  <c r="AA17" i="4"/>
  <c r="R29" i="3"/>
  <c r="T16" i="2"/>
  <c r="M37" i="4"/>
  <c r="AB40" i="3"/>
  <c r="H339" i="11"/>
  <c r="P207" i="11"/>
  <c r="I419" i="11"/>
  <c r="AI28" i="2"/>
  <c r="H40" i="3"/>
  <c r="M419" i="11"/>
  <c r="E497" i="11"/>
  <c r="H10" i="3"/>
  <c r="D588" i="11"/>
  <c r="AA864" i="11"/>
  <c r="AG502" i="11"/>
  <c r="AF13" i="4"/>
  <c r="R34" i="4"/>
  <c r="K782" i="11"/>
  <c r="J715" i="11"/>
  <c r="AB38" i="2"/>
  <c r="AI4" i="4"/>
  <c r="AN36" i="4"/>
  <c r="M6" i="2"/>
  <c r="J16" i="3"/>
  <c r="R32" i="4"/>
  <c r="AM26" i="2"/>
  <c r="D5" i="3"/>
  <c r="L39" i="3"/>
  <c r="P28" i="2"/>
  <c r="Q713" i="11"/>
  <c r="AL27" i="3"/>
  <c r="H14" i="5"/>
  <c r="N5" i="2"/>
  <c r="T591" i="11"/>
  <c r="AD5" i="3"/>
  <c r="O46" i="11"/>
  <c r="AD5" i="2"/>
  <c r="S598" i="11"/>
  <c r="AB597" i="11"/>
  <c r="Z593" i="11"/>
  <c r="AJ28" i="2"/>
  <c r="AA34" i="3"/>
  <c r="AD39" i="3"/>
  <c r="L496" i="11"/>
  <c r="G784" i="11"/>
  <c r="G214" i="11"/>
  <c r="AM207" i="11"/>
  <c r="D37" i="2"/>
  <c r="AB7" i="2"/>
  <c r="AM30" i="3"/>
  <c r="AM10" i="3"/>
  <c r="AI31" i="2"/>
  <c r="C435" i="11"/>
  <c r="AK17" i="4"/>
  <c r="H34" i="3"/>
  <c r="AC713" i="11"/>
  <c r="D498" i="11"/>
  <c r="B598" i="11"/>
  <c r="G32" i="2"/>
  <c r="AF802" i="11"/>
  <c r="AB338" i="11"/>
  <c r="S409" i="11"/>
  <c r="AO32" i="2"/>
  <c r="H27" i="2"/>
  <c r="L870" i="11"/>
  <c r="C37" i="3"/>
  <c r="D13" i="2"/>
  <c r="R12" i="3"/>
  <c r="O41" i="3"/>
  <c r="AD421" i="11"/>
  <c r="AE11" i="3"/>
  <c r="D36" i="2"/>
  <c r="G38" i="4"/>
  <c r="Y867" i="11"/>
  <c r="L412" i="11"/>
  <c r="V783" i="11"/>
  <c r="D6" i="4"/>
  <c r="AA9" i="2"/>
  <c r="AC216" i="11"/>
  <c r="M503" i="11"/>
  <c r="G39" i="4"/>
  <c r="AK785" i="11"/>
  <c r="AO30" i="2"/>
  <c r="P13" i="4"/>
  <c r="Y8" i="3"/>
  <c r="T37" i="11"/>
  <c r="AJ27" i="4"/>
  <c r="AA39" i="2"/>
  <c r="H27" i="3"/>
  <c r="K775" i="11"/>
  <c r="AB3" i="2"/>
  <c r="AC34" i="4"/>
  <c r="E30" i="4"/>
  <c r="AC11" i="3"/>
  <c r="P41" i="4"/>
  <c r="L36" i="4"/>
  <c r="L11" i="3"/>
  <c r="M16" i="4"/>
  <c r="AF40" i="2"/>
  <c r="AC16" i="2"/>
  <c r="L35" i="2"/>
  <c r="Y36" i="4"/>
  <c r="AC15" i="4"/>
  <c r="AN11" i="2"/>
  <c r="AI16" i="3"/>
  <c r="AH870" i="11"/>
  <c r="B36" i="11"/>
  <c r="R217" i="11"/>
  <c r="N44" i="11"/>
  <c r="E45" i="11"/>
  <c r="AL36" i="2"/>
  <c r="J41" i="3"/>
  <c r="AB214" i="11"/>
  <c r="AH5" i="2"/>
  <c r="U875" i="11"/>
  <c r="AK784" i="11"/>
  <c r="AJ870" i="11"/>
  <c r="U499" i="11"/>
  <c r="G777" i="11"/>
  <c r="I417" i="11"/>
  <c r="X802" i="11"/>
  <c r="AG505" i="11"/>
  <c r="H38" i="4"/>
  <c r="S715" i="11"/>
  <c r="E40" i="2"/>
  <c r="I15" i="4"/>
  <c r="AJ10" i="2"/>
  <c r="N34" i="2"/>
  <c r="Y37" i="4"/>
  <c r="V875" i="11"/>
  <c r="L41" i="3"/>
  <c r="AG14" i="3"/>
  <c r="P46" i="11"/>
  <c r="AM419" i="11"/>
  <c r="J34" i="3"/>
  <c r="AH7" i="2"/>
  <c r="B873" i="11"/>
  <c r="AK588" i="11"/>
  <c r="AN12" i="4"/>
  <c r="AD873" i="11"/>
  <c r="U589" i="11"/>
  <c r="D39" i="11"/>
  <c r="AA35" i="2"/>
  <c r="B871" i="11"/>
  <c r="G10" i="2"/>
  <c r="P35" i="4"/>
  <c r="AL29" i="3"/>
  <c r="P5" i="4"/>
  <c r="S8" i="3"/>
  <c r="AA7" i="4"/>
  <c r="K17" i="2"/>
  <c r="I28" i="4"/>
  <c r="H3" i="3"/>
  <c r="AL14" i="2"/>
  <c r="W802" i="11"/>
  <c r="AJ8" i="3"/>
  <c r="AF496" i="11"/>
  <c r="K217" i="11"/>
  <c r="AE128" i="11"/>
  <c r="E34" i="3"/>
  <c r="AM209" i="11"/>
  <c r="AE504" i="11"/>
  <c r="S36" i="2"/>
  <c r="AN37" i="4"/>
  <c r="P10" i="4"/>
  <c r="AC32" i="4"/>
  <c r="AC43" i="11"/>
  <c r="AD12" i="3"/>
  <c r="AP4" i="2"/>
  <c r="AF29" i="3"/>
  <c r="B780" i="11"/>
  <c r="L30" i="3"/>
  <c r="AM217" i="11"/>
  <c r="AE775" i="11"/>
  <c r="J7" i="4"/>
  <c r="R28" i="4"/>
  <c r="J36" i="2"/>
  <c r="AE13" i="4"/>
  <c r="AL410" i="11"/>
  <c r="S416" i="11"/>
  <c r="AK210" i="11"/>
  <c r="AN32" i="2"/>
  <c r="AH802" i="11"/>
  <c r="K32" i="2"/>
  <c r="AA31" i="4"/>
  <c r="M27" i="2"/>
  <c r="C30" i="3"/>
  <c r="AE4" i="4"/>
  <c r="AB435" i="11"/>
  <c r="AM41" i="4"/>
  <c r="AH14" i="4"/>
  <c r="AG16" i="3"/>
  <c r="AC217" i="11"/>
  <c r="W503" i="11"/>
  <c r="T781" i="11"/>
  <c r="I8" i="4"/>
  <c r="R7" i="2"/>
  <c r="AJ216" i="11"/>
  <c r="Z497" i="11"/>
  <c r="E3" i="3"/>
  <c r="G420" i="11"/>
  <c r="V595" i="11"/>
  <c r="AC39" i="2"/>
  <c r="AE36" i="2"/>
  <c r="X590" i="11"/>
  <c r="AH11" i="4"/>
  <c r="AE7" i="2"/>
  <c r="AL32" i="4"/>
  <c r="Q871" i="11"/>
  <c r="R3" i="4"/>
  <c r="AE34" i="3"/>
  <c r="T502" i="11"/>
  <c r="X14" i="3"/>
  <c r="R13" i="4"/>
  <c r="F30" i="4"/>
  <c r="AA5" i="2"/>
  <c r="AM28" i="2"/>
  <c r="AA13" i="3"/>
  <c r="AG340" i="11"/>
  <c r="AI7" i="3"/>
  <c r="M11" i="4"/>
  <c r="AH865" i="11"/>
  <c r="N6" i="4"/>
  <c r="S8" i="4"/>
  <c r="I32" i="3"/>
  <c r="AN40" i="2"/>
  <c r="AK31" i="3"/>
  <c r="E781" i="11"/>
  <c r="AA8" i="2"/>
  <c r="Q127" i="11"/>
  <c r="D32" i="3"/>
  <c r="V127" i="11"/>
  <c r="F502" i="11"/>
  <c r="I6" i="2"/>
  <c r="O125" i="11"/>
  <c r="Y7" i="3"/>
  <c r="U39" i="11"/>
  <c r="AD215" i="11"/>
  <c r="AA592" i="11"/>
  <c r="M437" i="11"/>
  <c r="AB411" i="11"/>
  <c r="AF593" i="11"/>
  <c r="AC412" i="11"/>
  <c r="AC594" i="11"/>
  <c r="O437" i="11"/>
  <c r="Q32" i="3"/>
  <c r="R35" i="2"/>
  <c r="J31" i="2"/>
  <c r="N12" i="4"/>
  <c r="R41" i="4"/>
  <c r="P40" i="3"/>
  <c r="Z13" i="4"/>
  <c r="J7" i="3"/>
  <c r="AH8" i="3"/>
  <c r="M716" i="11"/>
  <c r="O802" i="11"/>
  <c r="L7" i="4"/>
  <c r="M5" i="4"/>
  <c r="AH27" i="4"/>
  <c r="AN29" i="4"/>
  <c r="P802" i="11"/>
  <c r="Z496" i="11"/>
  <c r="E31" i="4"/>
  <c r="O36" i="4"/>
  <c r="AI33" i="3"/>
  <c r="AF591" i="11"/>
  <c r="AM38" i="3" s="1"/>
  <c r="AG31" i="2"/>
  <c r="AO37" i="2"/>
  <c r="E127" i="11"/>
  <c r="W871" i="11"/>
  <c r="L3" i="4"/>
  <c r="AC31" i="2"/>
  <c r="Z8" i="3"/>
  <c r="AJ867" i="11"/>
  <c r="AL29" i="2"/>
  <c r="O13" i="4"/>
  <c r="O30" i="3"/>
  <c r="F419" i="11"/>
  <c r="AC40" i="4"/>
  <c r="F595" i="11"/>
  <c r="I34" i="2"/>
  <c r="S6" i="4"/>
  <c r="AD11" i="3"/>
  <c r="AE864" i="11"/>
  <c r="N4" i="3"/>
  <c r="J37" i="2"/>
  <c r="M10" i="3"/>
  <c r="D803" i="11"/>
  <c r="S804" i="11"/>
  <c r="AD504" i="11"/>
  <c r="AN9" i="3"/>
  <c r="AM16" i="2"/>
  <c r="S872" i="11"/>
  <c r="AB785" i="11"/>
  <c r="AF5" i="3"/>
  <c r="K10" i="4"/>
  <c r="P6" i="4"/>
  <c r="AE10" i="2"/>
  <c r="Q30" i="2"/>
  <c r="F11" i="4"/>
  <c r="X3" i="4"/>
  <c r="AI16" i="4"/>
  <c r="AG7" i="4"/>
  <c r="AA17" i="2"/>
  <c r="F31" i="2"/>
  <c r="H782" i="11"/>
  <c r="Z3" i="4"/>
  <c r="C35" i="2"/>
  <c r="F31" i="3"/>
  <c r="O421" i="11"/>
  <c r="AC416" i="11"/>
  <c r="AC782" i="11"/>
  <c r="AN14" i="2"/>
  <c r="E39" i="3"/>
  <c r="T411" i="11"/>
  <c r="N418" i="11"/>
  <c r="F36" i="2"/>
  <c r="K784" i="11"/>
  <c r="AL37" i="3"/>
  <c r="AE37" i="2"/>
  <c r="AE9" i="3"/>
  <c r="AA215" i="11"/>
  <c r="F6" i="2"/>
  <c r="Z39" i="2"/>
  <c r="AH13" i="4"/>
  <c r="V217" i="11"/>
  <c r="P10" i="2"/>
  <c r="D13" i="4"/>
  <c r="D28" i="3"/>
  <c r="Y871" i="11"/>
  <c r="AJ27" i="2"/>
  <c r="AC11" i="4"/>
  <c r="F29" i="3"/>
  <c r="J599" i="11"/>
  <c r="G6" i="2"/>
  <c r="K35" i="2"/>
  <c r="AG6" i="2"/>
  <c r="P12" i="3"/>
  <c r="E8" i="4"/>
  <c r="T3" i="2"/>
  <c r="AC34" i="2"/>
  <c r="S39" i="2"/>
  <c r="S45" i="11"/>
  <c r="B715" i="11"/>
  <c r="AA29" i="4"/>
  <c r="AD6" i="3"/>
  <c r="V497" i="11"/>
  <c r="G9" i="3"/>
  <c r="J40" i="2"/>
  <c r="P39" i="3"/>
  <c r="AH35" i="4"/>
  <c r="G34" i="3"/>
  <c r="D10" i="3"/>
  <c r="AB7" i="3"/>
  <c r="AA436" i="11"/>
  <c r="P15" i="2"/>
  <c r="H597" i="11"/>
  <c r="F45" i="11"/>
  <c r="G8" i="2"/>
  <c r="AD33" i="3"/>
  <c r="AH41" i="3"/>
  <c r="J28" i="4"/>
  <c r="Q864" i="11"/>
  <c r="AF338" i="11"/>
  <c r="R44" i="11"/>
  <c r="AA594" i="11"/>
  <c r="X38" i="11"/>
  <c r="N775" i="11"/>
  <c r="AE337" i="11"/>
  <c r="Q29" i="3"/>
  <c r="L210" i="11"/>
  <c r="E599" i="11"/>
  <c r="AD4" i="2"/>
  <c r="AG12" i="4"/>
  <c r="AE38" i="4"/>
  <c r="L715" i="11"/>
  <c r="AC215" i="11"/>
  <c r="AB126" i="11"/>
  <c r="AG15" i="2"/>
  <c r="I38" i="2"/>
  <c r="F778" i="11"/>
  <c r="AJ14" i="2"/>
  <c r="AK32" i="2"/>
  <c r="F15" i="3"/>
  <c r="Q38" i="11"/>
  <c r="N217" i="11"/>
  <c r="O3" i="2"/>
  <c r="S17" i="3"/>
  <c r="R592" i="11"/>
  <c r="L435" i="11"/>
  <c r="G5" i="2"/>
  <c r="Q8" i="4"/>
  <c r="AB36" i="4"/>
  <c r="AJ3" i="4"/>
  <c r="AI28" i="3"/>
  <c r="P14" i="2"/>
  <c r="G37" i="3"/>
  <c r="AG7" i="3"/>
  <c r="Q208" i="11"/>
  <c r="J31" i="4"/>
  <c r="Y714" i="11"/>
  <c r="R46" i="11"/>
  <c r="N27" i="4"/>
  <c r="AM13" i="4"/>
  <c r="Q412" i="11"/>
  <c r="G785" i="11"/>
  <c r="D4" i="4"/>
  <c r="U802" i="11"/>
  <c r="B866" i="11"/>
  <c r="AG27" i="3"/>
  <c r="E33" i="2"/>
  <c r="AL207" i="11"/>
  <c r="O592" i="11"/>
  <c r="Y36" i="2"/>
  <c r="T43" i="11"/>
  <c r="I505" i="11"/>
  <c r="K498" i="11"/>
  <c r="AJ37" i="3"/>
  <c r="M598" i="11"/>
  <c r="R37" i="11"/>
  <c r="AG13" i="3"/>
  <c r="AF15" i="2"/>
  <c r="G34" i="4"/>
  <c r="AA9" i="4"/>
  <c r="L27" i="2"/>
  <c r="AP33" i="2"/>
  <c r="AH714" i="11"/>
  <c r="V713" i="11"/>
  <c r="G28" i="4"/>
  <c r="AG29" i="3"/>
  <c r="Y38" i="4"/>
  <c r="E10" i="4"/>
  <c r="AA15" i="3"/>
  <c r="AE125" i="11"/>
  <c r="AO46" i="11"/>
  <c r="M30" i="4"/>
  <c r="AD339" i="11"/>
  <c r="Q32" i="4"/>
  <c r="AC340" i="11"/>
  <c r="S32" i="2"/>
  <c r="J505" i="11"/>
  <c r="J866" i="11"/>
  <c r="Y8" i="4"/>
  <c r="Y4" i="4"/>
  <c r="M595" i="11"/>
  <c r="AA12" i="4"/>
  <c r="N36" i="2"/>
  <c r="Y38" i="3"/>
  <c r="R419" i="11"/>
  <c r="C13" i="2"/>
  <c r="AD30" i="3"/>
  <c r="AM10" i="2"/>
  <c r="AI29" i="4"/>
  <c r="R9" i="4"/>
  <c r="I14" i="4"/>
  <c r="I4" i="3"/>
  <c r="AC37" i="4"/>
  <c r="L11" i="2"/>
  <c r="Q31" i="2"/>
  <c r="U412" i="11"/>
  <c r="M34" i="3"/>
  <c r="AG775" i="11"/>
  <c r="L32" i="3"/>
  <c r="Z38" i="2"/>
  <c r="T125" i="11"/>
  <c r="U46" i="11"/>
  <c r="L29" i="2"/>
  <c r="S16" i="3"/>
  <c r="AH38" i="2"/>
  <c r="X15" i="4"/>
  <c r="Y125" i="11"/>
  <c r="E716" i="11"/>
  <c r="G207" i="11"/>
  <c r="O40" i="4"/>
  <c r="I37" i="3"/>
  <c r="AD14" i="2"/>
  <c r="F33" i="2"/>
  <c r="AD437" i="11"/>
  <c r="AJ30" i="4"/>
  <c r="K5" i="2"/>
  <c r="AL3" i="2"/>
  <c r="AK34" i="4"/>
  <c r="G503" i="11"/>
  <c r="V866" i="11"/>
  <c r="AL4" i="2"/>
  <c r="AJ716" i="11"/>
  <c r="Q502" i="11"/>
  <c r="AP43" i="11"/>
  <c r="R780" i="11"/>
  <c r="AN45" i="11"/>
  <c r="O780" i="11"/>
  <c r="V416" i="11"/>
  <c r="T438" i="11"/>
  <c r="D5" i="2"/>
  <c r="I15" i="2"/>
  <c r="AM33" i="4"/>
  <c r="AM34" i="4"/>
  <c r="AE34" i="2"/>
  <c r="AE31" i="2"/>
  <c r="AM36" i="3"/>
  <c r="AJ3" i="2"/>
  <c r="AM8" i="2"/>
  <c r="AB36" i="11"/>
  <c r="I596" i="11"/>
  <c r="C125" i="11"/>
  <c r="AM777" i="11"/>
  <c r="C29" i="4"/>
  <c r="O409" i="11"/>
  <c r="Y7" i="2"/>
  <c r="S40" i="2"/>
  <c r="AH36" i="11"/>
  <c r="P412" i="11"/>
  <c r="F5" i="4"/>
  <c r="AD8" i="3"/>
  <c r="AF45" i="11"/>
  <c r="K43" i="11"/>
  <c r="M40" i="3"/>
  <c r="P37" i="2"/>
  <c r="AK14" i="3"/>
  <c r="AC13" i="3"/>
  <c r="AK4" i="3"/>
  <c r="AB9" i="2"/>
  <c r="AG596" i="11"/>
  <c r="AH7" i="4"/>
  <c r="T873" i="11"/>
  <c r="L13" i="2"/>
  <c r="AM37" i="4"/>
  <c r="K8" i="2"/>
  <c r="Q3" i="4"/>
  <c r="J26" i="2"/>
  <c r="X32" i="4"/>
  <c r="AJ3" i="3"/>
  <c r="AC590" i="11"/>
  <c r="E437" i="11"/>
  <c r="O45" i="11"/>
  <c r="M8" i="3"/>
  <c r="AJ217" i="11"/>
  <c r="B416" i="11"/>
  <c r="Z11" i="3"/>
  <c r="AC33" i="4"/>
  <c r="F715" i="11"/>
  <c r="AC9" i="4"/>
  <c r="AI37" i="3"/>
  <c r="I3" i="3"/>
  <c r="R594" i="11"/>
  <c r="O31" i="2"/>
  <c r="E11" i="2"/>
  <c r="P30" i="4"/>
  <c r="AK8" i="3"/>
  <c r="G588" i="11"/>
  <c r="I5" i="3"/>
  <c r="Q28" i="3"/>
  <c r="P14" i="3"/>
  <c r="AH592" i="11"/>
  <c r="AK715" i="11"/>
  <c r="H594" i="11"/>
  <c r="AB783" i="11"/>
  <c r="AG31" i="4"/>
  <c r="AL593" i="11"/>
  <c r="Y12" i="2"/>
  <c r="AM715" i="11"/>
  <c r="G31" i="3"/>
  <c r="G338" i="11"/>
  <c r="AF9" i="2"/>
  <c r="S16" i="4"/>
  <c r="O214" i="11"/>
  <c r="D28" i="2"/>
  <c r="Y14" i="4"/>
  <c r="R30" i="2"/>
  <c r="H38" i="3"/>
  <c r="Y17" i="3"/>
  <c r="AG11" i="4"/>
  <c r="AA38" i="2"/>
  <c r="AL9" i="4"/>
  <c r="AI40" i="4"/>
  <c r="R5" i="3"/>
  <c r="R5" i="2"/>
  <c r="C9" i="3"/>
  <c r="AM29" i="2"/>
  <c r="AB28" i="4"/>
  <c r="G31" i="2"/>
  <c r="AP9" i="2"/>
  <c r="S4" i="4"/>
  <c r="Q37" i="2"/>
  <c r="N438" i="11"/>
  <c r="I38" i="3"/>
  <c r="K126" i="11"/>
  <c r="AC805" i="11"/>
  <c r="F870" i="11"/>
  <c r="E17" i="2"/>
  <c r="M39" i="3"/>
  <c r="AG127" i="11"/>
  <c r="Q207" i="11"/>
  <c r="AM6" i="3"/>
  <c r="AO39" i="2"/>
  <c r="O11" i="3"/>
  <c r="Z421" i="11"/>
  <c r="AL28" i="3"/>
  <c r="AA13" i="4"/>
  <c r="E715" i="11"/>
  <c r="AA33" i="4"/>
  <c r="AL27" i="4"/>
  <c r="AN31" i="3"/>
  <c r="AB31" i="2"/>
  <c r="J5" i="4"/>
  <c r="Z15" i="2"/>
  <c r="AC7" i="3"/>
  <c r="AK11" i="3"/>
  <c r="AK6" i="4"/>
  <c r="C437" i="11"/>
  <c r="P596" i="11"/>
  <c r="D8" i="4"/>
  <c r="AL803" i="11"/>
  <c r="J499" i="11"/>
  <c r="AG412" i="11"/>
  <c r="AB412" i="11"/>
  <c r="I713" i="11"/>
  <c r="X778" i="11"/>
  <c r="W502" i="11"/>
  <c r="O781" i="11"/>
  <c r="K4" i="3"/>
  <c r="J11" i="3"/>
  <c r="AM505" i="11"/>
  <c r="R33" i="2"/>
  <c r="T37" i="2"/>
  <c r="R599" i="11"/>
  <c r="V870" i="11"/>
  <c r="J39" i="2"/>
  <c r="AJ5" i="3"/>
  <c r="P31" i="4"/>
  <c r="F33" i="3"/>
  <c r="AN12" i="2"/>
  <c r="H30" i="3"/>
  <c r="Y589" i="11"/>
  <c r="AH421" i="11"/>
  <c r="AL31" i="3"/>
  <c r="S15" i="4"/>
  <c r="O26" i="2"/>
  <c r="AC12" i="3"/>
  <c r="L38" i="11"/>
  <c r="AM218" i="11"/>
  <c r="AJ12" i="2"/>
  <c r="E31" i="3"/>
  <c r="J15" i="3"/>
  <c r="AK38" i="4"/>
  <c r="AG339" i="11"/>
  <c r="AI39" i="4"/>
  <c r="P7" i="2"/>
  <c r="F15" i="2"/>
  <c r="R506" i="11"/>
  <c r="AB421" i="11"/>
  <c r="Q13" i="3"/>
  <c r="W864" i="11"/>
  <c r="AF504" i="11"/>
  <c r="J6" i="3"/>
  <c r="AE17" i="3"/>
  <c r="AF714" i="11"/>
  <c r="AM418" i="11"/>
  <c r="AL6" i="3"/>
  <c r="Q803" i="11"/>
  <c r="AK16" i="3"/>
  <c r="P33" i="3"/>
  <c r="R30" i="4"/>
  <c r="AK38" i="11"/>
  <c r="R28" i="2"/>
  <c r="AI36" i="4"/>
  <c r="AF9" i="4"/>
  <c r="I497" i="11"/>
  <c r="F15" i="4"/>
  <c r="AG28" i="2"/>
  <c r="J40" i="4"/>
  <c r="AJ11" i="2"/>
  <c r="I3" i="2"/>
  <c r="AJ9" i="4"/>
  <c r="AI34" i="2"/>
  <c r="I496" i="11"/>
  <c r="E498" i="11"/>
  <c r="AO43" i="11"/>
  <c r="S5" i="4"/>
  <c r="F31" i="4"/>
  <c r="F14" i="3"/>
  <c r="AK594" i="11"/>
  <c r="AC45" i="11"/>
  <c r="AC33" i="3"/>
  <c r="D716" i="11"/>
  <c r="AN592" i="11"/>
  <c r="AM34" i="2"/>
  <c r="AM37" i="3"/>
  <c r="R14" i="3"/>
  <c r="Y41" i="3"/>
  <c r="H31" i="4"/>
  <c r="E12" i="2"/>
  <c r="S17" i="4"/>
  <c r="AA10" i="2"/>
  <c r="AJ4" i="4"/>
  <c r="P16" i="3"/>
  <c r="AH14" i="3"/>
  <c r="H33" i="2"/>
  <c r="H4" i="2"/>
  <c r="C12" i="4"/>
  <c r="AG4" i="3"/>
  <c r="P39" i="4"/>
  <c r="AE13" i="3"/>
  <c r="P34" i="3"/>
  <c r="AD28" i="4"/>
  <c r="J32" i="3"/>
  <c r="B438" i="11"/>
  <c r="AF780" i="11"/>
  <c r="P33" i="4"/>
  <c r="G17" i="2"/>
  <c r="H340" i="11"/>
  <c r="B45" i="11"/>
  <c r="R10" i="4"/>
  <c r="V594" i="11"/>
  <c r="AN17" i="3"/>
  <c r="AN9" i="4"/>
  <c r="Z127" i="11"/>
  <c r="AK207" i="11"/>
  <c r="G4" i="4"/>
  <c r="AG15" i="3"/>
  <c r="L36" i="3"/>
  <c r="P15" i="4"/>
  <c r="AD126" i="11"/>
  <c r="AJ589" i="11"/>
  <c r="C5" i="3"/>
  <c r="P12" i="4"/>
  <c r="R4" i="3"/>
  <c r="Y498" i="11"/>
  <c r="J8" i="4"/>
  <c r="G6" i="3"/>
  <c r="AI17" i="4"/>
  <c r="E5" i="3"/>
  <c r="AD32" i="4"/>
  <c r="E36" i="2"/>
  <c r="AL30" i="4"/>
  <c r="Y29" i="4"/>
  <c r="I590" i="11"/>
  <c r="V503" i="11"/>
  <c r="X715" i="11"/>
  <c r="AF590" i="11"/>
  <c r="D867" i="11"/>
  <c r="K596" i="11"/>
  <c r="G11" i="2"/>
  <c r="AH5" i="4"/>
  <c r="AG27" i="4"/>
  <c r="K39" i="3"/>
  <c r="AI785" i="11"/>
  <c r="AD9" i="4"/>
  <c r="H8" i="4"/>
  <c r="T36" i="2"/>
  <c r="AL13" i="4"/>
  <c r="AO40" i="2"/>
  <c r="X785" i="11"/>
  <c r="AH438" i="11"/>
  <c r="AL35" i="2"/>
  <c r="AK8" i="4"/>
  <c r="AE781" i="11"/>
  <c r="AD864" i="11"/>
  <c r="P3" i="2"/>
  <c r="AK32" i="4"/>
  <c r="W435" i="11"/>
  <c r="AJ33" i="3"/>
  <c r="AH27" i="3"/>
  <c r="H4" i="4"/>
  <c r="L17" i="3"/>
  <c r="S28" i="4"/>
  <c r="AK39" i="3"/>
  <c r="M9" i="2"/>
  <c r="L4" i="3"/>
  <c r="AM8" i="4"/>
  <c r="AN340" i="11"/>
  <c r="I13" i="4"/>
  <c r="Z803" i="11"/>
  <c r="V714" i="11"/>
  <c r="AH3" i="3"/>
  <c r="F17" i="3"/>
  <c r="AD15" i="2"/>
  <c r="AK14" i="4"/>
  <c r="F504" i="11"/>
  <c r="AO36" i="11"/>
  <c r="H437" i="11"/>
  <c r="N3" i="2"/>
  <c r="Z35" i="3"/>
  <c r="J875" i="11"/>
  <c r="H872" i="11"/>
  <c r="AL37" i="2"/>
  <c r="AK438" i="11"/>
  <c r="AM4" i="2"/>
  <c r="AN3" i="2"/>
  <c r="AH5" i="3"/>
  <c r="AB39" i="4"/>
  <c r="AD11" i="2"/>
  <c r="K36" i="2"/>
  <c r="AG11" i="2"/>
  <c r="AB4" i="3"/>
  <c r="AI10" i="4"/>
  <c r="L29" i="4"/>
  <c r="O5" i="4"/>
  <c r="Z26" i="2"/>
  <c r="P12" i="2"/>
  <c r="AN872" i="11"/>
  <c r="R8" i="4"/>
  <c r="AD418" i="11"/>
  <c r="AL33" i="4"/>
  <c r="AE438" i="11"/>
  <c r="M31" i="4"/>
  <c r="AD776" i="11"/>
  <c r="S35" i="3"/>
  <c r="B338" i="11"/>
  <c r="P38" i="4"/>
  <c r="D12" i="2"/>
  <c r="AD37" i="2"/>
  <c r="M40" i="2"/>
  <c r="X5" i="3"/>
  <c r="M3" i="3"/>
  <c r="AB3" i="3"/>
  <c r="AF12" i="3"/>
  <c r="R35" i="4"/>
  <c r="H16" i="3"/>
  <c r="O17" i="2"/>
  <c r="AF17" i="4"/>
  <c r="AJ29" i="4"/>
  <c r="AE4" i="3"/>
  <c r="AF35" i="2"/>
  <c r="C16" i="2"/>
  <c r="B872" i="11"/>
  <c r="B216" i="11"/>
  <c r="Q28" i="4"/>
  <c r="L9" i="3"/>
  <c r="C419" i="11"/>
  <c r="AM417" i="11"/>
  <c r="I33" i="2"/>
  <c r="Q33" i="2"/>
  <c r="M32" i="4"/>
  <c r="T40" i="2"/>
  <c r="AJ497" i="11"/>
  <c r="R39" i="11"/>
  <c r="AK33" i="3"/>
  <c r="C4" i="4"/>
  <c r="AH37" i="2"/>
  <c r="G17" i="3"/>
  <c r="AP38" i="2"/>
  <c r="AI35" i="2"/>
  <c r="AF6" i="4"/>
  <c r="AL13" i="2"/>
  <c r="M596" i="11"/>
  <c r="F208" i="11"/>
  <c r="Q30" i="4"/>
  <c r="AD31" i="2"/>
  <c r="AA29" i="2"/>
  <c r="K31" i="3"/>
  <c r="D594" i="11"/>
  <c r="S218" i="11"/>
  <c r="Q34" i="2"/>
  <c r="AN36" i="2"/>
  <c r="AL17" i="3"/>
  <c r="AF26" i="2"/>
  <c r="C12" i="3"/>
  <c r="L39" i="2"/>
  <c r="AL12" i="3"/>
  <c r="AD16" i="2"/>
  <c r="AH34" i="2"/>
  <c r="AM45" i="11"/>
  <c r="H803" i="11"/>
  <c r="AF776" i="11"/>
  <c r="AD435" i="11"/>
  <c r="AL210" i="11"/>
  <c r="AL420" i="11"/>
  <c r="S44" i="11"/>
  <c r="R6" i="4"/>
  <c r="AH40" i="4"/>
  <c r="D31" i="3"/>
  <c r="M871" i="11"/>
  <c r="AL864" i="11"/>
  <c r="S36" i="3"/>
  <c r="Y29" i="2"/>
  <c r="C35" i="3"/>
  <c r="AI9" i="4"/>
  <c r="X8" i="4"/>
  <c r="M6" i="3"/>
  <c r="L34" i="4"/>
  <c r="L35" i="3"/>
  <c r="AD599" i="11"/>
  <c r="AK775" i="11"/>
  <c r="AJ209" i="11"/>
  <c r="C775" i="11"/>
  <c r="L7" i="3"/>
  <c r="AN9" i="2"/>
  <c r="AB15" i="3"/>
  <c r="X28" i="4"/>
  <c r="H30" i="4"/>
  <c r="D32" i="4"/>
  <c r="K31" i="4"/>
  <c r="K13" i="2"/>
  <c r="R15" i="2"/>
  <c r="F38" i="4"/>
  <c r="Y44" i="11"/>
  <c r="AM12" i="4"/>
  <c r="J39" i="4"/>
  <c r="Y30" i="4"/>
  <c r="X215" i="11"/>
  <c r="O35" i="2"/>
  <c r="M411" i="11"/>
  <c r="AD6" i="2"/>
  <c r="N589" i="11"/>
  <c r="C40" i="4"/>
  <c r="X35" i="3"/>
  <c r="M39" i="2"/>
  <c r="L593" i="11"/>
  <c r="P5" i="2"/>
  <c r="AD28" i="3"/>
  <c r="X8" i="3"/>
  <c r="F12" i="4"/>
  <c r="H26" i="2"/>
  <c r="M14" i="3"/>
  <c r="AC8" i="4"/>
  <c r="AG8" i="4"/>
  <c r="AN17" i="4"/>
  <c r="AF6" i="3"/>
  <c r="AI11" i="2"/>
  <c r="Y777" i="11"/>
  <c r="O337" i="11"/>
  <c r="P420" i="11"/>
  <c r="AK30" i="4"/>
  <c r="E15" i="2"/>
  <c r="G435" i="11"/>
  <c r="Q37" i="4"/>
  <c r="X40" i="3"/>
  <c r="R6" i="2"/>
  <c r="AB29" i="4"/>
  <c r="AI11" i="4"/>
  <c r="M597" i="11"/>
  <c r="Z34" i="3"/>
  <c r="AI33" i="2"/>
  <c r="AE33" i="4"/>
  <c r="H31" i="3"/>
  <c r="AE32" i="4"/>
  <c r="AE29" i="3"/>
  <c r="AC40" i="2"/>
  <c r="AO35" i="2"/>
  <c r="AC29" i="2"/>
  <c r="Y8" i="2"/>
  <c r="I33" i="3"/>
  <c r="F714" i="11"/>
  <c r="AJ873" i="11"/>
  <c r="AK41" i="3"/>
  <c r="AM27" i="3"/>
  <c r="J867" i="11"/>
  <c r="U866" i="11"/>
  <c r="D36" i="4"/>
  <c r="X16" i="4"/>
  <c r="E802" i="11"/>
  <c r="H28" i="4"/>
  <c r="R596" i="11"/>
  <c r="R871" i="11"/>
  <c r="AK32" i="3"/>
  <c r="J11" i="2"/>
  <c r="X12" i="4"/>
  <c r="Y412" i="11"/>
  <c r="N39" i="3"/>
  <c r="AK37" i="2"/>
  <c r="U778" i="11"/>
  <c r="Z30" i="3"/>
  <c r="AH36" i="2"/>
  <c r="Z502" i="11"/>
  <c r="D31" i="2"/>
  <c r="K6" i="4"/>
  <c r="AE421" i="11"/>
  <c r="D804" i="11"/>
  <c r="N12" i="3"/>
  <c r="K15" i="2"/>
  <c r="G410" i="11"/>
  <c r="J126" i="11"/>
  <c r="Z10" i="4"/>
  <c r="N503" i="11"/>
  <c r="L34" i="2"/>
  <c r="L5" i="3"/>
  <c r="L3" i="3"/>
  <c r="G16" i="3"/>
  <c r="J714" i="11"/>
  <c r="AA40" i="3" s="1"/>
  <c r="AF33" i="4"/>
  <c r="Y3" i="3"/>
  <c r="AN28" i="4"/>
  <c r="I16" i="2"/>
  <c r="G30" i="2"/>
  <c r="T4" i="2"/>
  <c r="T10" i="2"/>
  <c r="H36" i="4"/>
  <c r="AG35" i="3"/>
  <c r="C43" i="11"/>
  <c r="D409" i="11"/>
  <c r="G715" i="11"/>
  <c r="G32" i="4"/>
  <c r="Z12" i="3"/>
  <c r="AI436" i="11"/>
  <c r="AD29" i="3"/>
  <c r="O38" i="4"/>
  <c r="P37" i="3"/>
  <c r="F3" i="4"/>
  <c r="AJ337" i="11"/>
  <c r="S12" i="4"/>
  <c r="J36" i="11"/>
  <c r="N416" i="11"/>
  <c r="AG32" i="4"/>
  <c r="M420" i="11"/>
  <c r="AB419" i="11"/>
  <c r="Z125" i="11"/>
  <c r="Q6" i="2"/>
  <c r="AD32" i="2"/>
  <c r="AO38" i="2"/>
  <c r="AL34" i="3"/>
  <c r="Z5" i="4"/>
  <c r="N13" i="3"/>
  <c r="K3" i="4"/>
  <c r="AK28" i="4"/>
  <c r="AM13" i="2"/>
  <c r="I36" i="3"/>
  <c r="AC598" i="11"/>
  <c r="Z40" i="3"/>
  <c r="AC32" i="2"/>
  <c r="AJ7" i="4"/>
  <c r="P864" i="11"/>
  <c r="AF11" i="2"/>
  <c r="C26" i="2"/>
  <c r="AI438" i="11"/>
  <c r="AL588" i="11"/>
  <c r="J15" i="2"/>
  <c r="C11" i="4"/>
  <c r="AE506" i="11"/>
  <c r="AG865" i="11"/>
  <c r="Y13" i="3"/>
  <c r="O208" i="11"/>
  <c r="Z8" i="4"/>
  <c r="AE41" i="4"/>
  <c r="AB13" i="2"/>
  <c r="AM29" i="3"/>
  <c r="AD17" i="4"/>
  <c r="Z27" i="3"/>
  <c r="X39" i="3"/>
  <c r="AD783" i="11"/>
  <c r="C783" i="11"/>
  <c r="AB872" i="11"/>
  <c r="X29" i="3"/>
  <c r="AD38" i="2"/>
  <c r="AK507" i="11"/>
  <c r="U594" i="11"/>
  <c r="O37" i="2"/>
  <c r="C590" i="11"/>
  <c r="V37" i="11"/>
  <c r="C11" i="2"/>
  <c r="P435" i="11"/>
  <c r="AD803" i="11"/>
  <c r="K28" i="2"/>
  <c r="J208" i="11"/>
  <c r="Z436" i="11"/>
  <c r="AJ781" i="11"/>
  <c r="P30" i="3"/>
  <c r="AO37" i="11"/>
  <c r="H39" i="11"/>
  <c r="H27" i="4"/>
  <c r="C38" i="4"/>
  <c r="AC10" i="2"/>
  <c r="AD34" i="2"/>
  <c r="K6" i="2"/>
  <c r="AD4" i="3"/>
  <c r="O7" i="2"/>
  <c r="AF805" i="11"/>
  <c r="AL777" i="11"/>
  <c r="C15" i="3"/>
  <c r="D7" i="4"/>
  <c r="Q9" i="2"/>
  <c r="AP27" i="2"/>
  <c r="S803" i="11"/>
  <c r="P507" i="11"/>
  <c r="X27" i="4"/>
  <c r="E12" i="3"/>
  <c r="AN38" i="11"/>
  <c r="D11" i="3"/>
  <c r="P30" i="2"/>
  <c r="Z209" i="11"/>
  <c r="P17" i="2"/>
  <c r="AF4" i="3"/>
  <c r="M41" i="3"/>
  <c r="AK7" i="3"/>
  <c r="D419" i="11"/>
  <c r="S503" i="11"/>
  <c r="X875" i="11"/>
  <c r="O435" i="11"/>
  <c r="S716" i="11"/>
  <c r="AF715" i="11"/>
  <c r="AC11" i="2"/>
  <c r="AC503" i="11"/>
  <c r="I13" i="2"/>
  <c r="G27" i="3"/>
  <c r="S41" i="4"/>
  <c r="H11" i="2"/>
  <c r="AE28" i="2"/>
  <c r="C506" i="11"/>
  <c r="Y32" i="2"/>
  <c r="AE435" i="11"/>
  <c r="AM9" i="3"/>
  <c r="AC781" i="11"/>
  <c r="AH15" i="3"/>
  <c r="D37" i="11"/>
  <c r="Z45" i="11"/>
  <c r="AH34" i="4"/>
  <c r="C41" i="4"/>
  <c r="Q36" i="4"/>
  <c r="S15" i="3"/>
  <c r="X17" i="4"/>
  <c r="H17" i="4"/>
  <c r="P782" i="11"/>
  <c r="L8" i="2"/>
  <c r="M803" i="11"/>
  <c r="AB41" i="4"/>
  <c r="AK778" i="11"/>
  <c r="AA438" i="11"/>
  <c r="S30" i="2"/>
  <c r="E8" i="2"/>
  <c r="Q777" i="11"/>
  <c r="C591" i="11"/>
  <c r="E412" i="11"/>
  <c r="AM38" i="11"/>
  <c r="H36" i="11"/>
  <c r="K40" i="2"/>
  <c r="AK5" i="3"/>
  <c r="AI36" i="11"/>
  <c r="AM7" i="4"/>
  <c r="G13" i="5"/>
  <c r="K5" i="4"/>
  <c r="S32" i="3"/>
  <c r="AA12" i="2"/>
  <c r="O10" i="3"/>
  <c r="F4" i="4"/>
  <c r="AD12" i="4"/>
  <c r="Y6" i="3"/>
  <c r="Y40" i="4"/>
  <c r="AA36" i="3"/>
  <c r="R421" i="11"/>
  <c r="AG337" i="11"/>
  <c r="AB17" i="3"/>
  <c r="V46" i="11"/>
  <c r="Y419" i="11"/>
  <c r="L27" i="4"/>
  <c r="J11" i="4"/>
  <c r="K27" i="2"/>
  <c r="AP6" i="2"/>
  <c r="N714" i="11"/>
  <c r="Z778" i="11"/>
  <c r="O29" i="4"/>
  <c r="AF785" i="11"/>
  <c r="I216" i="11"/>
  <c r="F436" i="11"/>
  <c r="P127" i="11"/>
  <c r="V499" i="11"/>
  <c r="Z41" i="3"/>
  <c r="P33" i="2"/>
  <c r="AJ29" i="2"/>
  <c r="E38" i="4"/>
  <c r="H412" i="11"/>
  <c r="V777" i="11"/>
  <c r="AM864" i="11"/>
  <c r="V874" i="11"/>
  <c r="R338" i="11"/>
  <c r="M16" i="2"/>
  <c r="AJ12" i="3"/>
  <c r="S871" i="11"/>
  <c r="K10" i="2"/>
  <c r="J33" i="3"/>
  <c r="V504" i="11"/>
  <c r="J502" i="11"/>
  <c r="F10" i="4"/>
  <c r="AM36" i="4"/>
  <c r="O9" i="4"/>
  <c r="O418" i="11"/>
  <c r="AH867" i="11"/>
  <c r="D337" i="11"/>
  <c r="P4" i="2"/>
  <c r="Z3" i="3"/>
  <c r="Y873" i="11"/>
  <c r="AN776" i="11"/>
  <c r="Z13" i="3"/>
  <c r="M872" i="11"/>
  <c r="AN14" i="3"/>
  <c r="E10" i="2"/>
  <c r="K218" i="11"/>
  <c r="AJ412" i="11"/>
  <c r="L12" i="2"/>
  <c r="AM5" i="4"/>
  <c r="AD37" i="3"/>
  <c r="AK30" i="3"/>
  <c r="M37" i="2"/>
  <c r="Q7" i="4"/>
  <c r="E13" i="2"/>
  <c r="H13" i="5"/>
  <c r="AD4" i="4"/>
  <c r="C6" i="3"/>
  <c r="E16" i="3"/>
  <c r="S39" i="3"/>
  <c r="AG30" i="3"/>
  <c r="I27" i="4"/>
  <c r="AI3" i="2"/>
  <c r="AN16" i="4"/>
  <c r="L9" i="4"/>
  <c r="AL40" i="3"/>
  <c r="O6" i="3"/>
  <c r="AB14" i="4"/>
  <c r="R14" i="2"/>
  <c r="AA412" i="11"/>
  <c r="AN27" i="3"/>
  <c r="AF7" i="4"/>
  <c r="AI16" i="2"/>
  <c r="F40" i="2"/>
  <c r="AB781" i="11"/>
  <c r="P438" i="11"/>
  <c r="Y337" i="11"/>
  <c r="AE15" i="4"/>
  <c r="AK16" i="4"/>
  <c r="D777" i="11"/>
  <c r="AN37" i="3"/>
  <c r="S338" i="11"/>
  <c r="C13" i="3"/>
  <c r="AI37" i="11"/>
  <c r="X37" i="3"/>
  <c r="J17" i="2"/>
  <c r="D420" i="11"/>
  <c r="M44" i="11"/>
  <c r="I9" i="3"/>
  <c r="V591" i="11"/>
  <c r="M32" i="2"/>
  <c r="AM39" i="4"/>
  <c r="AJ29" i="3"/>
  <c r="H11" i="4"/>
  <c r="H3" i="2"/>
  <c r="R11" i="3"/>
  <c r="N9" i="2"/>
  <c r="AK15" i="3"/>
  <c r="V43" i="11"/>
  <c r="C589" i="11"/>
  <c r="L33" i="4"/>
  <c r="AA39" i="3"/>
  <c r="AN13" i="2"/>
  <c r="E782" i="11"/>
  <c r="AK36" i="3"/>
  <c r="J10" i="2"/>
  <c r="AN10" i="3"/>
  <c r="J16" i="2"/>
  <c r="AG43" i="11"/>
  <c r="AM28" i="3"/>
  <c r="Y4" i="2"/>
  <c r="E14" i="4"/>
  <c r="AI498" i="11"/>
  <c r="L15" i="4"/>
  <c r="Q5" i="2"/>
  <c r="AN30" i="2"/>
  <c r="J38" i="11"/>
  <c r="G437" i="11"/>
  <c r="AJ805" i="11"/>
  <c r="AB11" i="4"/>
  <c r="Q13" i="2"/>
  <c r="R337" i="11"/>
  <c r="B496" i="11"/>
  <c r="H5" i="4"/>
  <c r="L29" i="3"/>
  <c r="AD7" i="3"/>
  <c r="AE36" i="4"/>
  <c r="H499" i="11"/>
  <c r="T417" i="11"/>
  <c r="AI13" i="3"/>
  <c r="AI12" i="2"/>
  <c r="AJ38" i="3"/>
  <c r="R125" i="11"/>
  <c r="AF775" i="11"/>
  <c r="W716" i="11"/>
  <c r="S11" i="4"/>
  <c r="G15" i="2"/>
  <c r="E866" i="11"/>
  <c r="B411" i="11"/>
  <c r="R32" i="2"/>
  <c r="M28" i="3"/>
  <c r="P15" i="3"/>
  <c r="P14" i="4"/>
  <c r="O35" i="4"/>
  <c r="AG38" i="4"/>
  <c r="H16" i="4"/>
  <c r="Y4" i="3"/>
  <c r="M31" i="3"/>
  <c r="N14" i="3"/>
  <c r="F596" i="11"/>
  <c r="AE873" i="11"/>
  <c r="AB11" i="2"/>
  <c r="AD34" i="4"/>
  <c r="M30" i="2"/>
  <c r="K339" i="11"/>
  <c r="R411" i="11"/>
  <c r="AH436" i="11"/>
  <c r="D40" i="2"/>
  <c r="I17" i="2"/>
  <c r="O39" i="11"/>
  <c r="AA496" i="11"/>
  <c r="H17" i="3"/>
  <c r="AC339" i="11"/>
  <c r="E505" i="11"/>
  <c r="AK12" i="4"/>
  <c r="AE872" i="11"/>
  <c r="I874" i="11"/>
  <c r="M11" i="2"/>
  <c r="O17" i="4"/>
  <c r="Z41" i="4"/>
  <c r="Y38" i="11"/>
  <c r="AN36" i="3"/>
  <c r="O39" i="3"/>
  <c r="F36" i="11"/>
  <c r="L31" i="3"/>
  <c r="C14" i="4"/>
  <c r="AG17" i="4"/>
  <c r="G10" i="3"/>
  <c r="AJ33" i="4"/>
  <c r="F7" i="2"/>
  <c r="AF28" i="2"/>
  <c r="Y10" i="4"/>
  <c r="AK30" i="2"/>
  <c r="C6" i="2"/>
  <c r="O17" i="3"/>
  <c r="C31" i="4"/>
  <c r="AJ4" i="2"/>
  <c r="AB782" i="11"/>
  <c r="AN503" i="11"/>
  <c r="S31" i="2"/>
  <c r="AM3" i="2"/>
  <c r="S593" i="11"/>
  <c r="D38" i="3"/>
  <c r="Q417" i="11"/>
  <c r="AJ33" i="2"/>
  <c r="N11" i="4"/>
  <c r="T338" i="11"/>
  <c r="AM11" i="4"/>
  <c r="AJ16" i="3"/>
  <c r="F12" i="2"/>
  <c r="O30" i="2"/>
  <c r="AM43" i="11"/>
  <c r="AH784" i="11"/>
  <c r="O3" i="3"/>
  <c r="C27" i="2"/>
  <c r="AF30" i="3"/>
  <c r="N505" i="11"/>
  <c r="N17" i="4"/>
  <c r="D39" i="3"/>
  <c r="AK410" i="11"/>
  <c r="AE27" i="3"/>
  <c r="AA597" i="11"/>
  <c r="AB12" i="2"/>
  <c r="D782" i="11"/>
  <c r="AM6" i="4"/>
  <c r="AH783" i="11"/>
  <c r="AC38" i="2"/>
  <c r="Q40" i="4"/>
  <c r="I31" i="3"/>
  <c r="D38" i="2"/>
  <c r="C32" i="4"/>
  <c r="M438" i="11"/>
  <c r="AN30" i="4"/>
  <c r="J3" i="2"/>
  <c r="L6" i="4"/>
  <c r="AC5" i="3"/>
  <c r="AK44" i="11"/>
  <c r="Y35" i="2"/>
  <c r="Z591" i="11"/>
  <c r="AM338" i="11"/>
  <c r="I11" i="2"/>
  <c r="AM33" i="3"/>
  <c r="AJ804" i="11"/>
  <c r="V805" i="11"/>
  <c r="M13" i="4"/>
  <c r="AA804" i="11"/>
  <c r="I4" i="2"/>
  <c r="Y17" i="2"/>
  <c r="AJ39" i="3"/>
  <c r="N34" i="4"/>
  <c r="L14" i="4"/>
  <c r="Y27" i="4"/>
  <c r="AL31" i="4"/>
  <c r="AN33" i="3"/>
  <c r="AH593" i="11"/>
  <c r="Y713" i="11"/>
  <c r="T17" i="2"/>
  <c r="AC337" i="11"/>
  <c r="AN412" i="11"/>
  <c r="Q6" i="3"/>
  <c r="R38" i="3"/>
  <c r="AJ207" i="11"/>
  <c r="M37" i="11"/>
  <c r="H592" i="11"/>
  <c r="AB26" i="2"/>
  <c r="AA8" i="4"/>
  <c r="AC125" i="11"/>
  <c r="Y418" i="11"/>
  <c r="AL40" i="4"/>
  <c r="V418" i="11"/>
  <c r="H208" i="11"/>
  <c r="AN10" i="4"/>
  <c r="Y592" i="11"/>
  <c r="AN36" i="11"/>
  <c r="AK26" i="2"/>
  <c r="M873" i="11"/>
  <c r="O41" i="4"/>
  <c r="D29" i="3"/>
  <c r="AC12" i="2"/>
  <c r="G28" i="3"/>
  <c r="N33" i="3"/>
  <c r="I588" i="11"/>
  <c r="AL32" i="2"/>
  <c r="AG10" i="3"/>
  <c r="AC30" i="3"/>
  <c r="AC12" i="4"/>
  <c r="AP10" i="2"/>
  <c r="F32" i="4"/>
  <c r="AF596" i="11"/>
  <c r="AB715" i="11"/>
  <c r="Z29" i="3"/>
  <c r="F435" i="11"/>
  <c r="H37" i="3"/>
  <c r="R31" i="4"/>
  <c r="AH419" i="11"/>
  <c r="J594" i="11"/>
  <c r="H5" i="2"/>
  <c r="O27" i="4"/>
  <c r="AH37" i="3"/>
  <c r="AC420" i="11"/>
  <c r="AG33" i="2"/>
  <c r="AA4" i="3"/>
  <c r="O339" i="11"/>
  <c r="D41" i="3"/>
  <c r="S6" i="3"/>
  <c r="O39" i="2"/>
  <c r="Q15" i="2"/>
  <c r="E30" i="2"/>
  <c r="C40" i="3"/>
  <c r="Y33" i="2"/>
  <c r="K3" i="2"/>
  <c r="K35" i="3"/>
  <c r="Q35" i="2"/>
  <c r="H6" i="2"/>
  <c r="G4" i="3"/>
  <c r="H29" i="4"/>
  <c r="H29" i="3"/>
  <c r="AK4" i="2"/>
  <c r="M10" i="2"/>
  <c r="AC4" i="4"/>
  <c r="Q215" i="11"/>
  <c r="AE33" i="3"/>
  <c r="Z3" i="2"/>
  <c r="Z36" i="3"/>
  <c r="AM10" i="4"/>
  <c r="N9" i="3"/>
  <c r="AD781" i="11"/>
  <c r="N29" i="4"/>
  <c r="Y3" i="2"/>
  <c r="AF34" i="3"/>
  <c r="H39" i="3"/>
  <c r="H14" i="3"/>
  <c r="AI210" i="11"/>
  <c r="O872" i="11"/>
  <c r="L31" i="4"/>
  <c r="Q14" i="3"/>
  <c r="N36" i="3"/>
  <c r="Q38" i="2"/>
  <c r="K864" i="11"/>
  <c r="C215" i="11"/>
  <c r="Z15" i="4"/>
  <c r="O128" i="11"/>
  <c r="O411" i="11"/>
  <c r="J713" i="11"/>
  <c r="J6" i="2"/>
  <c r="G13" i="2"/>
  <c r="R714" i="11"/>
  <c r="Y13" i="4"/>
  <c r="AE783" i="11"/>
  <c r="AH32" i="2"/>
  <c r="G12" i="3"/>
  <c r="D33" i="3"/>
  <c r="O499" i="11"/>
  <c r="N37" i="2"/>
  <c r="P41" i="3"/>
  <c r="H6" i="4"/>
  <c r="K16" i="4"/>
  <c r="L30" i="2"/>
  <c r="AG13" i="4"/>
  <c r="Z16" i="2"/>
  <c r="AP31" i="2"/>
  <c r="N13" i="4"/>
  <c r="P7" i="4"/>
  <c r="AG29" i="4"/>
  <c r="G7" i="2"/>
  <c r="N33" i="2"/>
  <c r="AM16" i="4"/>
  <c r="Y11" i="4"/>
  <c r="AA26" i="2"/>
  <c r="AE16" i="4"/>
  <c r="J38" i="4"/>
  <c r="K40" i="4"/>
  <c r="AA40" i="4"/>
  <c r="O13" i="3"/>
  <c r="M29" i="2"/>
  <c r="AN32" i="3"/>
  <c r="AF39" i="3"/>
  <c r="Q9" i="3"/>
  <c r="AF8" i="2"/>
  <c r="AC17" i="3"/>
  <c r="AI28" i="4"/>
  <c r="AE36" i="3"/>
  <c r="D4" i="3"/>
  <c r="Y496" i="11"/>
  <c r="M870" i="11"/>
  <c r="F32" i="3"/>
  <c r="AE40" i="2"/>
  <c r="M4" i="4"/>
  <c r="AM437" i="11"/>
  <c r="P13" i="2"/>
  <c r="S28" i="3"/>
  <c r="AE17" i="2"/>
  <c r="C781" i="11"/>
  <c r="N28" i="3"/>
  <c r="V411" i="11"/>
  <c r="AM41" i="3"/>
  <c r="AM27" i="4"/>
  <c r="I39" i="4"/>
  <c r="J34" i="2"/>
  <c r="O13" i="2"/>
  <c r="O12" i="2"/>
  <c r="B126" i="11"/>
  <c r="R40" i="3"/>
  <c r="Z34" i="2"/>
  <c r="G29" i="4"/>
  <c r="AJ40" i="4"/>
  <c r="L507" i="11"/>
  <c r="Y16" i="4"/>
  <c r="N504" i="11"/>
  <c r="AK867" i="11"/>
  <c r="L38" i="2"/>
  <c r="M5" i="2"/>
  <c r="D27" i="4"/>
  <c r="AJ35" i="3"/>
  <c r="AE39" i="4"/>
  <c r="C29" i="2"/>
  <c r="E38" i="3"/>
  <c r="X30" i="4"/>
  <c r="AK33" i="4"/>
  <c r="AI4" i="3"/>
  <c r="AJ40" i="3"/>
  <c r="L11" i="4"/>
  <c r="AF337" i="11"/>
  <c r="S30" i="3"/>
  <c r="AN16" i="3"/>
  <c r="AJ17" i="2"/>
  <c r="AH31" i="2"/>
  <c r="AI17" i="2"/>
  <c r="AJ36" i="4"/>
  <c r="I784" i="11"/>
  <c r="T11" i="2"/>
  <c r="J30" i="4"/>
  <c r="AA27" i="3"/>
  <c r="H9" i="4"/>
  <c r="K30" i="3"/>
  <c r="AB16" i="2"/>
  <c r="C805" i="11"/>
  <c r="N417" i="11"/>
  <c r="AG590" i="11"/>
  <c r="G409" i="11"/>
  <c r="AB4" i="4"/>
  <c r="D597" i="11"/>
  <c r="B340" i="11"/>
  <c r="AE35" i="2"/>
  <c r="AC28" i="3"/>
  <c r="AJ36" i="3"/>
  <c r="P4" i="4"/>
  <c r="AM9" i="2"/>
  <c r="AC6" i="2"/>
  <c r="S870" i="11"/>
  <c r="S39" i="11"/>
  <c r="E29" i="3"/>
  <c r="R33" i="4"/>
  <c r="R13" i="2"/>
  <c r="S27" i="2"/>
  <c r="AH4" i="3"/>
  <c r="D33" i="4"/>
  <c r="J28" i="2"/>
  <c r="AM37" i="2"/>
  <c r="AH27" i="2"/>
  <c r="R36" i="3"/>
  <c r="H8" i="3"/>
  <c r="AC3" i="3"/>
  <c r="I5" i="4"/>
  <c r="AF3" i="3"/>
  <c r="S38" i="2"/>
  <c r="AL716" i="11"/>
  <c r="AN6" i="3"/>
  <c r="M216" i="11"/>
  <c r="AL33" i="2"/>
  <c r="J30" i="3"/>
  <c r="C13" i="4"/>
  <c r="G35" i="3"/>
  <c r="AJ37" i="4"/>
  <c r="Y37" i="3"/>
  <c r="AF27" i="3"/>
  <c r="AI339" i="11"/>
  <c r="K37" i="4"/>
  <c r="N5" i="4"/>
  <c r="AN16" i="2"/>
  <c r="AD41" i="4"/>
  <c r="AH417" i="11"/>
  <c r="E16" i="4"/>
  <c r="O14" i="2"/>
  <c r="H34" i="4"/>
  <c r="Z17" i="3"/>
  <c r="O127" i="11"/>
  <c r="Q28" i="2"/>
  <c r="AM35" i="3"/>
  <c r="L4" i="2"/>
  <c r="M38" i="2"/>
  <c r="G33" i="4"/>
  <c r="S38" i="4"/>
  <c r="AN13" i="4"/>
  <c r="L7" i="2"/>
  <c r="E35" i="3"/>
  <c r="AJ26" i="2"/>
  <c r="AJ866" i="11"/>
  <c r="AL7" i="4"/>
  <c r="X11" i="3"/>
  <c r="AN40" i="3"/>
  <c r="Y27" i="3"/>
  <c r="AM14" i="4"/>
  <c r="D17" i="2"/>
  <c r="W781" i="11"/>
  <c r="M13" i="2"/>
  <c r="G35" i="2"/>
  <c r="M127" i="11"/>
  <c r="AH13" i="2"/>
  <c r="E14" i="2"/>
  <c r="AC40" i="3"/>
  <c r="AN34" i="3"/>
  <c r="D17" i="4"/>
  <c r="H32" i="2"/>
  <c r="E14" i="3"/>
  <c r="X6" i="4"/>
  <c r="AB590" i="11"/>
  <c r="AK38" i="3"/>
  <c r="I421" i="11"/>
  <c r="J27" i="4"/>
  <c r="J31" i="3"/>
  <c r="Q16" i="3"/>
  <c r="Y15" i="3"/>
  <c r="X34" i="4"/>
  <c r="E37" i="4"/>
  <c r="Z39" i="4"/>
  <c r="C41" i="3"/>
  <c r="AM38" i="4"/>
  <c r="L32" i="4"/>
  <c r="L16" i="4"/>
  <c r="X438" i="11"/>
  <c r="Z15" i="3"/>
  <c r="AH599" i="11"/>
  <c r="N3" i="4"/>
  <c r="I12" i="2"/>
  <c r="AA16" i="3"/>
  <c r="AG128" i="11"/>
  <c r="C436" i="11"/>
  <c r="AJ37" i="2"/>
  <c r="L5" i="4"/>
  <c r="G9" i="2"/>
  <c r="C31" i="3"/>
  <c r="Q9" i="4"/>
  <c r="AP32" i="2"/>
  <c r="AB17" i="4"/>
  <c r="I210" i="11"/>
  <c r="L14" i="3"/>
  <c r="M27" i="4"/>
  <c r="G34" i="2"/>
  <c r="P36" i="4"/>
  <c r="AA3" i="3"/>
  <c r="N784" i="11"/>
  <c r="AJ16" i="4"/>
  <c r="AJ34" i="3"/>
  <c r="AL5" i="3"/>
  <c r="H37" i="11"/>
  <c r="S33" i="4"/>
  <c r="P499" i="11"/>
  <c r="AO33" i="2"/>
  <c r="O4" i="3"/>
  <c r="C10" i="3"/>
  <c r="AB13" i="4"/>
  <c r="O39" i="4"/>
  <c r="P29" i="2"/>
  <c r="H31" i="2"/>
  <c r="AB10" i="2"/>
  <c r="V218" i="11"/>
  <c r="G36" i="4"/>
  <c r="I35" i="3"/>
  <c r="AM35" i="4"/>
  <c r="AL41" i="3"/>
  <c r="H40" i="2"/>
  <c r="AJ435" i="11"/>
  <c r="K8" i="4"/>
  <c r="S29" i="3"/>
  <c r="AA38" i="3"/>
  <c r="Y782" i="11"/>
  <c r="G41" i="4"/>
  <c r="AP17" i="2"/>
  <c r="AL30" i="3"/>
  <c r="P778" i="11"/>
  <c r="K34" i="4"/>
  <c r="G6" i="4"/>
  <c r="Y31" i="2"/>
  <c r="K36" i="4"/>
  <c r="D340" i="11"/>
  <c r="N128" i="11"/>
  <c r="AG33" i="3"/>
  <c r="AE11" i="2"/>
  <c r="AL4" i="3"/>
  <c r="S597" i="11"/>
  <c r="K13" i="3"/>
  <c r="Y5" i="3"/>
  <c r="K38" i="4"/>
  <c r="O16" i="4"/>
  <c r="G5" i="4"/>
  <c r="D15" i="4"/>
  <c r="AL6" i="4"/>
  <c r="Q15" i="3"/>
  <c r="AI5" i="4"/>
  <c r="AK10" i="3"/>
  <c r="L28" i="4"/>
  <c r="T45" i="11"/>
  <c r="AM39" i="3"/>
  <c r="AH15" i="4"/>
  <c r="AD16" i="4"/>
  <c r="AG39" i="3"/>
  <c r="AJ38" i="2"/>
  <c r="AN6" i="4"/>
  <c r="AI10" i="2"/>
  <c r="AN5" i="4"/>
  <c r="W437" i="11"/>
  <c r="AE8" i="2"/>
  <c r="J29" i="4"/>
  <c r="AG16" i="4"/>
  <c r="X30" i="3"/>
  <c r="M505" i="11"/>
  <c r="AE28" i="4"/>
  <c r="AB6" i="2"/>
  <c r="AH12" i="3"/>
  <c r="D26" i="2"/>
  <c r="AG30" i="4"/>
  <c r="AA32" i="3"/>
  <c r="E37" i="2"/>
  <c r="G13" i="4"/>
  <c r="V208" i="11"/>
  <c r="AK595" i="11"/>
  <c r="M29" i="3"/>
  <c r="S37" i="2"/>
  <c r="AF4" i="2"/>
  <c r="Y3" i="4"/>
  <c r="AK35" i="2"/>
  <c r="X16" i="3"/>
  <c r="Z592" i="11"/>
  <c r="AH31" i="4"/>
  <c r="E36" i="4"/>
  <c r="C9" i="2"/>
  <c r="Q870" i="11"/>
  <c r="AE5" i="2"/>
  <c r="H37" i="2"/>
  <c r="AG36" i="2"/>
  <c r="Z17" i="4"/>
  <c r="AG3" i="3"/>
  <c r="V872" i="11"/>
  <c r="L28" i="2"/>
  <c r="Y11" i="3"/>
  <c r="Z10" i="3"/>
  <c r="AF16" i="3"/>
  <c r="G26" i="2"/>
  <c r="G37" i="4"/>
  <c r="X39" i="4"/>
  <c r="AL11" i="4"/>
  <c r="AA30" i="3"/>
  <c r="AG11" i="3"/>
  <c r="B781" i="11"/>
  <c r="AN40" i="4"/>
  <c r="AE6" i="2"/>
  <c r="AB35" i="3"/>
  <c r="AD7" i="2"/>
  <c r="G12" i="4"/>
  <c r="M875" i="11"/>
  <c r="Z17" i="2"/>
  <c r="AB33" i="2"/>
  <c r="AJ39" i="2"/>
  <c r="AB37" i="4"/>
  <c r="L783" i="11"/>
  <c r="AA6" i="4"/>
  <c r="Y499" i="11"/>
  <c r="O29" i="2"/>
  <c r="C30" i="2"/>
  <c r="P437" i="11"/>
  <c r="AM38" i="2"/>
  <c r="AH35" i="3"/>
  <c r="H41" i="3"/>
  <c r="M17" i="4"/>
  <c r="K874" i="11"/>
  <c r="W418" i="11"/>
  <c r="I41" i="4"/>
  <c r="AK10" i="2"/>
  <c r="AI588" i="11"/>
  <c r="AH505" i="11"/>
  <c r="AG3" i="2"/>
  <c r="AG38" i="2"/>
  <c r="D33" i="2"/>
  <c r="AL16" i="4"/>
  <c r="F34" i="4"/>
  <c r="AJ41" i="4"/>
  <c r="K15" i="4"/>
  <c r="G13" i="3"/>
  <c r="Q11" i="4"/>
  <c r="E10" i="3"/>
  <c r="G40" i="2"/>
  <c r="AA8" i="3"/>
  <c r="AD7" i="4"/>
  <c r="T12" i="2"/>
  <c r="AE37" i="3"/>
  <c r="C30" i="4"/>
  <c r="AI41" i="3"/>
  <c r="AK12" i="3"/>
  <c r="F35" i="4"/>
  <c r="K15" i="3"/>
  <c r="AA3" i="4"/>
  <c r="K4" i="4"/>
  <c r="L40" i="4"/>
  <c r="AG14" i="2"/>
  <c r="AC37" i="2"/>
  <c r="N27" i="3"/>
  <c r="F11" i="3"/>
  <c r="AG35" i="4"/>
  <c r="AJ496" i="11"/>
  <c r="C33" i="2"/>
  <c r="C33" i="3"/>
  <c r="AC14" i="2"/>
  <c r="AH16" i="2"/>
  <c r="N16" i="3"/>
  <c r="R40" i="2"/>
  <c r="Y10" i="2"/>
  <c r="X34" i="3"/>
  <c r="AF30" i="2"/>
  <c r="E9" i="2"/>
  <c r="AI30" i="3"/>
  <c r="AN5" i="3"/>
  <c r="AG46" i="11"/>
  <c r="D5" i="4"/>
  <c r="E40" i="4"/>
  <c r="F5" i="2"/>
  <c r="S40" i="4"/>
  <c r="O37" i="4"/>
  <c r="AJ505" i="11"/>
  <c r="AD17" i="3"/>
  <c r="L417" i="11"/>
  <c r="X216" i="11"/>
  <c r="Y420" i="11"/>
  <c r="K30" i="2"/>
  <c r="AB9" i="4"/>
  <c r="AE871" i="11"/>
  <c r="Z32" i="3"/>
  <c r="AF10" i="4"/>
  <c r="W410" i="11"/>
  <c r="G36" i="2"/>
  <c r="E37" i="3"/>
  <c r="O15" i="4"/>
  <c r="H210" i="11"/>
  <c r="H3" i="4"/>
  <c r="N15" i="3"/>
  <c r="AE6" i="3"/>
  <c r="AD8" i="4"/>
  <c r="O504" i="11"/>
  <c r="N4" i="4"/>
  <c r="R27" i="4"/>
  <c r="Q35" i="4"/>
  <c r="N9" i="4"/>
  <c r="M4" i="3"/>
  <c r="D713" i="11"/>
  <c r="J38" i="2"/>
  <c r="C14" i="3"/>
  <c r="Z11" i="2"/>
  <c r="AH11" i="3"/>
  <c r="Z38" i="11"/>
  <c r="AF38" i="4"/>
  <c r="R12" i="2"/>
  <c r="H10" i="2"/>
  <c r="AK8" i="2"/>
  <c r="AI6" i="3"/>
  <c r="AH9" i="2"/>
  <c r="AM33" i="2"/>
  <c r="M33" i="4"/>
  <c r="AH16" i="3"/>
  <c r="Y39" i="11"/>
  <c r="AB33" i="4"/>
  <c r="AB37" i="3"/>
  <c r="AC28" i="4"/>
  <c r="AM39" i="2"/>
  <c r="L4" i="4"/>
  <c r="AD782" i="11"/>
  <c r="N16" i="2"/>
  <c r="N127" i="11"/>
  <c r="AJ17" i="4"/>
  <c r="G5" i="3"/>
  <c r="R31" i="3"/>
  <c r="S27" i="3"/>
  <c r="AP35" i="2"/>
  <c r="N32" i="4"/>
  <c r="M15" i="4"/>
  <c r="E435" i="11"/>
  <c r="G11" i="3"/>
  <c r="C35" i="4"/>
  <c r="AB8" i="3"/>
  <c r="Q36" i="2"/>
  <c r="AD37" i="4"/>
  <c r="AK11" i="4"/>
  <c r="AP34" i="2"/>
  <c r="AJ6" i="3"/>
  <c r="N39" i="4"/>
  <c r="F38" i="2"/>
  <c r="H37" i="4"/>
  <c r="F8" i="2"/>
  <c r="Z40" i="2"/>
  <c r="AA15" i="2"/>
  <c r="AH35" i="2"/>
  <c r="H41" i="4"/>
  <c r="AE3" i="3"/>
  <c r="AF8" i="3"/>
  <c r="F27" i="2"/>
  <c r="AN39" i="11"/>
  <c r="X13" i="4"/>
  <c r="AI6" i="4"/>
  <c r="AN35" i="4"/>
  <c r="K37" i="2"/>
  <c r="AM40" i="3"/>
  <c r="AG10" i="2"/>
  <c r="D35" i="3"/>
  <c r="L12" i="3"/>
  <c r="U436" i="11"/>
  <c r="Z9" i="4"/>
  <c r="J27" i="2"/>
  <c r="T27" i="2"/>
  <c r="AE6" i="4"/>
  <c r="E7" i="4"/>
  <c r="AF41" i="3"/>
  <c r="N29" i="3"/>
  <c r="AI37" i="2"/>
  <c r="AJ30" i="3"/>
  <c r="X35" i="4"/>
  <c r="F40" i="4"/>
  <c r="F37" i="3"/>
  <c r="F14" i="4"/>
  <c r="AD15" i="3"/>
  <c r="AC8" i="3"/>
  <c r="AL9" i="3"/>
  <c r="I30" i="4"/>
  <c r="G8" i="4"/>
  <c r="AH38" i="3"/>
  <c r="AM17" i="4"/>
  <c r="P3" i="4"/>
  <c r="G713" i="11"/>
  <c r="AL421" i="11"/>
  <c r="AK216" i="11"/>
  <c r="Y209" i="11"/>
  <c r="AN438" i="11"/>
  <c r="AA420" i="11"/>
  <c r="S12" i="3"/>
  <c r="P871" i="11"/>
  <c r="AD36" i="3"/>
  <c r="J36" i="4"/>
  <c r="AA31" i="2"/>
  <c r="AB128" i="11"/>
  <c r="H15" i="4"/>
  <c r="AE216" i="11"/>
  <c r="Q32" i="2"/>
  <c r="D16" i="3"/>
  <c r="AB35" i="4"/>
  <c r="I34" i="4"/>
  <c r="AB40" i="2"/>
  <c r="AB30" i="2"/>
  <c r="L10" i="3"/>
  <c r="AF17" i="2"/>
  <c r="AB34" i="2"/>
  <c r="E17" i="3"/>
  <c r="AM17" i="2"/>
  <c r="AL15" i="3"/>
  <c r="AK7" i="4"/>
  <c r="AK35" i="4"/>
  <c r="E43" i="11"/>
  <c r="AC30" i="4"/>
  <c r="AK17" i="2"/>
  <c r="AN4" i="4"/>
  <c r="Y31" i="4"/>
  <c r="C17" i="4"/>
  <c r="B506" i="11"/>
  <c r="F28" i="2"/>
  <c r="Q14" i="2"/>
  <c r="M30" i="3"/>
  <c r="J216" i="11"/>
  <c r="R38" i="4"/>
  <c r="I10" i="4"/>
  <c r="AI14" i="4"/>
  <c r="I11" i="4"/>
  <c r="G33" i="3"/>
  <c r="AG34" i="4"/>
  <c r="AN34" i="4"/>
  <c r="M209" i="11"/>
  <c r="Y37" i="2"/>
  <c r="AF39" i="4"/>
  <c r="AF14" i="3"/>
  <c r="J40" i="3"/>
  <c r="AA32" i="4"/>
  <c r="Z33" i="4"/>
  <c r="S35" i="2"/>
  <c r="K12" i="3"/>
  <c r="AA27" i="2"/>
  <c r="C15" i="2"/>
  <c r="X7" i="3"/>
  <c r="AH34" i="3"/>
  <c r="Q41" i="3"/>
  <c r="L13" i="4"/>
  <c r="AF12" i="4"/>
  <c r="AJ34" i="2"/>
  <c r="I34" i="3"/>
  <c r="AA14" i="2"/>
  <c r="O28" i="2"/>
  <c r="I31" i="2"/>
  <c r="AD27" i="3"/>
  <c r="R39" i="4"/>
  <c r="P28" i="4"/>
  <c r="C34" i="3"/>
  <c r="AD218" i="11"/>
  <c r="AK16" i="2"/>
  <c r="AB11" i="3"/>
  <c r="AL785" i="11"/>
  <c r="AM5" i="2"/>
  <c r="AE16" i="2"/>
  <c r="J781" i="11"/>
  <c r="AM28" i="4"/>
  <c r="AF12" i="2"/>
  <c r="G41" i="3"/>
  <c r="AK6" i="3"/>
  <c r="AD16" i="3"/>
  <c r="AC13" i="4"/>
  <c r="AE39" i="2"/>
  <c r="AB871" i="11"/>
  <c r="AE41" i="3"/>
  <c r="Z29" i="4"/>
  <c r="AM16" i="3"/>
  <c r="AI15" i="4"/>
  <c r="O11" i="2"/>
  <c r="Q41" i="4"/>
  <c r="D30" i="2"/>
  <c r="Z716" i="11"/>
  <c r="Z27" i="2"/>
  <c r="AG40" i="4"/>
  <c r="V780" i="11"/>
  <c r="F3" i="2"/>
  <c r="I27" i="2"/>
  <c r="S214" i="11"/>
  <c r="AN417" i="11"/>
  <c r="I35" i="2"/>
  <c r="AA34" i="2"/>
  <c r="K10" i="3"/>
  <c r="F9" i="2"/>
  <c r="N41" i="4"/>
  <c r="AH4" i="2"/>
  <c r="AP28" i="2"/>
  <c r="Q8" i="3"/>
  <c r="Y5" i="2"/>
  <c r="X40" i="4"/>
  <c r="I12" i="4"/>
  <c r="AK40" i="2"/>
  <c r="AA13" i="2"/>
  <c r="K776" i="11"/>
  <c r="N15" i="4"/>
  <c r="AL36" i="4"/>
  <c r="Q34" i="3"/>
  <c r="G14" i="4"/>
  <c r="C46" i="11"/>
  <c r="AC36" i="2"/>
  <c r="K33" i="2"/>
  <c r="K13" i="4"/>
  <c r="AD39" i="4"/>
  <c r="D11" i="4"/>
  <c r="W217" i="11"/>
  <c r="D39" i="4"/>
  <c r="AE12" i="4"/>
  <c r="E6" i="2"/>
  <c r="Y872" i="11"/>
  <c r="N38" i="2"/>
  <c r="D14" i="2"/>
  <c r="N33" i="4"/>
  <c r="G14" i="2"/>
  <c r="AL416" i="11"/>
  <c r="F127" i="11"/>
  <c r="AO31" i="2"/>
  <c r="AK34" i="3"/>
  <c r="AO29" i="2"/>
  <c r="M9" i="3"/>
  <c r="T714" i="11"/>
  <c r="Z7" i="2"/>
  <c r="D3" i="4"/>
  <c r="K37" i="3"/>
  <c r="Z6" i="3"/>
  <c r="AA873" i="11"/>
  <c r="J805" i="11"/>
  <c r="P17" i="4"/>
  <c r="H29" i="2"/>
  <c r="Z28" i="3"/>
  <c r="T39" i="2"/>
  <c r="C4" i="3"/>
  <c r="AK35" i="3"/>
  <c r="T5" i="2"/>
  <c r="R14" i="4"/>
  <c r="C7" i="4"/>
  <c r="AE3" i="2"/>
  <c r="Q5" i="3"/>
  <c r="R4" i="4"/>
  <c r="Y6" i="2"/>
  <c r="P4" i="3"/>
  <c r="AK15" i="2"/>
  <c r="V409" i="11"/>
  <c r="AG26" i="2"/>
  <c r="O16" i="2"/>
  <c r="AC507" i="11"/>
  <c r="D29" i="2"/>
  <c r="H14" i="2"/>
  <c r="AM40" i="4"/>
  <c r="G37" i="2"/>
  <c r="AI27" i="3"/>
  <c r="O38" i="2"/>
  <c r="O31" i="3"/>
  <c r="I15" i="3"/>
  <c r="P13" i="3"/>
  <c r="Y34" i="2"/>
  <c r="J4" i="4"/>
  <c r="J16" i="4"/>
  <c r="N4" i="2"/>
  <c r="R16" i="3"/>
  <c r="L40" i="3"/>
  <c r="AK506" i="11"/>
  <c r="AE16" i="3"/>
  <c r="E31" i="2"/>
  <c r="H16" i="2"/>
  <c r="E28" i="4"/>
  <c r="Z35" i="4"/>
  <c r="X866" i="11"/>
  <c r="I7" i="3"/>
  <c r="S502" i="11"/>
  <c r="M36" i="3"/>
  <c r="C12" i="2"/>
  <c r="Z9" i="2"/>
  <c r="X218" i="11"/>
  <c r="AC214" i="11"/>
  <c r="X28" i="3"/>
  <c r="I36" i="2"/>
  <c r="T864" i="11"/>
  <c r="Q507" i="11"/>
  <c r="G9" i="4"/>
  <c r="O15" i="2"/>
  <c r="AM14" i="2"/>
  <c r="X5" i="4"/>
  <c r="AP12" i="2"/>
  <c r="D34" i="3"/>
  <c r="AB33" i="3"/>
  <c r="D27" i="2"/>
  <c r="AN30" i="3"/>
  <c r="AH31" i="3"/>
  <c r="AC9" i="2"/>
  <c r="C16" i="4"/>
  <c r="AM32" i="3"/>
  <c r="D4" i="2"/>
  <c r="AD11" i="4"/>
  <c r="G864" i="11"/>
  <c r="Y13" i="2"/>
  <c r="F39" i="2"/>
  <c r="J34" i="4"/>
  <c r="W499" i="11"/>
  <c r="I40" i="2"/>
  <c r="H6" i="3"/>
  <c r="AN32" i="4"/>
  <c r="X27" i="3"/>
  <c r="AK29" i="2"/>
  <c r="G505" i="11"/>
  <c r="R38" i="2"/>
  <c r="Z44" i="11"/>
  <c r="R16" i="4"/>
  <c r="AB41" i="3"/>
  <c r="AE9" i="2"/>
  <c r="M9" i="4"/>
  <c r="AF5" i="4"/>
  <c r="I9" i="4"/>
  <c r="AA10" i="3"/>
  <c r="AI15" i="3"/>
  <c r="E11" i="3"/>
  <c r="AM35" i="2"/>
  <c r="N37" i="4"/>
  <c r="D11" i="2"/>
  <c r="K715" i="11"/>
  <c r="AL10" i="4"/>
  <c r="AG416" i="11"/>
  <c r="D14" i="3"/>
  <c r="G3" i="2"/>
  <c r="AL30" i="2"/>
  <c r="AA783" i="11"/>
  <c r="AL10" i="2"/>
  <c r="S34" i="2"/>
  <c r="AH29" i="2"/>
  <c r="H39" i="4"/>
  <c r="AG12" i="2"/>
  <c r="Y35" i="3"/>
  <c r="AE12" i="3"/>
  <c r="AM34" i="3"/>
  <c r="AP16" i="2"/>
  <c r="AK41" i="4"/>
  <c r="AC35" i="3"/>
  <c r="Z37" i="4"/>
  <c r="AK6" i="2"/>
  <c r="O34" i="4"/>
  <c r="AN420" i="11"/>
  <c r="AF27" i="2"/>
  <c r="Z33" i="3"/>
  <c r="AA30" i="4"/>
  <c r="E499" i="11"/>
  <c r="AF32" i="2"/>
  <c r="Y7" i="4"/>
  <c r="AL35" i="3"/>
  <c r="AB37" i="2"/>
  <c r="Y17" i="4"/>
  <c r="K29" i="4"/>
  <c r="E40" i="3"/>
  <c r="G29" i="3"/>
  <c r="AE31" i="4"/>
  <c r="AM11" i="3"/>
  <c r="K29" i="2"/>
  <c r="AL3" i="4"/>
  <c r="P17" i="3"/>
  <c r="R15" i="3"/>
  <c r="AA35" i="4"/>
  <c r="AJ39" i="4"/>
  <c r="M715" i="11"/>
  <c r="L10" i="4"/>
  <c r="Q29" i="2"/>
  <c r="H28" i="2"/>
  <c r="AI40" i="3"/>
  <c r="O29" i="3"/>
  <c r="C40" i="2"/>
  <c r="D13" i="3"/>
  <c r="AA778" i="11"/>
  <c r="AA590" i="11"/>
  <c r="L34" i="3"/>
  <c r="R37" i="4"/>
  <c r="AK589" i="11"/>
  <c r="E27" i="2"/>
  <c r="AF7" i="3"/>
  <c r="S209" i="11"/>
  <c r="AN716" i="11"/>
  <c r="J13" i="2"/>
  <c r="S14" i="4"/>
  <c r="AA11" i="4"/>
  <c r="R590" i="11"/>
  <c r="AK15" i="4"/>
  <c r="E34" i="2"/>
  <c r="AI38" i="3"/>
  <c r="AL16" i="2"/>
  <c r="E32" i="4"/>
  <c r="Y31" i="3"/>
  <c r="R3" i="2"/>
  <c r="AF34" i="2"/>
  <c r="AF5" i="2"/>
  <c r="AA28" i="4"/>
  <c r="P38" i="11"/>
  <c r="J9" i="3"/>
  <c r="AJ5" i="4"/>
  <c r="AC17" i="4"/>
  <c r="H45" i="11"/>
  <c r="G16" i="4"/>
  <c r="AJ4" i="3"/>
  <c r="AD38" i="3"/>
  <c r="AA11" i="2"/>
  <c r="R804" i="11"/>
  <c r="AK39" i="2"/>
  <c r="Q39" i="2"/>
  <c r="L41" i="4"/>
  <c r="AI40" i="2"/>
  <c r="E41" i="3"/>
  <c r="H13" i="4"/>
  <c r="D10" i="2"/>
  <c r="N10" i="4"/>
  <c r="J17" i="3"/>
  <c r="S4" i="3"/>
  <c r="AF28" i="4"/>
  <c r="O36" i="3"/>
  <c r="I10" i="2"/>
  <c r="P10" i="3"/>
  <c r="G33" i="2"/>
  <c r="E35" i="4"/>
  <c r="F16" i="2"/>
  <c r="E417" i="11"/>
  <c r="C39" i="4"/>
  <c r="L8" i="3"/>
  <c r="N28" i="4"/>
  <c r="P36" i="3"/>
  <c r="AA14" i="3"/>
  <c r="AJ32" i="4"/>
  <c r="K34" i="3"/>
  <c r="P3" i="3"/>
  <c r="AN7" i="4"/>
  <c r="M35" i="3"/>
  <c r="AK40" i="4"/>
  <c r="N27" i="2"/>
  <c r="K9" i="2"/>
  <c r="P8" i="4"/>
  <c r="AD31" i="4"/>
  <c r="Y9" i="3"/>
  <c r="AI14" i="3"/>
  <c r="Z8" i="2"/>
  <c r="AG589" i="11"/>
  <c r="E30" i="3"/>
  <c r="AI12" i="4"/>
  <c r="AN27" i="2"/>
  <c r="AE7" i="4"/>
  <c r="AH11" i="2"/>
  <c r="AN4" i="2"/>
  <c r="AL35" i="4"/>
  <c r="AB14" i="2"/>
  <c r="M436" i="11"/>
  <c r="AA3" i="2"/>
  <c r="Q503" i="11"/>
  <c r="S507" i="11"/>
  <c r="K32" i="3"/>
  <c r="AE15" i="3"/>
  <c r="Q37" i="3"/>
  <c r="AM14" i="3"/>
  <c r="AH8" i="2"/>
  <c r="M12" i="3"/>
  <c r="D12" i="4"/>
  <c r="L33" i="3"/>
  <c r="AL4" i="4"/>
  <c r="D16" i="4"/>
  <c r="C8" i="3"/>
  <c r="AA713" i="11"/>
  <c r="P38" i="2"/>
  <c r="AB34" i="4"/>
  <c r="AJ11" i="4"/>
  <c r="N40" i="4"/>
  <c r="E15" i="4"/>
  <c r="AJ125" i="11"/>
  <c r="AL38" i="3"/>
  <c r="Q29" i="4"/>
  <c r="T127" i="11"/>
  <c r="J30" i="2"/>
  <c r="AI598" i="11"/>
  <c r="B420" i="11"/>
  <c r="O785" i="11"/>
  <c r="AM17" i="3"/>
  <c r="AE5" i="3"/>
  <c r="AF29" i="2"/>
  <c r="AD10" i="2"/>
  <c r="AG16" i="2"/>
  <c r="AF16" i="2"/>
  <c r="AH28" i="3"/>
  <c r="AG39" i="2"/>
  <c r="B597" i="11"/>
  <c r="D27" i="3"/>
  <c r="AL13" i="3"/>
  <c r="H35" i="4"/>
  <c r="D9" i="3"/>
  <c r="E38" i="2"/>
  <c r="AH40" i="3"/>
  <c r="S13" i="3"/>
  <c r="AM40" i="2"/>
  <c r="AN39" i="3"/>
  <c r="K14" i="2"/>
  <c r="S39" i="4"/>
  <c r="E5" i="2"/>
  <c r="AA37" i="2"/>
  <c r="I5" i="2"/>
  <c r="E4" i="4"/>
  <c r="AK39" i="11"/>
  <c r="AE34" i="4"/>
  <c r="D14" i="4"/>
  <c r="AM32" i="4"/>
  <c r="AH12" i="4"/>
  <c r="Q31" i="3"/>
  <c r="AJ31" i="2"/>
  <c r="AD40" i="2"/>
  <c r="D39" i="2"/>
  <c r="AD15" i="4"/>
  <c r="AH9" i="4"/>
  <c r="AM6" i="2"/>
  <c r="AI11" i="3"/>
  <c r="AD13" i="3"/>
  <c r="R16" i="2"/>
  <c r="C713" i="11"/>
  <c r="P32" i="2"/>
  <c r="AC15" i="2"/>
  <c r="Q16" i="4"/>
  <c r="AP5" i="2"/>
  <c r="AA38" i="4"/>
  <c r="D15" i="3"/>
  <c r="R17" i="2"/>
  <c r="E16" i="2"/>
  <c r="S28" i="2"/>
  <c r="AI6" i="2"/>
  <c r="AF36" i="3"/>
  <c r="AF499" i="11"/>
  <c r="K16" i="2"/>
  <c r="Z28" i="4"/>
  <c r="M5" i="3"/>
  <c r="AA12" i="3"/>
  <c r="AA31" i="3"/>
  <c r="O27" i="2"/>
  <c r="G15" i="3"/>
  <c r="D8" i="3"/>
  <c r="AK11" i="2"/>
  <c r="C32" i="3"/>
  <c r="X4" i="3"/>
  <c r="AM865" i="11"/>
  <c r="K14" i="4"/>
  <c r="N7" i="4"/>
  <c r="AN38" i="2"/>
  <c r="M41" i="4"/>
  <c r="Z410" i="11"/>
  <c r="U438" i="11"/>
  <c r="AM9" i="4"/>
  <c r="B505" i="11"/>
  <c r="K6" i="3"/>
  <c r="T33" i="2"/>
  <c r="AM4" i="3"/>
  <c r="Y778" i="11"/>
  <c r="AL3" i="3"/>
  <c r="C36" i="3"/>
  <c r="M17" i="3"/>
  <c r="M3" i="4"/>
  <c r="AC38" i="3"/>
  <c r="AB30" i="3"/>
  <c r="AB27" i="4"/>
  <c r="M6" i="4"/>
  <c r="AN38" i="4"/>
  <c r="W713" i="11"/>
  <c r="Q33" i="4"/>
  <c r="V781" i="11"/>
  <c r="I16" i="3"/>
  <c r="D16" i="2"/>
  <c r="AF37" i="3"/>
  <c r="F40" i="3"/>
  <c r="AA41" i="3"/>
  <c r="L33" i="2"/>
  <c r="AH10" i="4"/>
  <c r="F10" i="3"/>
  <c r="AO28" i="2"/>
  <c r="M36" i="2"/>
  <c r="C6" i="4"/>
  <c r="AB39" i="2"/>
  <c r="AJ7" i="2"/>
  <c r="Z37" i="2"/>
  <c r="AL714" i="11"/>
  <c r="T804" i="11"/>
  <c r="N31" i="3"/>
  <c r="AL12" i="2"/>
  <c r="N32" i="3"/>
  <c r="AE4" i="2"/>
  <c r="AH780" i="11"/>
  <c r="AN6" i="2"/>
  <c r="Q12" i="2"/>
  <c r="H7" i="3"/>
  <c r="E17" i="4"/>
  <c r="P9" i="2"/>
  <c r="AP37" i="2"/>
  <c r="AN34" i="2"/>
  <c r="AL12" i="4"/>
  <c r="F17" i="4"/>
  <c r="K31" i="2"/>
  <c r="AE30" i="3"/>
  <c r="AL11" i="2"/>
  <c r="H9" i="3"/>
  <c r="I37" i="2"/>
  <c r="AE14" i="2"/>
  <c r="AD436" i="11"/>
  <c r="G10" i="4"/>
  <c r="Y506" i="11"/>
  <c r="I40" i="4"/>
  <c r="AD3" i="3"/>
  <c r="AD27" i="4"/>
  <c r="R716" i="11"/>
  <c r="D40" i="4"/>
  <c r="AI41" i="4"/>
  <c r="AC34" i="3"/>
  <c r="H36" i="3"/>
  <c r="F781" i="11"/>
  <c r="I28" i="3"/>
  <c r="AN29" i="2"/>
  <c r="AN35" i="3"/>
  <c r="AG34" i="2"/>
  <c r="M33" i="3"/>
  <c r="AM15" i="2"/>
  <c r="V437" i="11"/>
  <c r="R40" i="4"/>
  <c r="AG14" i="4"/>
  <c r="T870" i="11"/>
  <c r="AD6" i="4"/>
  <c r="Y34" i="4"/>
  <c r="AC14" i="4"/>
  <c r="E35" i="2"/>
  <c r="Y507" i="11"/>
  <c r="AB5" i="4"/>
  <c r="S31" i="3"/>
  <c r="AI36" i="2"/>
  <c r="N36" i="4"/>
  <c r="AB32" i="2"/>
  <c r="AD17" i="2"/>
  <c r="AM36" i="2"/>
  <c r="AE38" i="2"/>
  <c r="L502" i="11"/>
  <c r="N15" i="2"/>
  <c r="AE35" i="4"/>
  <c r="AH29" i="3"/>
  <c r="K41" i="4"/>
  <c r="L503" i="11"/>
  <c r="Y41" i="4"/>
  <c r="H14" i="4"/>
  <c r="AK599" i="11"/>
  <c r="AD209" i="11"/>
  <c r="AA41" i="4"/>
  <c r="K14" i="3"/>
  <c r="AD412" i="11"/>
  <c r="AJ11" i="3"/>
  <c r="R27" i="2"/>
  <c r="G36" i="3"/>
  <c r="I7" i="2"/>
  <c r="AB875" i="11"/>
  <c r="AN11" i="4"/>
  <c r="F6" i="3"/>
  <c r="AC10" i="4"/>
  <c r="AF864" i="11"/>
  <c r="O778" i="11"/>
  <c r="C36" i="4"/>
  <c r="D7" i="2"/>
  <c r="AA30" i="2"/>
  <c r="AL28" i="4"/>
  <c r="AC419" i="11"/>
  <c r="AI505" i="11"/>
  <c r="H409" i="11"/>
  <c r="G30" i="3"/>
  <c r="AE10" i="4"/>
  <c r="AN31" i="4"/>
  <c r="AI338" i="11"/>
  <c r="L15" i="3"/>
  <c r="AH29" i="4"/>
  <c r="M8" i="2"/>
  <c r="I39" i="3"/>
  <c r="F16" i="3"/>
  <c r="AI871" i="11"/>
  <c r="K34" i="2"/>
  <c r="AM340" i="11"/>
  <c r="AL6" i="2"/>
  <c r="M713" i="11"/>
  <c r="AL38" i="4"/>
  <c r="X10" i="4"/>
  <c r="O16" i="3"/>
  <c r="R5" i="4"/>
  <c r="AO27" i="2"/>
  <c r="K436" i="11"/>
  <c r="N8" i="2"/>
  <c r="Z12" i="2"/>
  <c r="S37" i="3"/>
  <c r="AE17" i="4"/>
  <c r="B498" i="11"/>
  <c r="AD33" i="2"/>
  <c r="AL15" i="4"/>
  <c r="AF31" i="2"/>
  <c r="O10" i="2"/>
  <c r="AE9" i="4"/>
  <c r="F39" i="3"/>
  <c r="AA16" i="2"/>
  <c r="H12" i="3"/>
  <c r="X10" i="3"/>
  <c r="Q17" i="2"/>
  <c r="Y35" i="4"/>
  <c r="T13" i="2"/>
  <c r="H13" i="2"/>
  <c r="AL17" i="2"/>
  <c r="AH41" i="4"/>
  <c r="AK13" i="2"/>
  <c r="AP14" i="2"/>
  <c r="H503" i="11"/>
  <c r="C5" i="2"/>
  <c r="AA15" i="4"/>
  <c r="H33" i="4"/>
  <c r="S9" i="3"/>
  <c r="F36" i="3"/>
  <c r="AP29" i="2"/>
  <c r="AE13" i="2"/>
  <c r="I30" i="2"/>
  <c r="AL417" i="11"/>
  <c r="M7" i="4"/>
  <c r="Q26" i="2"/>
  <c r="D6" i="2"/>
  <c r="AB16" i="4"/>
  <c r="AG6" i="3"/>
  <c r="AJ17" i="3"/>
  <c r="AC9" i="3"/>
  <c r="Y6" i="4"/>
  <c r="O33" i="4"/>
  <c r="AI502" i="11"/>
  <c r="AL11" i="3"/>
  <c r="Z10" i="2"/>
  <c r="AC14" i="3"/>
  <c r="AJ12" i="4"/>
  <c r="J412" i="11"/>
  <c r="K9" i="3"/>
  <c r="N11" i="2"/>
  <c r="G436" i="11"/>
  <c r="D40" i="3"/>
  <c r="Y10" i="3"/>
  <c r="AH4" i="4"/>
  <c r="AH36" i="3"/>
  <c r="Q214" i="11"/>
  <c r="M3" i="2"/>
  <c r="AH39" i="2"/>
  <c r="AI775" i="11"/>
  <c r="AK3" i="2"/>
  <c r="O40" i="3"/>
  <c r="F37" i="2"/>
  <c r="AJ14" i="3"/>
  <c r="N35" i="3"/>
  <c r="I29" i="3"/>
  <c r="I26" i="2"/>
  <c r="AM11" i="2"/>
  <c r="AA10" i="4"/>
  <c r="Z5" i="2"/>
  <c r="P785" i="11"/>
  <c r="AM29" i="4"/>
  <c r="AJ38" i="4"/>
  <c r="AB35" i="2"/>
  <c r="AI30" i="2"/>
  <c r="AA217" i="11"/>
  <c r="S9" i="4"/>
  <c r="AE33" i="2"/>
  <c r="AE39" i="11"/>
  <c r="T15" i="2"/>
  <c r="T32" i="2"/>
  <c r="T30" i="2"/>
  <c r="AJ6" i="2"/>
  <c r="AA33" i="3"/>
  <c r="AA34" i="4"/>
  <c r="AI418" i="11"/>
  <c r="Z4" i="3"/>
  <c r="AK9" i="4"/>
  <c r="C34" i="4"/>
  <c r="E7" i="2"/>
  <c r="S10" i="4"/>
  <c r="X870" i="11"/>
  <c r="J14" i="4"/>
  <c r="D30" i="3"/>
  <c r="AF3" i="4"/>
  <c r="P214" i="11"/>
  <c r="AG37" i="3"/>
  <c r="AA6" i="2"/>
  <c r="Z7" i="4"/>
  <c r="F16" i="4"/>
  <c r="AM31" i="4"/>
  <c r="T14" i="2"/>
  <c r="O506" i="11"/>
  <c r="G15" i="4"/>
  <c r="AF16" i="4"/>
  <c r="AL36" i="3"/>
  <c r="J411" i="11"/>
  <c r="Y16" i="3"/>
  <c r="AJ9" i="2"/>
  <c r="E6" i="4"/>
  <c r="AD45" i="11"/>
  <c r="AJ875" i="11"/>
  <c r="AE26" i="2"/>
  <c r="AF14" i="4"/>
  <c r="AL17" i="4"/>
  <c r="AA5" i="4"/>
  <c r="AD416" i="11"/>
  <c r="Z31" i="3"/>
  <c r="AL14" i="4"/>
  <c r="Z16" i="4"/>
  <c r="T7" i="2"/>
  <c r="AD3" i="4"/>
  <c r="AK39" i="4"/>
  <c r="O8" i="2"/>
  <c r="C28" i="2"/>
  <c r="AG39" i="4"/>
  <c r="V716" i="11"/>
  <c r="AG45" i="11"/>
  <c r="H38" i="2"/>
  <c r="N13" i="2"/>
  <c r="F14" i="2"/>
  <c r="K11" i="2"/>
  <c r="C16" i="3"/>
  <c r="H40" i="4"/>
  <c r="M36" i="4"/>
  <c r="G27" i="2"/>
  <c r="AB29" i="3"/>
  <c r="G40" i="3"/>
  <c r="N28" i="2"/>
  <c r="L36" i="2"/>
  <c r="H33" i="3"/>
  <c r="X4" i="4"/>
  <c r="AL34" i="4"/>
  <c r="S31" i="4"/>
  <c r="AM15" i="3"/>
  <c r="I33" i="4"/>
  <c r="I17" i="4"/>
  <c r="AN210" i="11"/>
  <c r="AH30" i="4"/>
  <c r="Q14" i="4"/>
  <c r="AA16" i="4"/>
  <c r="N588" i="11"/>
  <c r="W504" i="11"/>
  <c r="M7" i="2"/>
  <c r="F438" i="11"/>
  <c r="AC31" i="3"/>
  <c r="AF41" i="4"/>
  <c r="AG17" i="2"/>
  <c r="AK28" i="3"/>
  <c r="AI7" i="4"/>
  <c r="AC8" i="2"/>
  <c r="P31" i="2"/>
  <c r="K35" i="4"/>
  <c r="AP26" i="2"/>
  <c r="AM873" i="11"/>
  <c r="K40" i="3"/>
  <c r="AA35" i="3"/>
  <c r="AG9" i="4"/>
  <c r="D35" i="4"/>
  <c r="O7" i="4"/>
  <c r="AM5" i="3"/>
  <c r="D12" i="3"/>
  <c r="AF39" i="2"/>
  <c r="AI3" i="3"/>
  <c r="M28" i="4"/>
  <c r="AA785" i="11"/>
  <c r="Z4" i="2"/>
  <c r="AN10" i="2"/>
  <c r="AN11" i="3"/>
  <c r="X6" i="3"/>
  <c r="S40" i="3"/>
  <c r="Y34" i="3"/>
  <c r="AL34" i="2"/>
  <c r="AN33" i="2"/>
  <c r="L16" i="3"/>
  <c r="AJ41" i="3"/>
  <c r="Z38" i="3"/>
  <c r="AE14" i="4"/>
  <c r="AE14" i="3"/>
  <c r="J14" i="3"/>
  <c r="AB40" i="4"/>
  <c r="G40" i="4"/>
  <c r="J14" i="2"/>
  <c r="AF37" i="2"/>
  <c r="L38" i="3"/>
  <c r="AG38" i="3"/>
  <c r="L38" i="4"/>
  <c r="AB38" i="4"/>
  <c r="G38" i="3"/>
  <c r="AB14" i="3"/>
  <c r="K16" i="3"/>
  <c r="AF40" i="4"/>
  <c r="I40" i="3"/>
  <c r="AD40" i="4"/>
  <c r="AD40" i="3"/>
  <c r="K38" i="3"/>
  <c r="AF38" i="3"/>
  <c r="Q38" i="3"/>
  <c r="Q38" i="4"/>
  <c r="AP44" i="2" l="1"/>
  <c r="AE44" i="2"/>
  <c r="I44" i="2"/>
  <c r="AK21" i="2"/>
  <c r="M21" i="2"/>
  <c r="Q44" i="2"/>
  <c r="AM21" i="3"/>
  <c r="AE21" i="3"/>
  <c r="AK21" i="3"/>
  <c r="AI21" i="3"/>
  <c r="AD21" i="3"/>
  <c r="AG21" i="3"/>
  <c r="AA21" i="3"/>
  <c r="AJ21" i="3"/>
  <c r="AB21" i="3"/>
  <c r="AH21" i="3"/>
  <c r="AC21" i="3"/>
  <c r="Y21" i="3"/>
  <c r="AF21" i="4"/>
  <c r="AD21" i="4"/>
  <c r="AB21" i="4"/>
  <c r="Z21" i="4"/>
  <c r="AL21" i="4"/>
  <c r="AA21" i="4"/>
  <c r="AN21" i="4"/>
  <c r="X21" i="4"/>
  <c r="AM21" i="4"/>
  <c r="AI21" i="4"/>
  <c r="AC21" i="4"/>
  <c r="Y21" i="4"/>
  <c r="AK21" i="4"/>
  <c r="AE21" i="4"/>
  <c r="AH21" i="4"/>
  <c r="M21" i="4"/>
  <c r="D45" i="3"/>
  <c r="AA21" i="2"/>
  <c r="P21" i="3"/>
  <c r="R21" i="2"/>
  <c r="G21" i="2"/>
  <c r="AE21" i="2"/>
  <c r="D21" i="4"/>
  <c r="F21" i="2"/>
  <c r="P21" i="4"/>
  <c r="R45" i="4"/>
  <c r="H21" i="4"/>
  <c r="Z45" i="3"/>
  <c r="AE45" i="3"/>
  <c r="AL45" i="3"/>
  <c r="AN45" i="3"/>
  <c r="AD45" i="3"/>
  <c r="AB45" i="3"/>
  <c r="AM45" i="3"/>
  <c r="AA45" i="3"/>
  <c r="AH45" i="3"/>
  <c r="AG45" i="3"/>
  <c r="AI45" i="3"/>
  <c r="AK45" i="3"/>
  <c r="X45" i="3"/>
  <c r="N45" i="3"/>
  <c r="AG21" i="2"/>
  <c r="G44" i="2"/>
  <c r="D44" i="2"/>
  <c r="M45" i="4"/>
  <c r="N21" i="4"/>
  <c r="AG45" i="4"/>
  <c r="AK45" i="4"/>
  <c r="Z45" i="4"/>
  <c r="AN45" i="4"/>
  <c r="AB45" i="4"/>
  <c r="AM45" i="4"/>
  <c r="AA45" i="4"/>
  <c r="AI45" i="4"/>
  <c r="AC45" i="4"/>
  <c r="AH45" i="4"/>
  <c r="Y45" i="4"/>
  <c r="AF45" i="4"/>
  <c r="X45" i="4"/>
  <c r="AE45" i="4"/>
  <c r="J45" i="4"/>
  <c r="AJ44" i="2"/>
  <c r="D45" i="4"/>
  <c r="AA44" i="2"/>
  <c r="Z21" i="2"/>
  <c r="K21" i="2"/>
  <c r="O45" i="4"/>
  <c r="AK44" i="2"/>
  <c r="J21" i="2"/>
  <c r="O21" i="3"/>
  <c r="AM21" i="2"/>
  <c r="H21" i="2"/>
  <c r="AI21" i="2"/>
  <c r="I45" i="4"/>
  <c r="E136" i="5"/>
  <c r="E137" i="5" s="1"/>
  <c r="K136" i="5"/>
  <c r="K137" i="5" s="1"/>
  <c r="C136" i="5"/>
  <c r="C137" i="5" s="1"/>
  <c r="M136" i="5"/>
  <c r="M137" i="5" s="1"/>
  <c r="I136" i="5"/>
  <c r="I137" i="5" s="1"/>
  <c r="G136" i="5"/>
  <c r="G137" i="5" s="1"/>
  <c r="L45" i="4"/>
  <c r="H136" i="5"/>
  <c r="H137" i="5" s="1"/>
  <c r="J136" i="5"/>
  <c r="J137" i="5" s="1"/>
  <c r="F136" i="5"/>
  <c r="F137" i="5" s="1"/>
  <c r="B136" i="5"/>
  <c r="B137" i="5" s="1"/>
  <c r="L136" i="5"/>
  <c r="L137" i="5" s="1"/>
  <c r="D136" i="5"/>
  <c r="D137" i="5" s="1"/>
  <c r="G45" i="3"/>
  <c r="H45" i="4"/>
  <c r="C44" i="2"/>
  <c r="K21" i="4"/>
  <c r="F21" i="4"/>
  <c r="H44" i="2"/>
  <c r="M21" i="3"/>
  <c r="Z44" i="2"/>
  <c r="P21" i="2"/>
  <c r="I21" i="2"/>
  <c r="O44" i="2"/>
  <c r="I21" i="3"/>
  <c r="J44" i="2"/>
  <c r="Q21" i="4"/>
  <c r="AJ21" i="2"/>
  <c r="AL21" i="2"/>
  <c r="N45" i="4"/>
  <c r="O21" i="2"/>
  <c r="T21" i="2"/>
  <c r="L21" i="4"/>
  <c r="R21" i="4"/>
  <c r="E21" i="3"/>
  <c r="H21" i="3"/>
  <c r="AB21" i="2"/>
  <c r="H45" i="3"/>
  <c r="E86" i="5"/>
  <c r="M86" i="5"/>
  <c r="I86" i="5"/>
  <c r="G86" i="5"/>
  <c r="C86" i="5"/>
  <c r="C169" i="5" s="1"/>
  <c r="K86" i="5"/>
  <c r="AM44" i="2"/>
  <c r="Q21" i="3"/>
  <c r="C21" i="2"/>
  <c r="J21" i="4"/>
  <c r="P45" i="3"/>
  <c r="AC44" i="2"/>
  <c r="E45" i="3"/>
  <c r="R44" i="2"/>
  <c r="P45" i="4"/>
  <c r="K45" i="3"/>
  <c r="E21" i="2"/>
  <c r="S21" i="3"/>
  <c r="G21" i="4"/>
  <c r="N21" i="3"/>
  <c r="Q21" i="2"/>
  <c r="AD21" i="2"/>
  <c r="L21" i="2"/>
  <c r="M45" i="3"/>
  <c r="AP21" i="2"/>
  <c r="J86" i="5"/>
  <c r="L86" i="5"/>
  <c r="D86" i="5"/>
  <c r="H86" i="5"/>
  <c r="B86" i="5"/>
  <c r="B169" i="5" s="1"/>
  <c r="F86" i="5"/>
  <c r="K45" i="4"/>
  <c r="C21" i="3"/>
  <c r="T44" i="2"/>
  <c r="M44" i="2"/>
  <c r="O21" i="4"/>
  <c r="S44" i="2"/>
  <c r="L45" i="3"/>
  <c r="C21" i="4"/>
  <c r="D21" i="2"/>
  <c r="Y44" i="2"/>
  <c r="K44" i="2"/>
  <c r="N44" i="2"/>
  <c r="E21" i="4"/>
  <c r="Q45" i="3"/>
  <c r="C45" i="4"/>
  <c r="AH21" i="2"/>
  <c r="G45" i="4"/>
  <c r="G21" i="3"/>
  <c r="S21" i="4"/>
  <c r="E45" i="4"/>
  <c r="E44" i="2"/>
  <c r="Q45" i="4"/>
  <c r="L44" i="2"/>
  <c r="K21" i="3"/>
  <c r="R21" i="3"/>
  <c r="C45" i="3"/>
  <c r="S45" i="4"/>
  <c r="O45" i="3"/>
  <c r="AC21" i="2"/>
  <c r="F21" i="3"/>
  <c r="P44" i="2"/>
  <c r="J21" i="3"/>
  <c r="F45" i="4"/>
  <c r="F44" i="2"/>
  <c r="I45" i="3"/>
  <c r="D21" i="3"/>
  <c r="R45" i="3"/>
  <c r="AJ45" i="3"/>
  <c r="AN44" i="2"/>
  <c r="S45" i="3"/>
  <c r="Y45" i="3"/>
  <c r="AN21" i="2"/>
  <c r="X21" i="3"/>
  <c r="L21" i="3"/>
  <c r="AN21" i="3"/>
  <c r="E89" i="5"/>
  <c r="G95" i="5"/>
  <c r="B37" i="5"/>
  <c r="C35" i="5"/>
  <c r="I85" i="5"/>
  <c r="D176" i="5"/>
  <c r="D174" i="5"/>
  <c r="AI29" i="2"/>
  <c r="AL40" i="2"/>
  <c r="G89" i="5"/>
  <c r="G38" i="5"/>
  <c r="K35" i="5"/>
  <c r="B79" i="5"/>
  <c r="F81" i="5"/>
  <c r="B95" i="5"/>
  <c r="H80" i="5"/>
  <c r="AG29" i="2"/>
  <c r="H27" i="5"/>
  <c r="F35" i="5"/>
  <c r="D181" i="5"/>
  <c r="G81" i="5"/>
  <c r="I27" i="5"/>
  <c r="M37" i="5"/>
  <c r="L95" i="5"/>
  <c r="I16" i="4"/>
  <c r="E35" i="5"/>
  <c r="B89" i="5"/>
  <c r="G85" i="5"/>
  <c r="AF10" i="2"/>
  <c r="J27" i="5"/>
  <c r="Z14" i="3"/>
  <c r="L89" i="5"/>
  <c r="C95" i="5"/>
  <c r="E95" i="5"/>
  <c r="L80" i="5"/>
  <c r="J80" i="5"/>
  <c r="E85" i="5"/>
  <c r="F85" i="5"/>
  <c r="B35" i="5"/>
  <c r="C80" i="5"/>
  <c r="AJ34" i="4"/>
  <c r="B81" i="5"/>
  <c r="G35" i="5"/>
  <c r="K81" i="5"/>
  <c r="I36" i="5"/>
  <c r="C79" i="5"/>
  <c r="AF40" i="3"/>
  <c r="N14" i="2"/>
  <c r="Z16" i="3"/>
  <c r="L38" i="5"/>
  <c r="H95" i="5"/>
  <c r="E180" i="5"/>
  <c r="D178" i="5"/>
  <c r="K79" i="5"/>
  <c r="D38" i="5"/>
  <c r="M81" i="5"/>
  <c r="AL14" i="3"/>
  <c r="AL41" i="4"/>
  <c r="AD29" i="2"/>
  <c r="H79" i="5"/>
  <c r="F38" i="5"/>
  <c r="C38" i="5"/>
  <c r="AJ35" i="4"/>
  <c r="I83" i="5"/>
  <c r="D35" i="5"/>
  <c r="M35" i="5"/>
  <c r="B166" i="5"/>
  <c r="B36" i="5"/>
  <c r="J85" i="5"/>
  <c r="E27" i="5"/>
  <c r="J89" i="5"/>
  <c r="F37" i="5"/>
  <c r="K38" i="5"/>
  <c r="J81" i="5"/>
  <c r="I89" i="5"/>
  <c r="AO34" i="2"/>
  <c r="M79" i="5"/>
  <c r="F95" i="5"/>
  <c r="AJ6" i="4"/>
  <c r="F36" i="5"/>
  <c r="F89" i="5"/>
  <c r="D85" i="5"/>
  <c r="D79" i="5"/>
  <c r="AD35" i="4"/>
  <c r="D175" i="5"/>
  <c r="G27" i="5"/>
  <c r="K36" i="5"/>
  <c r="H35" i="5"/>
  <c r="L81" i="5"/>
  <c r="M27" i="5"/>
  <c r="C83" i="5"/>
  <c r="AG37" i="2"/>
  <c r="AH40" i="2"/>
  <c r="E178" i="5"/>
  <c r="J38" i="5"/>
  <c r="B85" i="5"/>
  <c r="J38" i="3"/>
  <c r="L36" i="5"/>
  <c r="AF33" i="2"/>
  <c r="K83" i="5"/>
  <c r="C36" i="5"/>
  <c r="F83" i="5"/>
  <c r="L85" i="5"/>
  <c r="AF17" i="3"/>
  <c r="D36" i="5"/>
  <c r="I35" i="5"/>
  <c r="K37" i="5"/>
  <c r="I38" i="5"/>
  <c r="M80" i="5"/>
  <c r="C81" i="5"/>
  <c r="H38" i="5"/>
  <c r="D95" i="5"/>
  <c r="C37" i="5"/>
  <c r="B27" i="5"/>
  <c r="B83" i="5"/>
  <c r="H85" i="5"/>
  <c r="Y11" i="2"/>
  <c r="L83" i="5"/>
  <c r="H89" i="5"/>
  <c r="K89" i="5"/>
  <c r="D180" i="5"/>
  <c r="L79" i="5"/>
  <c r="AB29" i="2"/>
  <c r="L37" i="5"/>
  <c r="E176" i="5"/>
  <c r="G80" i="5"/>
  <c r="K27" i="5"/>
  <c r="B38" i="5"/>
  <c r="I37" i="5"/>
  <c r="M36" i="5"/>
  <c r="D27" i="5"/>
  <c r="K85" i="5"/>
  <c r="B80" i="5"/>
  <c r="F27" i="5"/>
  <c r="J36" i="5"/>
  <c r="F38" i="3"/>
  <c r="AC41" i="3"/>
  <c r="I81" i="5"/>
  <c r="M89" i="5"/>
  <c r="L35" i="5"/>
  <c r="J79" i="5"/>
  <c r="J83" i="5"/>
  <c r="C85" i="5"/>
  <c r="E38" i="5"/>
  <c r="H81" i="5"/>
  <c r="D89" i="5"/>
  <c r="H83" i="5"/>
  <c r="D80" i="5"/>
  <c r="D37" i="5"/>
  <c r="F80" i="5"/>
  <c r="I80" i="5"/>
  <c r="M38" i="5"/>
  <c r="E36" i="5"/>
  <c r="J37" i="5"/>
  <c r="H36" i="5"/>
  <c r="C89" i="5"/>
  <c r="D81" i="5"/>
  <c r="L27" i="5"/>
  <c r="F79" i="5"/>
  <c r="G37" i="5"/>
  <c r="J35" i="5"/>
  <c r="C166" i="5"/>
  <c r="M85" i="5"/>
  <c r="AG6" i="4"/>
  <c r="J95" i="5"/>
  <c r="I95" i="5"/>
  <c r="J535" i="18"/>
  <c r="J2" i="18"/>
  <c r="J4" i="18" l="1"/>
  <c r="J537" i="18"/>
  <c r="J96" i="5"/>
  <c r="AG21" i="4"/>
  <c r="M87" i="5"/>
  <c r="M88" i="5" s="1"/>
  <c r="M90" i="5" s="1"/>
  <c r="C167" i="5"/>
  <c r="J138" i="5"/>
  <c r="J139" i="5" s="1"/>
  <c r="J140" i="5" s="1"/>
  <c r="J142" i="5" s="1"/>
  <c r="B84" i="16"/>
  <c r="L28" i="5"/>
  <c r="L29" i="5"/>
  <c r="F172" i="18"/>
  <c r="K172" i="18" s="1"/>
  <c r="F234" i="18"/>
  <c r="K234" i="18" s="1"/>
  <c r="F288" i="18"/>
  <c r="F438" i="18"/>
  <c r="F125" i="18"/>
  <c r="F155" i="18"/>
  <c r="K155" i="18" s="1"/>
  <c r="F107" i="18"/>
  <c r="K107" i="18" s="1"/>
  <c r="F181" i="18"/>
  <c r="F174" i="18"/>
  <c r="F397" i="18"/>
  <c r="F97" i="18"/>
  <c r="F202" i="18"/>
  <c r="K202" i="18" s="1"/>
  <c r="F353" i="18"/>
  <c r="F286" i="18"/>
  <c r="F184" i="18"/>
  <c r="F381" i="18"/>
  <c r="F62" i="18"/>
  <c r="F417" i="18"/>
  <c r="F436" i="18"/>
  <c r="F159" i="18"/>
  <c r="F177" i="18"/>
  <c r="F137" i="18"/>
  <c r="F28" i="18"/>
  <c r="K28" i="18" s="1"/>
  <c r="F26" i="18"/>
  <c r="K26" i="18" s="1"/>
  <c r="F282" i="18"/>
  <c r="K282" i="18" s="1"/>
  <c r="F80" i="18"/>
  <c r="F313" i="18"/>
  <c r="F90" i="18"/>
  <c r="K90" i="18" s="1"/>
  <c r="F454" i="18"/>
  <c r="F479" i="18"/>
  <c r="F345" i="18"/>
  <c r="F352" i="18"/>
  <c r="F218" i="18"/>
  <c r="K218" i="18" s="1"/>
  <c r="F300" i="18"/>
  <c r="F266" i="18"/>
  <c r="F83" i="18"/>
  <c r="K83" i="18" s="1"/>
  <c r="F371" i="18"/>
  <c r="F495" i="18"/>
  <c r="F208" i="18"/>
  <c r="F452" i="18"/>
  <c r="F245" i="18"/>
  <c r="F124" i="18"/>
  <c r="F407" i="18"/>
  <c r="F176" i="18"/>
  <c r="F464" i="18"/>
  <c r="F151" i="18"/>
  <c r="F437" i="18"/>
  <c r="F457" i="18"/>
  <c r="F123" i="18"/>
  <c r="F240" i="18"/>
  <c r="F287" i="18"/>
  <c r="F81" i="18"/>
  <c r="F524" i="18"/>
  <c r="F204" i="18"/>
  <c r="F201" i="18"/>
  <c r="F284" i="18"/>
  <c r="F67" i="18"/>
  <c r="K67" i="18" s="1"/>
  <c r="F147" i="18"/>
  <c r="K147" i="18" s="1"/>
  <c r="F33" i="18"/>
  <c r="F285" i="18"/>
  <c r="F220" i="18"/>
  <c r="F103" i="18"/>
  <c r="F188" i="18"/>
  <c r="F283" i="18"/>
  <c r="K283" i="18" s="1"/>
  <c r="F68" i="18"/>
  <c r="K68" i="18" s="1"/>
  <c r="F210" i="18"/>
  <c r="K210" i="18" s="1"/>
  <c r="F422" i="18"/>
  <c r="F410" i="18"/>
  <c r="K410" i="18" s="1"/>
  <c r="F356" i="18"/>
  <c r="F444" i="18"/>
  <c r="F419" i="18"/>
  <c r="F291" i="18"/>
  <c r="K291" i="18" s="1"/>
  <c r="F156" i="18"/>
  <c r="K156" i="18" s="1"/>
  <c r="F472" i="18"/>
  <c r="F496" i="18"/>
  <c r="F527" i="18"/>
  <c r="F433" i="18"/>
  <c r="F307" i="18"/>
  <c r="F364" i="18"/>
  <c r="F354" i="18"/>
  <c r="F456" i="18"/>
  <c r="F337" i="18"/>
  <c r="F215" i="18"/>
  <c r="F226" i="18"/>
  <c r="K226" i="18" s="1"/>
  <c r="F154" i="18"/>
  <c r="K154" i="18" s="1"/>
  <c r="F414" i="18"/>
  <c r="F191" i="18"/>
  <c r="F214" i="18"/>
  <c r="F205" i="18"/>
  <c r="F408" i="18"/>
  <c r="F131" i="18"/>
  <c r="F206" i="18"/>
  <c r="F139" i="18"/>
  <c r="F400" i="18"/>
  <c r="F175" i="18"/>
  <c r="F368" i="18"/>
  <c r="F189" i="18"/>
  <c r="F244" i="18"/>
  <c r="F309" i="18"/>
  <c r="F346" i="18"/>
  <c r="F528" i="18"/>
  <c r="F390" i="18"/>
  <c r="F377" i="18"/>
  <c r="F164" i="18"/>
  <c r="K164" i="18" s="1"/>
  <c r="F351" i="18"/>
  <c r="F186" i="18"/>
  <c r="K186" i="18" s="1"/>
  <c r="F489" i="18"/>
  <c r="F267" i="18"/>
  <c r="F471" i="18"/>
  <c r="F319" i="18"/>
  <c r="F294" i="18"/>
  <c r="F516" i="18"/>
  <c r="F387" i="18"/>
  <c r="F195" i="18"/>
  <c r="K195" i="18" s="1"/>
  <c r="F478" i="18"/>
  <c r="F463" i="18"/>
  <c r="F369" i="18"/>
  <c r="F365" i="18"/>
  <c r="F416" i="18"/>
  <c r="F374" i="18"/>
  <c r="F232" i="18"/>
  <c r="F520" i="18"/>
  <c r="F24" i="18"/>
  <c r="F122" i="18"/>
  <c r="K122" i="18" s="1"/>
  <c r="F43" i="18"/>
  <c r="K43" i="18" s="1"/>
  <c r="F298" i="18"/>
  <c r="K298" i="18" s="1"/>
  <c r="F194" i="18"/>
  <c r="K194" i="18" s="1"/>
  <c r="F148" i="18"/>
  <c r="K148" i="18" s="1"/>
  <c r="F29" i="18"/>
  <c r="K29" i="18" s="1"/>
  <c r="F357" i="18"/>
  <c r="F145" i="18"/>
  <c r="F481" i="18"/>
  <c r="F106" i="18"/>
  <c r="K106" i="18" s="1"/>
  <c r="F348" i="18"/>
  <c r="F223" i="18"/>
  <c r="F517" i="18"/>
  <c r="F31" i="18"/>
  <c r="F362" i="18"/>
  <c r="F512" i="18"/>
  <c r="F511" i="18"/>
  <c r="F308" i="18"/>
  <c r="F233" i="18"/>
  <c r="F71" i="18"/>
  <c r="F421" i="18"/>
  <c r="F335" i="18"/>
  <c r="F258" i="18"/>
  <c r="F173" i="18"/>
  <c r="F216" i="18"/>
  <c r="F259" i="18"/>
  <c r="F152" i="18"/>
  <c r="F42" i="18"/>
  <c r="K42" i="18" s="1"/>
  <c r="F86" i="18"/>
  <c r="F133" i="18"/>
  <c r="F158" i="18"/>
  <c r="F312" i="18"/>
  <c r="F325" i="18"/>
  <c r="F264" i="18"/>
  <c r="F270" i="18"/>
  <c r="F413" i="18"/>
  <c r="F321" i="18"/>
  <c r="F344" i="18"/>
  <c r="F272" i="18"/>
  <c r="F161" i="18"/>
  <c r="F328" i="18"/>
  <c r="F429" i="18"/>
  <c r="F118" i="18"/>
  <c r="F255" i="18"/>
  <c r="F394" i="18"/>
  <c r="F95" i="18"/>
  <c r="F37" i="18"/>
  <c r="K37" i="18" s="1"/>
  <c r="F514" i="18"/>
  <c r="F35" i="18"/>
  <c r="K35" i="18" s="1"/>
  <c r="F303" i="18"/>
  <c r="F75" i="18"/>
  <c r="K75" i="18" s="1"/>
  <c r="F94" i="18"/>
  <c r="F334" i="18"/>
  <c r="F230" i="18"/>
  <c r="F228" i="18"/>
  <c r="F441" i="18"/>
  <c r="F510" i="18"/>
  <c r="F225" i="18"/>
  <c r="F420" i="18"/>
  <c r="F467" i="18"/>
  <c r="F302" i="18"/>
  <c r="F165" i="18"/>
  <c r="F200" i="18"/>
  <c r="F448" i="18"/>
  <c r="F482" i="18"/>
  <c r="F406" i="18"/>
  <c r="F304" i="18"/>
  <c r="F108" i="18"/>
  <c r="F171" i="18"/>
  <c r="K171" i="18" s="1"/>
  <c r="F498" i="18"/>
  <c r="F49" i="18"/>
  <c r="F396" i="18"/>
  <c r="F521" i="18"/>
  <c r="F379" i="18"/>
  <c r="F63" i="18"/>
  <c r="F52" i="18"/>
  <c r="K52" i="18" s="1"/>
  <c r="F99" i="18"/>
  <c r="K99" i="18" s="1"/>
  <c r="F395" i="18"/>
  <c r="F236" i="18"/>
  <c r="F323" i="18"/>
  <c r="F398" i="18"/>
  <c r="F198" i="18"/>
  <c r="F64" i="18"/>
  <c r="F386" i="18"/>
  <c r="F138" i="18"/>
  <c r="K138" i="18" s="1"/>
  <c r="F169" i="18"/>
  <c r="F465" i="18"/>
  <c r="F262" i="18"/>
  <c r="F506" i="18"/>
  <c r="F146" i="18"/>
  <c r="K146" i="18" s="1"/>
  <c r="F268" i="18"/>
  <c r="F149" i="18"/>
  <c r="F427" i="18"/>
  <c r="F490" i="18"/>
  <c r="F446" i="18"/>
  <c r="F418" i="18"/>
  <c r="K418" i="18" s="1"/>
  <c r="F222" i="18"/>
  <c r="F299" i="18"/>
  <c r="K299" i="18" s="1"/>
  <c r="F500" i="18"/>
  <c r="F519" i="18"/>
  <c r="F372" i="18"/>
  <c r="F404" i="18"/>
  <c r="F455" i="18"/>
  <c r="F111" i="18"/>
  <c r="F450" i="18"/>
  <c r="F518" i="18"/>
  <c r="F297" i="18"/>
  <c r="F132" i="18"/>
  <c r="F224" i="18"/>
  <c r="F473" i="18"/>
  <c r="F47" i="18"/>
  <c r="F130" i="18"/>
  <c r="K130" i="18" s="1"/>
  <c r="F383" i="18"/>
  <c r="F274" i="18"/>
  <c r="K274" i="18" s="1"/>
  <c r="F492" i="18"/>
  <c r="F207" i="18"/>
  <c r="F167" i="18"/>
  <c r="F504" i="18"/>
  <c r="F116" i="18"/>
  <c r="F474" i="18"/>
  <c r="F389" i="18"/>
  <c r="F487" i="18"/>
  <c r="F265" i="18"/>
  <c r="E5" i="18"/>
  <c r="F92" i="18"/>
  <c r="F440" i="18"/>
  <c r="F40" i="18"/>
  <c r="F27" i="18"/>
  <c r="K27" i="18" s="1"/>
  <c r="F190" i="18"/>
  <c r="F168" i="18"/>
  <c r="F199" i="18"/>
  <c r="F318" i="18"/>
  <c r="F513" i="18"/>
  <c r="F140" i="18"/>
  <c r="F76" i="18"/>
  <c r="K76" i="18" s="1"/>
  <c r="F507" i="18"/>
  <c r="F336" i="18"/>
  <c r="F144" i="18"/>
  <c r="F269" i="18"/>
  <c r="F293" i="18"/>
  <c r="F193" i="18"/>
  <c r="F221" i="18"/>
  <c r="F254" i="18"/>
  <c r="F73" i="18"/>
  <c r="F93" i="18"/>
  <c r="F445" i="18"/>
  <c r="F338" i="18"/>
  <c r="F82" i="18"/>
  <c r="K82" i="18" s="1"/>
  <c r="F358" i="18"/>
  <c r="F242" i="18"/>
  <c r="F54" i="18"/>
  <c r="F350" i="18"/>
  <c r="F46" i="18"/>
  <c r="F219" i="18"/>
  <c r="F405" i="18"/>
  <c r="F261" i="18"/>
  <c r="F100" i="18"/>
  <c r="F483" i="18"/>
  <c r="F196" i="18"/>
  <c r="F529" i="18"/>
  <c r="F522" i="18"/>
  <c r="F22" i="18"/>
  <c r="F256" i="18"/>
  <c r="F333" i="18"/>
  <c r="F382" i="18"/>
  <c r="F5" i="18"/>
  <c r="F70" i="18"/>
  <c r="F494" i="18"/>
  <c r="F295" i="18"/>
  <c r="F515" i="18"/>
  <c r="F296" i="18"/>
  <c r="F229" i="18"/>
  <c r="F442" i="18"/>
  <c r="F458" i="18"/>
  <c r="F212" i="18"/>
  <c r="F273" i="18"/>
  <c r="F55" i="18"/>
  <c r="F25" i="18"/>
  <c r="F110" i="18"/>
  <c r="F260" i="18"/>
  <c r="F503" i="18"/>
  <c r="F326" i="18"/>
  <c r="F360" i="18"/>
  <c r="F20" i="18"/>
  <c r="K20" i="18" s="1"/>
  <c r="F263" i="18"/>
  <c r="F44" i="18"/>
  <c r="K44" i="18" s="1"/>
  <c r="F311" i="18"/>
  <c r="F58" i="18"/>
  <c r="K58" i="18" s="1"/>
  <c r="F411" i="18"/>
  <c r="F150" i="18"/>
  <c r="F77" i="18"/>
  <c r="F121" i="18"/>
  <c r="F85" i="18"/>
  <c r="F502" i="18"/>
  <c r="F65" i="18"/>
  <c r="F119" i="18"/>
  <c r="F310" i="18"/>
  <c r="F211" i="18"/>
  <c r="F470" i="18"/>
  <c r="F434" i="18"/>
  <c r="F178" i="18"/>
  <c r="K178" i="18" s="1"/>
  <c r="F59" i="18"/>
  <c r="K59" i="18" s="1"/>
  <c r="F301" i="18"/>
  <c r="F57" i="18"/>
  <c r="F41" i="18"/>
  <c r="F399" i="18"/>
  <c r="F53" i="18"/>
  <c r="F170" i="18"/>
  <c r="K170" i="18" s="1"/>
  <c r="F39" i="18"/>
  <c r="F74" i="18"/>
  <c r="K74" i="18" s="1"/>
  <c r="F217" i="18"/>
  <c r="F330" i="18"/>
  <c r="K330" i="18" s="1"/>
  <c r="F179" i="18"/>
  <c r="K179" i="18" s="1"/>
  <c r="F466" i="18"/>
  <c r="F380" i="18"/>
  <c r="F183" i="18"/>
  <c r="F112" i="18"/>
  <c r="F235" i="18"/>
  <c r="F497" i="18"/>
  <c r="F393" i="18"/>
  <c r="F180" i="18"/>
  <c r="F412" i="18"/>
  <c r="F332" i="18"/>
  <c r="F278" i="18"/>
  <c r="F109" i="18"/>
  <c r="F88" i="18"/>
  <c r="F252" i="18"/>
  <c r="F18" i="18"/>
  <c r="K18" i="18" s="1"/>
  <c r="F238" i="18"/>
  <c r="F327" i="18"/>
  <c r="F185" i="18"/>
  <c r="F430" i="18"/>
  <c r="F435" i="18"/>
  <c r="F66" i="18"/>
  <c r="K66" i="18" s="1"/>
  <c r="F469" i="18"/>
  <c r="F61" i="18"/>
  <c r="F243" i="18"/>
  <c r="F48" i="18"/>
  <c r="F451" i="18"/>
  <c r="F253" i="18"/>
  <c r="F409" i="18"/>
  <c r="F363" i="18"/>
  <c r="F428" i="18"/>
  <c r="F480" i="18"/>
  <c r="F160" i="18"/>
  <c r="F289" i="18"/>
  <c r="F143" i="18"/>
  <c r="F392" i="18"/>
  <c r="F21" i="18"/>
  <c r="K21" i="18" s="1"/>
  <c r="F227" i="18"/>
  <c r="F501" i="18"/>
  <c r="F56" i="18"/>
  <c r="F391" i="18"/>
  <c r="F349" i="18"/>
  <c r="F101" i="18"/>
  <c r="F499" i="18"/>
  <c r="F385" i="18"/>
  <c r="F403" i="18"/>
  <c r="F51" i="18"/>
  <c r="K51" i="18" s="1"/>
  <c r="F105" i="18"/>
  <c r="F426" i="18"/>
  <c r="K426" i="18" s="1"/>
  <c r="F38" i="18"/>
  <c r="F114" i="18"/>
  <c r="K114" i="18" s="1"/>
  <c r="F343" i="18"/>
  <c r="F281" i="18"/>
  <c r="F60" i="18"/>
  <c r="K60" i="18" s="1"/>
  <c r="F187" i="18"/>
  <c r="K187" i="18" s="1"/>
  <c r="F84" i="18"/>
  <c r="F314" i="18"/>
  <c r="K314" i="18" s="1"/>
  <c r="F402" i="18"/>
  <c r="K402" i="18" s="1"/>
  <c r="F166" i="18"/>
  <c r="F449" i="18"/>
  <c r="F271" i="18"/>
  <c r="F19" i="18"/>
  <c r="K19" i="18" s="1"/>
  <c r="F197" i="18"/>
  <c r="F355" i="18"/>
  <c r="F378" i="18"/>
  <c r="F182" i="18"/>
  <c r="F342" i="18"/>
  <c r="F526" i="18"/>
  <c r="F89" i="18"/>
  <c r="F453" i="18"/>
  <c r="F460" i="18"/>
  <c r="F508" i="18"/>
  <c r="F488" i="18"/>
  <c r="F250" i="18"/>
  <c r="F213" i="18"/>
  <c r="F113" i="18"/>
  <c r="F370" i="18"/>
  <c r="F388" i="18"/>
  <c r="F462" i="18"/>
  <c r="F246" i="18"/>
  <c r="F339" i="18"/>
  <c r="F424" i="18"/>
  <c r="F477" i="18"/>
  <c r="F432" i="18"/>
  <c r="F209" i="18"/>
  <c r="F277" i="18"/>
  <c r="F120" i="18"/>
  <c r="F340" i="18"/>
  <c r="F523" i="18"/>
  <c r="F136" i="18"/>
  <c r="F134" i="18"/>
  <c r="F292" i="18"/>
  <c r="F104" i="18"/>
  <c r="F423" i="18"/>
  <c r="F493" i="18"/>
  <c r="F257" i="18"/>
  <c r="F128" i="18"/>
  <c r="F249" i="18"/>
  <c r="F237" i="18"/>
  <c r="F248" i="18"/>
  <c r="F347" i="18"/>
  <c r="F115" i="18"/>
  <c r="F72" i="18"/>
  <c r="F425" i="18"/>
  <c r="F305" i="18"/>
  <c r="F315" i="18"/>
  <c r="F279" i="18"/>
  <c r="F275" i="18"/>
  <c r="K275" i="18" s="1"/>
  <c r="F486" i="18"/>
  <c r="F509" i="18"/>
  <c r="F316" i="18"/>
  <c r="F98" i="18"/>
  <c r="K98" i="18" s="1"/>
  <c r="F366" i="18"/>
  <c r="F129" i="18"/>
  <c r="F96" i="18"/>
  <c r="F525" i="18"/>
  <c r="F102" i="18"/>
  <c r="F23" i="18"/>
  <c r="F117" i="18"/>
  <c r="F45" i="18"/>
  <c r="K45" i="18" s="1"/>
  <c r="F69" i="18"/>
  <c r="F34" i="18"/>
  <c r="K34" i="18" s="1"/>
  <c r="F439" i="18"/>
  <c r="F135" i="18"/>
  <c r="F320" i="18"/>
  <c r="F359" i="18"/>
  <c r="F127" i="18"/>
  <c r="F415" i="18"/>
  <c r="F239" i="18"/>
  <c r="F32" i="18"/>
  <c r="F290" i="18"/>
  <c r="K290" i="18" s="1"/>
  <c r="F153" i="18"/>
  <c r="F126" i="18"/>
  <c r="F484" i="18"/>
  <c r="F331" i="18"/>
  <c r="F373" i="18"/>
  <c r="F341" i="18"/>
  <c r="F401" i="18"/>
  <c r="F251" i="18"/>
  <c r="F141" i="18"/>
  <c r="F50" i="18"/>
  <c r="K50" i="18" s="1"/>
  <c r="F447" i="18"/>
  <c r="F367" i="18"/>
  <c r="F79" i="18"/>
  <c r="F162" i="18"/>
  <c r="K162" i="18" s="1"/>
  <c r="F87" i="18"/>
  <c r="F78" i="18"/>
  <c r="F468" i="18"/>
  <c r="F384" i="18"/>
  <c r="F324" i="18"/>
  <c r="F276" i="18"/>
  <c r="F329" i="18"/>
  <c r="F317" i="18"/>
  <c r="F247" i="18"/>
  <c r="F505" i="18"/>
  <c r="F157" i="18"/>
  <c r="F231" i="18"/>
  <c r="F376" i="18"/>
  <c r="F375" i="18"/>
  <c r="F485" i="18"/>
  <c r="F361" i="18"/>
  <c r="F306" i="18"/>
  <c r="K306" i="18" s="1"/>
  <c r="F443" i="18"/>
  <c r="F203" i="18"/>
  <c r="K203" i="18" s="1"/>
  <c r="F476" i="18"/>
  <c r="F30" i="18"/>
  <c r="F491" i="18"/>
  <c r="F91" i="18"/>
  <c r="K91" i="18" s="1"/>
  <c r="F36" i="18"/>
  <c r="K36" i="18" s="1"/>
  <c r="F322" i="18"/>
  <c r="K322" i="18" s="1"/>
  <c r="F475" i="18"/>
  <c r="F241" i="18"/>
  <c r="F142" i="18"/>
  <c r="F280" i="18"/>
  <c r="F459" i="18"/>
  <c r="F461" i="18"/>
  <c r="F192" i="18"/>
  <c r="F163" i="18"/>
  <c r="K163" i="18" s="1"/>
  <c r="F431" i="18"/>
  <c r="H91" i="5"/>
  <c r="H92" i="5" s="1"/>
  <c r="E91" i="5"/>
  <c r="E92" i="5" s="1"/>
  <c r="B205" i="16"/>
  <c r="F4" i="18"/>
  <c r="E4" i="18"/>
  <c r="B187" i="16"/>
  <c r="B5" i="18"/>
  <c r="B6" i="18" s="1"/>
  <c r="B166" i="16"/>
  <c r="C87" i="5"/>
  <c r="C88" i="5" s="1"/>
  <c r="C90" i="5" s="1"/>
  <c r="B536" i="18" s="1"/>
  <c r="B267" i="16"/>
  <c r="B244" i="16"/>
  <c r="L138" i="5"/>
  <c r="L139" i="5" s="1"/>
  <c r="L140" i="5" s="1"/>
  <c r="L142" i="5" s="1"/>
  <c r="B206" i="16"/>
  <c r="AC45" i="3"/>
  <c r="F45" i="3"/>
  <c r="J91" i="5"/>
  <c r="J92" i="5" s="1"/>
  <c r="F29" i="5"/>
  <c r="F28" i="5"/>
  <c r="B5" i="16"/>
  <c r="K87" i="5"/>
  <c r="K88" i="5" s="1"/>
  <c r="K90" i="5" s="1"/>
  <c r="D28" i="5"/>
  <c r="D29" i="5"/>
  <c r="M91" i="5"/>
  <c r="M92" i="5" s="1"/>
  <c r="K28" i="5"/>
  <c r="K29" i="5"/>
  <c r="B125" i="16"/>
  <c r="AB44" i="2"/>
  <c r="B324" i="16"/>
  <c r="B347" i="16"/>
  <c r="Y21" i="2"/>
  <c r="H87" i="5"/>
  <c r="H88" i="5" s="1"/>
  <c r="H90" i="5" s="1"/>
  <c r="B27" i="16"/>
  <c r="B29" i="5"/>
  <c r="B28" i="5"/>
  <c r="D96" i="5"/>
  <c r="M11" i="18" s="1"/>
  <c r="B46" i="16"/>
  <c r="B365" i="16"/>
  <c r="D91" i="5"/>
  <c r="D92" i="5" s="1"/>
  <c r="AF21" i="3"/>
  <c r="L87" i="5"/>
  <c r="L88" i="5" s="1"/>
  <c r="L90" i="5" s="1"/>
  <c r="B107" i="16"/>
  <c r="C91" i="5"/>
  <c r="C92" i="5" s="1"/>
  <c r="B307" i="16"/>
  <c r="AF44" i="2"/>
  <c r="L91" i="5"/>
  <c r="L92" i="5" s="1"/>
  <c r="J45" i="3"/>
  <c r="B87" i="5"/>
  <c r="Q545" i="18"/>
  <c r="AH44" i="2"/>
  <c r="B67" i="16"/>
  <c r="M29" i="5"/>
  <c r="M28" i="5"/>
  <c r="B326" i="16"/>
  <c r="H138" i="5"/>
  <c r="H139" i="5" s="1"/>
  <c r="H140" i="5" s="1"/>
  <c r="H142" i="5" s="1"/>
  <c r="K91" i="5"/>
  <c r="K92" i="5" s="1"/>
  <c r="AD45" i="4"/>
  <c r="E3" i="18"/>
  <c r="F3" i="18"/>
  <c r="D87" i="5"/>
  <c r="D88" i="5" s="1"/>
  <c r="D90" i="5" s="1"/>
  <c r="F91" i="5"/>
  <c r="F92" i="5" s="1"/>
  <c r="AJ21" i="4"/>
  <c r="F96" i="5"/>
  <c r="B364" i="16"/>
  <c r="AO44" i="2"/>
  <c r="B246" i="16"/>
  <c r="E28" i="5"/>
  <c r="E29" i="5"/>
  <c r="J87" i="5"/>
  <c r="J88" i="5" s="1"/>
  <c r="J90" i="5" s="1"/>
  <c r="B91" i="5"/>
  <c r="B92" i="5" s="1"/>
  <c r="B167" i="5"/>
  <c r="M138" i="5"/>
  <c r="M139" i="5" s="1"/>
  <c r="M140" i="5" s="1"/>
  <c r="M142" i="5" s="1"/>
  <c r="D138" i="5"/>
  <c r="D139" i="5" s="1"/>
  <c r="D140" i="5" s="1"/>
  <c r="D142" i="5" s="1"/>
  <c r="J11" i="18" s="1"/>
  <c r="B227" i="16"/>
  <c r="B164" i="16"/>
  <c r="AD44" i="2"/>
  <c r="AL45" i="4"/>
  <c r="AL21" i="3"/>
  <c r="B366" i="16"/>
  <c r="B284" i="16"/>
  <c r="Q12" i="18"/>
  <c r="H96" i="5"/>
  <c r="N21" i="2"/>
  <c r="AF45" i="3"/>
  <c r="B44" i="16"/>
  <c r="I91" i="5"/>
  <c r="I92" i="5" s="1"/>
  <c r="B286" i="16"/>
  <c r="G138" i="5"/>
  <c r="G139" i="5" s="1"/>
  <c r="G140" i="5" s="1"/>
  <c r="G142" i="5" s="1"/>
  <c r="B6" i="16"/>
  <c r="AJ45" i="4"/>
  <c r="B45" i="16"/>
  <c r="B138" i="5"/>
  <c r="B139" i="5" s="1"/>
  <c r="B140" i="5" s="1"/>
  <c r="B142" i="5" s="1"/>
  <c r="F87" i="5"/>
  <c r="F88" i="5" s="1"/>
  <c r="F90" i="5" s="1"/>
  <c r="E87" i="5"/>
  <c r="E88" i="5" s="1"/>
  <c r="E90" i="5" s="1"/>
  <c r="B245" i="16"/>
  <c r="B325" i="16"/>
  <c r="E96" i="5"/>
  <c r="M543" i="18" s="1"/>
  <c r="C96" i="5"/>
  <c r="Z21" i="3"/>
  <c r="J28" i="5"/>
  <c r="J29" i="5"/>
  <c r="AF21" i="2"/>
  <c r="G87" i="5"/>
  <c r="G88" i="5" s="1"/>
  <c r="G90" i="5" s="1"/>
  <c r="E138" i="5"/>
  <c r="E139" i="5" s="1"/>
  <c r="E140" i="5" s="1"/>
  <c r="E142" i="5" s="1"/>
  <c r="J543" i="18" s="1"/>
  <c r="I21" i="4"/>
  <c r="L96" i="5"/>
  <c r="I29" i="5"/>
  <c r="I28" i="5"/>
  <c r="B126" i="16"/>
  <c r="F138" i="5"/>
  <c r="F139" i="5" s="1"/>
  <c r="F140" i="5" s="1"/>
  <c r="F142" i="5" s="1"/>
  <c r="H29" i="5"/>
  <c r="H28" i="5"/>
  <c r="AG44" i="2"/>
  <c r="B165" i="16"/>
  <c r="B96" i="5"/>
  <c r="B86" i="16"/>
  <c r="B4" i="16"/>
  <c r="K138" i="5"/>
  <c r="K139" i="5" s="1"/>
  <c r="K140" i="5" s="1"/>
  <c r="K142" i="5" s="1"/>
  <c r="AL44" i="2"/>
  <c r="AI44" i="2"/>
  <c r="J6" i="18"/>
  <c r="K6" i="18"/>
  <c r="L6" i="18"/>
  <c r="Q9" i="18"/>
  <c r="I87" i="5"/>
  <c r="I88" i="5" s="1"/>
  <c r="I90" i="5" s="1"/>
  <c r="C138" i="5"/>
  <c r="C139" i="5" s="1"/>
  <c r="C140" i="5" s="1"/>
  <c r="C142" i="5" s="1"/>
  <c r="G96" i="5"/>
  <c r="B538" i="18"/>
  <c r="B539" i="18" s="1"/>
  <c r="Q542" i="18"/>
  <c r="I96" i="5"/>
  <c r="B85" i="16"/>
  <c r="I138" i="5"/>
  <c r="I139" i="5" s="1"/>
  <c r="I140" i="5" s="1"/>
  <c r="I142" i="5" s="1"/>
  <c r="G28" i="5"/>
  <c r="G29" i="5"/>
  <c r="D52" i="5"/>
  <c r="M52" i="5"/>
  <c r="E52" i="5"/>
  <c r="G36" i="5"/>
  <c r="K95" i="5"/>
  <c r="F52" i="5"/>
  <c r="D53" i="5"/>
  <c r="E53" i="5"/>
  <c r="I79" i="5"/>
  <c r="J52" i="5"/>
  <c r="I52" i="5"/>
  <c r="D94" i="5"/>
  <c r="J53" i="5"/>
  <c r="E94" i="5"/>
  <c r="K80" i="5"/>
  <c r="K52" i="5"/>
  <c r="G79" i="5"/>
  <c r="K94" i="5"/>
  <c r="B94" i="5"/>
  <c r="M83" i="5"/>
  <c r="K53" i="5"/>
  <c r="E175" i="5"/>
  <c r="G172" i="5"/>
  <c r="E79" i="5"/>
  <c r="E81" i="5"/>
  <c r="H37" i="5"/>
  <c r="E37" i="5"/>
  <c r="C94" i="5"/>
  <c r="H52" i="5"/>
  <c r="M95" i="5"/>
  <c r="B52" i="5"/>
  <c r="L52" i="5"/>
  <c r="K172" i="5"/>
  <c r="F172" i="5"/>
  <c r="I53" i="5"/>
  <c r="C27" i="5"/>
  <c r="E174" i="5"/>
  <c r="L53" i="5"/>
  <c r="F94" i="5"/>
  <c r="B53" i="5"/>
  <c r="J94" i="5"/>
  <c r="G83" i="5"/>
  <c r="E80" i="5"/>
  <c r="F53" i="5"/>
  <c r="H53" i="5"/>
  <c r="M53" i="5"/>
  <c r="J172" i="5"/>
  <c r="G52" i="5"/>
  <c r="L32" i="18" l="1"/>
  <c r="L512" i="18"/>
  <c r="L345" i="18"/>
  <c r="L386" i="18"/>
  <c r="L406" i="18"/>
  <c r="L201" i="18"/>
  <c r="L165" i="18"/>
  <c r="L363" i="18"/>
  <c r="L428" i="18"/>
  <c r="L261" i="18"/>
  <c r="M261" i="18" s="1"/>
  <c r="L359" i="18"/>
  <c r="M359" i="18" s="1"/>
  <c r="L371" i="18"/>
  <c r="M371" i="18" s="1"/>
  <c r="L632" i="18"/>
  <c r="L635" i="18"/>
  <c r="L764" i="18"/>
  <c r="L705" i="18"/>
  <c r="B537" i="18"/>
  <c r="L509" i="18"/>
  <c r="M509" i="18" s="1"/>
  <c r="L370" i="18"/>
  <c r="L394" i="18"/>
  <c r="L147" i="18"/>
  <c r="L485" i="18"/>
  <c r="C168" i="5"/>
  <c r="C170" i="5" s="1"/>
  <c r="E181" i="5" s="1"/>
  <c r="J548" i="18" s="1"/>
  <c r="L273" i="18"/>
  <c r="L40" i="18"/>
  <c r="L400" i="18"/>
  <c r="M400" i="18" s="1"/>
  <c r="L481" i="18"/>
  <c r="M481" i="18" s="1"/>
  <c r="L124" i="18"/>
  <c r="M124" i="18" s="1"/>
  <c r="L374" i="18"/>
  <c r="M374" i="18" s="1"/>
  <c r="L444" i="18"/>
  <c r="M444" i="18" s="1"/>
  <c r="L773" i="18"/>
  <c r="L88" i="18"/>
  <c r="M88" i="18" s="1"/>
  <c r="L108" i="18"/>
  <c r="M108" i="18" s="1"/>
  <c r="L38" i="18"/>
  <c r="M38" i="18" s="1"/>
  <c r="L459" i="18"/>
  <c r="L468" i="18"/>
  <c r="L494" i="18"/>
  <c r="L358" i="18"/>
  <c r="L430" i="18"/>
  <c r="L220" i="18"/>
  <c r="L497" i="18"/>
  <c r="L463" i="18"/>
  <c r="M463" i="18" s="1"/>
  <c r="L169" i="18"/>
  <c r="M169" i="18" s="1"/>
  <c r="L328" i="18"/>
  <c r="M328" i="18" s="1"/>
  <c r="L355" i="18"/>
  <c r="M355" i="18" s="1"/>
  <c r="L232" i="18"/>
  <c r="M232" i="18" s="1"/>
  <c r="L24" i="18"/>
  <c r="M24" i="18" s="1"/>
  <c r="L216" i="18"/>
  <c r="M216" i="18" s="1"/>
  <c r="L458" i="18"/>
  <c r="M458" i="18" s="1"/>
  <c r="L291" i="18"/>
  <c r="Y291" i="18" s="1"/>
  <c r="L31" i="18"/>
  <c r="L75" i="18"/>
  <c r="Y75" i="18" s="1"/>
  <c r="L366" i="18"/>
  <c r="L519" i="18"/>
  <c r="L487" i="18"/>
  <c r="L180" i="18"/>
  <c r="L319" i="18"/>
  <c r="L182" i="18"/>
  <c r="M182" i="18" s="1"/>
  <c r="L477" i="18"/>
  <c r="M477" i="18" s="1"/>
  <c r="L330" i="18"/>
  <c r="M330" i="18" s="1"/>
  <c r="L226" i="18"/>
  <c r="Y226" i="18" s="1"/>
  <c r="L154" i="18"/>
  <c r="Y154" i="18" s="1"/>
  <c r="L168" i="18"/>
  <c r="M168" i="18" s="1"/>
  <c r="L513" i="18"/>
  <c r="M513" i="18" s="1"/>
  <c r="L304" i="18"/>
  <c r="M304" i="18" s="1"/>
  <c r="L113" i="18"/>
  <c r="M113" i="18" s="1"/>
  <c r="L183" i="18"/>
  <c r="L25" i="18"/>
  <c r="L353" i="18"/>
  <c r="L84" i="18"/>
  <c r="L22" i="18"/>
  <c r="L160" i="18"/>
  <c r="L357" i="18"/>
  <c r="L207" i="18"/>
  <c r="M207" i="18" s="1"/>
  <c r="L327" i="18"/>
  <c r="M327" i="18" s="1"/>
  <c r="L212" i="18"/>
  <c r="M212" i="18" s="1"/>
  <c r="L292" i="18"/>
  <c r="M292" i="18" s="1"/>
  <c r="L516" i="18"/>
  <c r="M516" i="18" s="1"/>
  <c r="L19" i="18"/>
  <c r="Y19" i="18" s="1"/>
  <c r="L155" i="18"/>
  <c r="M155" i="18" s="1"/>
  <c r="L284" i="18"/>
  <c r="M284" i="18" s="1"/>
  <c r="L397" i="18"/>
  <c r="M397" i="18" s="1"/>
  <c r="L341" i="18"/>
  <c r="L71" i="18"/>
  <c r="L195" i="18"/>
  <c r="Y195" i="18" s="1"/>
  <c r="L49" i="18"/>
  <c r="L419" i="18"/>
  <c r="L508" i="18"/>
  <c r="L420" i="18"/>
  <c r="L318" i="18"/>
  <c r="L123" i="18"/>
  <c r="M123" i="18" s="1"/>
  <c r="L132" i="18"/>
  <c r="M132" i="18" s="1"/>
  <c r="L418" i="18"/>
  <c r="Y418" i="18" s="1"/>
  <c r="L379" i="18"/>
  <c r="M379" i="18" s="1"/>
  <c r="L349" i="18"/>
  <c r="M349" i="18" s="1"/>
  <c r="L131" i="18"/>
  <c r="M131" i="18" s="1"/>
  <c r="L277" i="18"/>
  <c r="M277" i="18" s="1"/>
  <c r="L337" i="18"/>
  <c r="M337" i="18" s="1"/>
  <c r="L301" i="18"/>
  <c r="L233" i="18"/>
  <c r="L311" i="18"/>
  <c r="L347" i="18"/>
  <c r="L346" i="18"/>
  <c r="L356" i="18"/>
  <c r="L491" i="18"/>
  <c r="L247" i="18"/>
  <c r="M247" i="18" s="1"/>
  <c r="L86" i="18"/>
  <c r="M86" i="18" s="1"/>
  <c r="L457" i="18"/>
  <c r="M457" i="18" s="1"/>
  <c r="L56" i="18"/>
  <c r="M56" i="18" s="1"/>
  <c r="L416" i="18"/>
  <c r="M416" i="18" s="1"/>
  <c r="L125" i="18"/>
  <c r="M125" i="18" s="1"/>
  <c r="L383" i="18"/>
  <c r="M383" i="18" s="1"/>
  <c r="L323" i="18"/>
  <c r="M323" i="18" s="1"/>
  <c r="L230" i="18"/>
  <c r="M230" i="18" s="1"/>
  <c r="L495" i="18"/>
  <c r="L438" i="18"/>
  <c r="L388" i="18"/>
  <c r="L338" i="18"/>
  <c r="L335" i="18"/>
  <c r="L470" i="18"/>
  <c r="L320" i="18"/>
  <c r="L60" i="18"/>
  <c r="M60" i="18" s="1"/>
  <c r="L331" i="18"/>
  <c r="M331" i="18" s="1"/>
  <c r="L496" i="18"/>
  <c r="M496" i="18" s="1"/>
  <c r="L133" i="18"/>
  <c r="M133" i="18" s="1"/>
  <c r="L82" i="18"/>
  <c r="Y82" i="18" s="1"/>
  <c r="L336" i="18"/>
  <c r="M336" i="18" s="1"/>
  <c r="L499" i="18"/>
  <c r="M499" i="18" s="1"/>
  <c r="L433" i="18"/>
  <c r="M433" i="18" s="1"/>
  <c r="L425" i="18"/>
  <c r="M425" i="18" s="1"/>
  <c r="L58" i="18"/>
  <c r="L276" i="18"/>
  <c r="L308" i="18"/>
  <c r="L511" i="18"/>
  <c r="L361" i="18"/>
  <c r="L333" i="18"/>
  <c r="L437" i="18"/>
  <c r="L96" i="18"/>
  <c r="M96" i="18" s="1"/>
  <c r="L127" i="18"/>
  <c r="M127" i="18" s="1"/>
  <c r="L486" i="18"/>
  <c r="M486" i="18" s="1"/>
  <c r="L128" i="18"/>
  <c r="M128" i="18" s="1"/>
  <c r="L59" i="18"/>
  <c r="Y59" i="18" s="1"/>
  <c r="L448" i="18"/>
  <c r="M448" i="18" s="1"/>
  <c r="L446" i="18"/>
  <c r="M446" i="18" s="1"/>
  <c r="L151" i="18"/>
  <c r="M151" i="18" s="1"/>
  <c r="L184" i="18"/>
  <c r="M184" i="18" s="1"/>
  <c r="L140" i="18"/>
  <c r="L30" i="18"/>
  <c r="L27" i="18"/>
  <c r="Y27" i="18" s="1"/>
  <c r="L87" i="18"/>
  <c r="L524" i="18"/>
  <c r="L208" i="18"/>
  <c r="L402" i="18"/>
  <c r="Y402" i="18" s="1"/>
  <c r="L227" i="18"/>
  <c r="M227" i="18" s="1"/>
  <c r="L321" i="18"/>
  <c r="M321" i="18" s="1"/>
  <c r="L368" i="18"/>
  <c r="M368" i="18" s="1"/>
  <c r="L114" i="18"/>
  <c r="Y114" i="18" s="1"/>
  <c r="L393" i="18"/>
  <c r="M393" i="18" s="1"/>
  <c r="L521" i="18"/>
  <c r="M521" i="18" s="1"/>
  <c r="L395" i="18"/>
  <c r="M395" i="18" s="1"/>
  <c r="L36" i="18"/>
  <c r="Y36" i="18" s="1"/>
  <c r="L185" i="18"/>
  <c r="M185" i="18" s="1"/>
  <c r="L223" i="18"/>
  <c r="L26" i="18"/>
  <c r="Y26" i="18" s="1"/>
  <c r="L53" i="18"/>
  <c r="L143" i="18"/>
  <c r="L215" i="18"/>
  <c r="L385" i="18"/>
  <c r="L152" i="18"/>
  <c r="L489" i="18"/>
  <c r="M489" i="18" s="1"/>
  <c r="L239" i="18"/>
  <c r="M239" i="18" s="1"/>
  <c r="L350" i="18"/>
  <c r="M350" i="18" s="1"/>
  <c r="L219" i="18"/>
  <c r="M219" i="18" s="1"/>
  <c r="L409" i="18"/>
  <c r="M409" i="18" s="1"/>
  <c r="L373" i="18"/>
  <c r="M373" i="18" s="1"/>
  <c r="L209" i="18"/>
  <c r="M209" i="18" s="1"/>
  <c r="L163" i="18"/>
  <c r="M163" i="18" s="1"/>
  <c r="L258" i="18"/>
  <c r="M258" i="18" s="1"/>
  <c r="L85" i="18"/>
  <c r="L431" i="18"/>
  <c r="L401" i="18"/>
  <c r="L193" i="18"/>
  <c r="L43" i="18"/>
  <c r="Y43" i="18" s="1"/>
  <c r="L297" i="18"/>
  <c r="L392" i="18"/>
  <c r="L455" i="18"/>
  <c r="M455" i="18" s="1"/>
  <c r="L399" i="18"/>
  <c r="M399" i="18" s="1"/>
  <c r="L482" i="18"/>
  <c r="M482" i="18" s="1"/>
  <c r="L484" i="18"/>
  <c r="M484" i="18" s="1"/>
  <c r="L410" i="18"/>
  <c r="Y410" i="18" s="1"/>
  <c r="L303" i="18"/>
  <c r="M303" i="18" s="1"/>
  <c r="L307" i="18"/>
  <c r="M307" i="18" s="1"/>
  <c r="L272" i="18"/>
  <c r="M272" i="18" s="1"/>
  <c r="L362" i="18"/>
  <c r="M362" i="18" s="1"/>
  <c r="L525" i="18"/>
  <c r="L479" i="18"/>
  <c r="L260" i="18"/>
  <c r="L150" i="18"/>
  <c r="L130" i="18"/>
  <c r="Y130" i="18" s="1"/>
  <c r="L453" i="18"/>
  <c r="L505" i="18"/>
  <c r="L73" i="18"/>
  <c r="M73" i="18" s="1"/>
  <c r="L483" i="18"/>
  <c r="M483" i="18" s="1"/>
  <c r="L474" i="18"/>
  <c r="M474" i="18" s="1"/>
  <c r="L281" i="18"/>
  <c r="M281" i="18" s="1"/>
  <c r="L61" i="18"/>
  <c r="M61" i="18" s="1"/>
  <c r="L436" i="18"/>
  <c r="M436" i="18" s="1"/>
  <c r="L295" i="18"/>
  <c r="M295" i="18" s="1"/>
  <c r="L464" i="18"/>
  <c r="M464" i="18" s="1"/>
  <c r="L172" i="18"/>
  <c r="M172" i="18" s="1"/>
  <c r="L117" i="18"/>
  <c r="L196" i="18"/>
  <c r="L253" i="18"/>
  <c r="L89" i="18"/>
  <c r="L290" i="18"/>
  <c r="Y290" i="18" s="1"/>
  <c r="L432" i="18"/>
  <c r="L69" i="18"/>
  <c r="L103" i="18"/>
  <c r="M103" i="18" s="1"/>
  <c r="L20" i="18"/>
  <c r="Y20" i="18" s="1"/>
  <c r="L423" i="18"/>
  <c r="M423" i="18" s="1"/>
  <c r="L501" i="18"/>
  <c r="M501" i="18" s="1"/>
  <c r="L234" i="18"/>
  <c r="Y234" i="18" s="1"/>
  <c r="L95" i="18"/>
  <c r="M95" i="18" s="1"/>
  <c r="L244" i="18"/>
  <c r="M244" i="18" s="1"/>
  <c r="L203" i="18"/>
  <c r="Y203" i="18" s="1"/>
  <c r="L250" i="18"/>
  <c r="M250" i="18" s="1"/>
  <c r="L202" i="18"/>
  <c r="L332" i="18"/>
  <c r="L517" i="18"/>
  <c r="L382" i="18"/>
  <c r="L310" i="18"/>
  <c r="L313" i="18"/>
  <c r="L102" i="18"/>
  <c r="L34" i="18"/>
  <c r="M34" i="18" s="1"/>
  <c r="L314" i="18"/>
  <c r="Y314" i="18" s="1"/>
  <c r="L469" i="18"/>
  <c r="M469" i="18" s="1"/>
  <c r="L115" i="18"/>
  <c r="M115" i="18" s="1"/>
  <c r="L500" i="18"/>
  <c r="M500" i="18" s="1"/>
  <c r="L42" i="18"/>
  <c r="Y42" i="18" s="1"/>
  <c r="L62" i="18"/>
  <c r="M62" i="18" s="1"/>
  <c r="L94" i="18"/>
  <c r="M94" i="18" s="1"/>
  <c r="L93" i="18"/>
  <c r="M93" i="18" s="1"/>
  <c r="L213" i="18"/>
  <c r="L238" i="18"/>
  <c r="L476" i="18"/>
  <c r="L526" i="18"/>
  <c r="L415" i="18"/>
  <c r="L153" i="18"/>
  <c r="L179" i="18"/>
  <c r="L298" i="18"/>
  <c r="Y298" i="18" s="1"/>
  <c r="L523" i="18"/>
  <c r="M523" i="18" s="1"/>
  <c r="L424" i="18"/>
  <c r="M424" i="18" s="1"/>
  <c r="L46" i="18"/>
  <c r="M46" i="18" s="1"/>
  <c r="L41" i="18"/>
  <c r="M41" i="18" s="1"/>
  <c r="L210" i="18"/>
  <c r="Y210" i="18" s="1"/>
  <c r="L175" i="18"/>
  <c r="M175" i="18" s="1"/>
  <c r="L252" i="18"/>
  <c r="M252" i="18" s="1"/>
  <c r="L39" i="18"/>
  <c r="M39" i="18" s="1"/>
  <c r="L225" i="18"/>
  <c r="L326" i="18"/>
  <c r="L378" i="18"/>
  <c r="L50" i="18"/>
  <c r="Y50" i="18" s="1"/>
  <c r="L167" i="18"/>
  <c r="L342" i="18"/>
  <c r="L257" i="18"/>
  <c r="L251" i="18"/>
  <c r="M251" i="18" s="1"/>
  <c r="L520" i="18"/>
  <c r="M520" i="18" s="1"/>
  <c r="L372" i="18"/>
  <c r="M372" i="18" s="1"/>
  <c r="L104" i="18"/>
  <c r="M104" i="18" s="1"/>
  <c r="L194" i="18"/>
  <c r="Y194" i="18" s="1"/>
  <c r="L527" i="18"/>
  <c r="M527" i="18" s="1"/>
  <c r="L256" i="18"/>
  <c r="M256" i="18" s="1"/>
  <c r="L67" i="18"/>
  <c r="M67" i="18" s="1"/>
  <c r="L135" i="18"/>
  <c r="M135" i="18" s="1"/>
  <c r="L515" i="18"/>
  <c r="L106" i="18"/>
  <c r="L231" i="18"/>
  <c r="L134" i="18"/>
  <c r="L351" i="18"/>
  <c r="L429" i="18"/>
  <c r="L407" i="18"/>
  <c r="L280" i="18"/>
  <c r="M280" i="18" s="1"/>
  <c r="L460" i="18"/>
  <c r="M460" i="18" s="1"/>
  <c r="L504" i="18"/>
  <c r="M504" i="18" s="1"/>
  <c r="L129" i="18"/>
  <c r="M129" i="18" s="1"/>
  <c r="L112" i="18"/>
  <c r="M112" i="18" s="1"/>
  <c r="L502" i="18"/>
  <c r="M502" i="18" s="1"/>
  <c r="L408" i="18"/>
  <c r="M408" i="18" s="1"/>
  <c r="L161" i="18"/>
  <c r="M161" i="18" s="1"/>
  <c r="L449" i="18"/>
  <c r="M449" i="18" s="1"/>
  <c r="L391" i="18"/>
  <c r="L76" i="18"/>
  <c r="L171" i="18"/>
  <c r="L243" i="18"/>
  <c r="L44" i="18"/>
  <c r="L302" i="18"/>
  <c r="L315" i="18"/>
  <c r="L21" i="18"/>
  <c r="Y21" i="18" s="1"/>
  <c r="L279" i="18"/>
  <c r="M279" i="18" s="1"/>
  <c r="L80" i="18"/>
  <c r="M80" i="18" s="1"/>
  <c r="L77" i="18"/>
  <c r="M77" i="18" s="1"/>
  <c r="L490" i="18"/>
  <c r="M490" i="18" s="1"/>
  <c r="L214" i="18"/>
  <c r="M214" i="18" s="1"/>
  <c r="L498" i="18"/>
  <c r="M498" i="18" s="1"/>
  <c r="L518" i="18"/>
  <c r="M518" i="18" s="1"/>
  <c r="L98" i="18"/>
  <c r="M98" i="18" s="1"/>
  <c r="L475" i="18"/>
  <c r="L237" i="18"/>
  <c r="L443" i="18"/>
  <c r="L442" i="18"/>
  <c r="L148" i="18"/>
  <c r="Y148" i="18" s="1"/>
  <c r="L63" i="18"/>
  <c r="L78" i="18"/>
  <c r="L138" i="18"/>
  <c r="M138" i="18" s="1"/>
  <c r="L269" i="18"/>
  <c r="M269" i="18" s="1"/>
  <c r="L445" i="18"/>
  <c r="M445" i="18" s="1"/>
  <c r="L91" i="18"/>
  <c r="Y91" i="18" s="1"/>
  <c r="L340" i="18"/>
  <c r="M340" i="18" s="1"/>
  <c r="L467" i="18"/>
  <c r="M467" i="18" s="1"/>
  <c r="L74" i="18"/>
  <c r="Y74" i="18" s="1"/>
  <c r="L249" i="18"/>
  <c r="M249" i="18" s="1"/>
  <c r="L145" i="18"/>
  <c r="M145" i="18" s="1"/>
  <c r="L66" i="18"/>
  <c r="L218" i="18"/>
  <c r="L139" i="18"/>
  <c r="L187" i="18"/>
  <c r="L447" i="18"/>
  <c r="L360" i="18"/>
  <c r="L51" i="18"/>
  <c r="L465" i="18"/>
  <c r="M465" i="18" s="1"/>
  <c r="L510" i="18"/>
  <c r="M510" i="18" s="1"/>
  <c r="L35" i="18"/>
  <c r="Y35" i="18" s="1"/>
  <c r="L271" i="18"/>
  <c r="M271" i="18" s="1"/>
  <c r="L278" i="18"/>
  <c r="M278" i="18" s="1"/>
  <c r="L198" i="18"/>
  <c r="M198" i="18" s="1"/>
  <c r="L83" i="18"/>
  <c r="Y83" i="18" s="1"/>
  <c r="L70" i="18"/>
  <c r="M70" i="18" s="1"/>
  <c r="L190" i="18"/>
  <c r="M190" i="18" s="1"/>
  <c r="L79" i="18"/>
  <c r="L55" i="18"/>
  <c r="L144" i="18"/>
  <c r="L529" i="18"/>
  <c r="L503" i="18"/>
  <c r="L72" i="18"/>
  <c r="L354" i="18"/>
  <c r="L452" i="18"/>
  <c r="M452" i="18" s="1"/>
  <c r="L174" i="18"/>
  <c r="M174" i="18" s="1"/>
  <c r="L162" i="18"/>
  <c r="M162" i="18" s="1"/>
  <c r="L211" i="18"/>
  <c r="M211" i="18" s="1"/>
  <c r="L54" i="18"/>
  <c r="M54" i="18" s="1"/>
  <c r="L299" i="18"/>
  <c r="Y299" i="18" s="1"/>
  <c r="L23" i="18"/>
  <c r="M23" i="18" s="1"/>
  <c r="L369" i="18"/>
  <c r="M369" i="18" s="1"/>
  <c r="L417" i="18"/>
  <c r="M417" i="18" s="1"/>
  <c r="L222" i="18"/>
  <c r="L141" i="18"/>
  <c r="L65" i="18"/>
  <c r="L45" i="18"/>
  <c r="L205" i="18"/>
  <c r="L329" i="18"/>
  <c r="L454" i="18"/>
  <c r="L473" i="18"/>
  <c r="M473" i="18" s="1"/>
  <c r="L248" i="18"/>
  <c r="M248" i="18" s="1"/>
  <c r="L456" i="18"/>
  <c r="M456" i="18" s="1"/>
  <c r="L90" i="18"/>
  <c r="M90" i="18" s="1"/>
  <c r="L266" i="18"/>
  <c r="M266" i="18" s="1"/>
  <c r="L427" i="18"/>
  <c r="M427" i="18" s="1"/>
  <c r="L177" i="18"/>
  <c r="M177" i="18" s="1"/>
  <c r="L81" i="18"/>
  <c r="M81" i="18" s="1"/>
  <c r="L286" i="18"/>
  <c r="M286" i="18" s="1"/>
  <c r="L173" i="18"/>
  <c r="L507" i="18"/>
  <c r="L64" i="18"/>
  <c r="L33" i="18"/>
  <c r="L398" i="18"/>
  <c r="L451" i="18"/>
  <c r="L404" i="18"/>
  <c r="L110" i="18"/>
  <c r="M110" i="18" s="1"/>
  <c r="L492" i="18"/>
  <c r="M492" i="18" s="1"/>
  <c r="L380" i="18"/>
  <c r="M380" i="18" s="1"/>
  <c r="L352" i="18"/>
  <c r="M352" i="18" s="1"/>
  <c r="L344" i="18"/>
  <c r="M344" i="18" s="1"/>
  <c r="L241" i="18"/>
  <c r="M241" i="18" s="1"/>
  <c r="L246" i="18"/>
  <c r="M246" i="18" s="1"/>
  <c r="L192" i="18"/>
  <c r="M192" i="18" s="1"/>
  <c r="L121" i="18"/>
  <c r="M121" i="18" s="1"/>
  <c r="L164" i="18"/>
  <c r="Y164" i="18" s="1"/>
  <c r="L170" i="18"/>
  <c r="L506" i="18"/>
  <c r="L137" i="18"/>
  <c r="L471" i="18"/>
  <c r="L236" i="18"/>
  <c r="L263" i="18"/>
  <c r="L305" i="18"/>
  <c r="M305" i="18" s="1"/>
  <c r="L389" i="18"/>
  <c r="M389" i="18" s="1"/>
  <c r="L381" i="18"/>
  <c r="M381" i="18" s="1"/>
  <c r="L240" i="18"/>
  <c r="M240" i="18" s="1"/>
  <c r="L339" i="18"/>
  <c r="M339" i="18" s="1"/>
  <c r="L206" i="18"/>
  <c r="M206" i="18" s="1"/>
  <c r="L377" i="18"/>
  <c r="M377" i="18" s="1"/>
  <c r="L324" i="18"/>
  <c r="M324" i="18" s="1"/>
  <c r="L235" i="18"/>
  <c r="M235" i="18" s="1"/>
  <c r="L28" i="18"/>
  <c r="L343" i="18"/>
  <c r="L367" i="18"/>
  <c r="L522" i="18"/>
  <c r="L156" i="18"/>
  <c r="Y156" i="18" s="1"/>
  <c r="L217" i="18"/>
  <c r="L390" i="18"/>
  <c r="L97" i="18"/>
  <c r="M97" i="18" s="1"/>
  <c r="L149" i="18"/>
  <c r="M149" i="18" s="1"/>
  <c r="L434" i="18"/>
  <c r="M434" i="18" s="1"/>
  <c r="L18" i="18"/>
  <c r="Y18" i="18" s="1"/>
  <c r="L158" i="18"/>
  <c r="M158" i="18" s="1"/>
  <c r="L48" i="18"/>
  <c r="M48" i="18" s="1"/>
  <c r="L68" i="18"/>
  <c r="M68" i="18" s="1"/>
  <c r="L450" i="18"/>
  <c r="M450" i="18" s="1"/>
  <c r="L364" i="18"/>
  <c r="M364" i="18" s="1"/>
  <c r="L461" i="18"/>
  <c r="L405" i="18"/>
  <c r="L478" i="18"/>
  <c r="L439" i="18"/>
  <c r="L493" i="18"/>
  <c r="L322" i="18"/>
  <c r="Y322" i="18" s="1"/>
  <c r="L325" i="18"/>
  <c r="L47" i="18"/>
  <c r="M47" i="18" s="1"/>
  <c r="L300" i="18"/>
  <c r="M300" i="18" s="1"/>
  <c r="L334" i="18"/>
  <c r="M334" i="18" s="1"/>
  <c r="L264" i="18"/>
  <c r="M264" i="18" s="1"/>
  <c r="L109" i="18"/>
  <c r="M109" i="18" s="1"/>
  <c r="L159" i="18"/>
  <c r="M159" i="18" s="1"/>
  <c r="L204" i="18"/>
  <c r="M204" i="18" s="1"/>
  <c r="L136" i="18"/>
  <c r="M136" i="18" s="1"/>
  <c r="L317" i="18"/>
  <c r="M317" i="18" s="1"/>
  <c r="B4" i="18"/>
  <c r="L166" i="18"/>
  <c r="L285" i="18"/>
  <c r="L387" i="18"/>
  <c r="L92" i="18"/>
  <c r="L146" i="18"/>
  <c r="L472" i="18"/>
  <c r="L120" i="18"/>
  <c r="M120" i="18" s="1"/>
  <c r="L480" i="18"/>
  <c r="M480" i="18" s="1"/>
  <c r="L396" i="18"/>
  <c r="M396" i="18" s="1"/>
  <c r="L178" i="18"/>
  <c r="Y178" i="18" s="1"/>
  <c r="L283" i="18"/>
  <c r="M283" i="18" s="1"/>
  <c r="L441" i="18"/>
  <c r="M441" i="18" s="1"/>
  <c r="L100" i="18"/>
  <c r="M100" i="18" s="1"/>
  <c r="L413" i="18"/>
  <c r="M413" i="18" s="1"/>
  <c r="L186" i="18"/>
  <c r="Y186" i="18" s="1"/>
  <c r="L440" i="18"/>
  <c r="L294" i="18"/>
  <c r="L105" i="18"/>
  <c r="L157" i="18"/>
  <c r="L426" i="18"/>
  <c r="Y426" i="18" s="1"/>
  <c r="L466" i="18"/>
  <c r="L412" i="18"/>
  <c r="L122" i="18"/>
  <c r="Y122" i="18" s="1"/>
  <c r="L528" i="18"/>
  <c r="M528" i="18" s="1"/>
  <c r="L435" i="18"/>
  <c r="M435" i="18" s="1"/>
  <c r="L282" i="18"/>
  <c r="Y282" i="18" s="1"/>
  <c r="L403" i="18"/>
  <c r="M403" i="18" s="1"/>
  <c r="L191" i="18"/>
  <c r="M191" i="18" s="1"/>
  <c r="L309" i="18"/>
  <c r="M309" i="18" s="1"/>
  <c r="L348" i="18"/>
  <c r="M348" i="18" s="1"/>
  <c r="L268" i="18"/>
  <c r="M268" i="18" s="1"/>
  <c r="L262" i="18"/>
  <c r="L29" i="18"/>
  <c r="Y29" i="18" s="1"/>
  <c r="L242" i="18"/>
  <c r="L199" i="18"/>
  <c r="L259" i="18"/>
  <c r="L462" i="18"/>
  <c r="L289" i="18"/>
  <c r="L306" i="18"/>
  <c r="Y306" i="18" s="1"/>
  <c r="L488" i="18"/>
  <c r="M488" i="18" s="1"/>
  <c r="L411" i="18"/>
  <c r="M411" i="18" s="1"/>
  <c r="L376" i="18"/>
  <c r="M376" i="18" s="1"/>
  <c r="L181" i="18"/>
  <c r="M181" i="18" s="1"/>
  <c r="L245" i="18"/>
  <c r="M245" i="18" s="1"/>
  <c r="L275" i="18"/>
  <c r="M275" i="18" s="1"/>
  <c r="E167" i="16"/>
  <c r="L384" i="18"/>
  <c r="M384" i="18" s="1"/>
  <c r="L422" i="18"/>
  <c r="L421" i="18"/>
  <c r="L57" i="18"/>
  <c r="L142" i="18"/>
  <c r="L37" i="18"/>
  <c r="Y37" i="18" s="1"/>
  <c r="L254" i="18"/>
  <c r="E332" i="16"/>
  <c r="B168" i="5"/>
  <c r="B170" i="5" s="1"/>
  <c r="J15" i="18" s="1"/>
  <c r="L229" i="18"/>
  <c r="M229" i="18" s="1"/>
  <c r="L265" i="18"/>
  <c r="M265" i="18" s="1"/>
  <c r="L126" i="18"/>
  <c r="M126" i="18" s="1"/>
  <c r="L267" i="18"/>
  <c r="M267" i="18" s="1"/>
  <c r="L375" i="18"/>
  <c r="M375" i="18" s="1"/>
  <c r="L176" i="18"/>
  <c r="M176" i="18" s="1"/>
  <c r="L111" i="18"/>
  <c r="M111" i="18" s="1"/>
  <c r="L118" i="18"/>
  <c r="M118" i="18" s="1"/>
  <c r="L270" i="18"/>
  <c r="L293" i="18"/>
  <c r="L414" i="18"/>
  <c r="L287" i="18"/>
  <c r="L101" i="18"/>
  <c r="L221" i="18"/>
  <c r="L188" i="18"/>
  <c r="L514" i="18"/>
  <c r="M514" i="18" s="1"/>
  <c r="L312" i="18"/>
  <c r="M312" i="18" s="1"/>
  <c r="L224" i="18"/>
  <c r="M224" i="18" s="1"/>
  <c r="L99" i="18"/>
  <c r="M99" i="18" s="1"/>
  <c r="L107" i="18"/>
  <c r="M107" i="18" s="1"/>
  <c r="L197" i="18"/>
  <c r="M197" i="18" s="1"/>
  <c r="L274" i="18"/>
  <c r="Y274" i="18" s="1"/>
  <c r="L316" i="18"/>
  <c r="M316" i="18" s="1"/>
  <c r="L288" i="18"/>
  <c r="M288" i="18" s="1"/>
  <c r="L296" i="18"/>
  <c r="L365" i="18"/>
  <c r="L228" i="18"/>
  <c r="L255" i="18"/>
  <c r="L52" i="18"/>
  <c r="L119" i="18"/>
  <c r="L189" i="18"/>
  <c r="L200" i="18"/>
  <c r="M200" i="18" s="1"/>
  <c r="L116" i="18"/>
  <c r="M116" i="18" s="1"/>
  <c r="L724" i="18"/>
  <c r="L594" i="18"/>
  <c r="L830" i="18"/>
  <c r="L843" i="18"/>
  <c r="L748" i="18"/>
  <c r="L629" i="18"/>
  <c r="L655" i="18"/>
  <c r="M655" i="18" s="1"/>
  <c r="E328" i="16"/>
  <c r="L974" i="18"/>
  <c r="L1053" i="18"/>
  <c r="L718" i="18"/>
  <c r="L1014" i="18"/>
  <c r="L793" i="18"/>
  <c r="L782" i="18"/>
  <c r="L708" i="18"/>
  <c r="L862" i="18"/>
  <c r="L798" i="18"/>
  <c r="L650" i="18"/>
  <c r="L578" i="18"/>
  <c r="L593" i="18"/>
  <c r="M593" i="18" s="1"/>
  <c r="L738" i="18"/>
  <c r="L792" i="18"/>
  <c r="L948" i="18"/>
  <c r="M948" i="18" s="1"/>
  <c r="L725" i="18"/>
  <c r="L605" i="18"/>
  <c r="L812" i="18"/>
  <c r="L681" i="18"/>
  <c r="L995" i="18"/>
  <c r="L787" i="18"/>
  <c r="L840" i="18"/>
  <c r="L772" i="18"/>
  <c r="L563" i="18"/>
  <c r="L802" i="18"/>
  <c r="L964" i="18"/>
  <c r="L834" i="18"/>
  <c r="L1060" i="18"/>
  <c r="M1060" i="18" s="1"/>
  <c r="L872" i="18"/>
  <c r="L933" i="18"/>
  <c r="M933" i="18" s="1"/>
  <c r="L778" i="18"/>
  <c r="M778" i="18" s="1"/>
  <c r="E370" i="16"/>
  <c r="L752" i="18"/>
  <c r="L940" i="18"/>
  <c r="L885" i="18"/>
  <c r="L710" i="18"/>
  <c r="L997" i="18"/>
  <c r="L762" i="18"/>
  <c r="L804" i="18"/>
  <c r="L808" i="18"/>
  <c r="L815" i="18"/>
  <c r="L823" i="18"/>
  <c r="M823" i="18" s="1"/>
  <c r="L645" i="18"/>
  <c r="L912" i="18"/>
  <c r="M912" i="18" s="1"/>
  <c r="L998" i="18"/>
  <c r="L953" i="18"/>
  <c r="M953" i="18" s="1"/>
  <c r="L929" i="18"/>
  <c r="M929" i="18" s="1"/>
  <c r="L753" i="18"/>
  <c r="L686" i="18"/>
  <c r="L736" i="18"/>
  <c r="L643" i="18"/>
  <c r="L900" i="18"/>
  <c r="L561" i="18"/>
  <c r="L730" i="18"/>
  <c r="L683" i="18"/>
  <c r="L875" i="18"/>
  <c r="L770" i="18"/>
  <c r="L1029" i="18"/>
  <c r="M1029" i="18" s="1"/>
  <c r="L906" i="18"/>
  <c r="L1058" i="18"/>
  <c r="M1058" i="18" s="1"/>
  <c r="L698" i="18"/>
  <c r="L621" i="18"/>
  <c r="M621" i="18" s="1"/>
  <c r="J544" i="18"/>
  <c r="L796" i="18"/>
  <c r="L1050" i="18"/>
  <c r="L978" i="18"/>
  <c r="L1057" i="18"/>
  <c r="M1057" i="18" s="1"/>
  <c r="L638" i="18"/>
  <c r="L674" i="18"/>
  <c r="E366" i="16"/>
  <c r="L697" i="18"/>
  <c r="M697" i="18" s="1"/>
  <c r="L619" i="18"/>
  <c r="L688" i="18"/>
  <c r="L890" i="18"/>
  <c r="M890" i="18" s="1"/>
  <c r="L775" i="18"/>
  <c r="L703" i="18"/>
  <c r="M703" i="18" s="1"/>
  <c r="B88" i="5"/>
  <c r="B90" i="5" s="1"/>
  <c r="B3" i="18" s="1"/>
  <c r="L1059" i="18"/>
  <c r="M1059" i="18" s="1"/>
  <c r="L897" i="18"/>
  <c r="M897" i="18" s="1"/>
  <c r="L926" i="18"/>
  <c r="L624" i="18"/>
  <c r="L755" i="18"/>
  <c r="M755" i="18" s="1"/>
  <c r="L602" i="18"/>
  <c r="L647" i="18"/>
  <c r="L715" i="18"/>
  <c r="L695" i="18"/>
  <c r="M695" i="18" s="1"/>
  <c r="L661" i="18"/>
  <c r="L701" i="18"/>
  <c r="L1052" i="18"/>
  <c r="M1052" i="18" s="1"/>
  <c r="E250" i="16"/>
  <c r="J546" i="18"/>
  <c r="E47" i="16"/>
  <c r="F15" i="18"/>
  <c r="E372" i="16"/>
  <c r="E373" i="16"/>
  <c r="E371" i="16"/>
  <c r="E369" i="16"/>
  <c r="E367" i="16"/>
  <c r="E368" i="16"/>
  <c r="E248" i="16"/>
  <c r="E168" i="16"/>
  <c r="E170" i="16"/>
  <c r="E327" i="16"/>
  <c r="E93" i="16"/>
  <c r="J13" i="18"/>
  <c r="E7" i="16"/>
  <c r="J10" i="18"/>
  <c r="E51" i="16"/>
  <c r="E172" i="16"/>
  <c r="E12" i="16"/>
  <c r="E10" i="16"/>
  <c r="M55" i="5"/>
  <c r="M78" i="5" s="1"/>
  <c r="M97" i="5" s="1"/>
  <c r="H55" i="5"/>
  <c r="H78" i="5" s="1"/>
  <c r="H97" i="5" s="1"/>
  <c r="H98" i="5" s="1"/>
  <c r="B163" i="16" s="1"/>
  <c r="F55" i="5"/>
  <c r="F78" i="5" s="1"/>
  <c r="F97" i="5" s="1"/>
  <c r="F98" i="5" s="1"/>
  <c r="B83" i="16" s="1"/>
  <c r="F537" i="18"/>
  <c r="E537" i="18"/>
  <c r="B147" i="16"/>
  <c r="B55" i="5"/>
  <c r="B78" i="5" s="1"/>
  <c r="B97" i="5" s="1"/>
  <c r="B99" i="5" s="1"/>
  <c r="B28" i="16" s="1"/>
  <c r="L55" i="5"/>
  <c r="L78" i="5" s="1"/>
  <c r="L97" i="5" s="1"/>
  <c r="L99" i="5" s="1"/>
  <c r="B348" i="16" s="1"/>
  <c r="J539" i="18"/>
  <c r="L539" i="18"/>
  <c r="K539" i="18"/>
  <c r="C28" i="5"/>
  <c r="C29" i="5"/>
  <c r="I55" i="5"/>
  <c r="I78" i="5" s="1"/>
  <c r="I97" i="5" s="1"/>
  <c r="I99" i="5" s="1"/>
  <c r="B228" i="16" s="1"/>
  <c r="L60" i="5"/>
  <c r="L64" i="5"/>
  <c r="L61" i="5"/>
  <c r="L62" i="5"/>
  <c r="L69" i="5"/>
  <c r="L56" i="5"/>
  <c r="L67" i="5"/>
  <c r="L54" i="5"/>
  <c r="B67" i="5"/>
  <c r="B64" i="5"/>
  <c r="B60" i="5"/>
  <c r="B54" i="5"/>
  <c r="B62" i="5"/>
  <c r="B56" i="5"/>
  <c r="B61" i="5"/>
  <c r="M96" i="5"/>
  <c r="H61" i="5"/>
  <c r="H56" i="5"/>
  <c r="H54" i="5"/>
  <c r="H60" i="5"/>
  <c r="H69" i="5"/>
  <c r="H62" i="5"/>
  <c r="H64" i="5"/>
  <c r="H67" i="5"/>
  <c r="F1057" i="18"/>
  <c r="F607" i="18"/>
  <c r="K607" i="18" s="1"/>
  <c r="F690" i="18"/>
  <c r="F981" i="18"/>
  <c r="F774" i="18"/>
  <c r="F1052" i="18"/>
  <c r="F891" i="18"/>
  <c r="F920" i="18"/>
  <c r="F1055" i="18"/>
  <c r="F830" i="18"/>
  <c r="F698" i="18"/>
  <c r="F895" i="18"/>
  <c r="F656" i="18"/>
  <c r="F701" i="18"/>
  <c r="F941" i="18"/>
  <c r="F660" i="18"/>
  <c r="F861" i="18"/>
  <c r="F808" i="18"/>
  <c r="K808" i="18" s="1"/>
  <c r="F585" i="18"/>
  <c r="K585" i="18" s="1"/>
  <c r="F619" i="18"/>
  <c r="F865" i="18"/>
  <c r="F650" i="18"/>
  <c r="F1014" i="18"/>
  <c r="F842" i="18"/>
  <c r="F931" i="18"/>
  <c r="F734" i="18"/>
  <c r="F940" i="18"/>
  <c r="F863" i="18"/>
  <c r="K863" i="18" s="1"/>
  <c r="F609" i="18"/>
  <c r="K609" i="18" s="1"/>
  <c r="F910" i="18"/>
  <c r="F918" i="18"/>
  <c r="F799" i="18"/>
  <c r="F764" i="18"/>
  <c r="F822" i="18"/>
  <c r="F1019" i="18"/>
  <c r="F904" i="18"/>
  <c r="F866" i="18"/>
  <c r="F911" i="18"/>
  <c r="F659" i="18"/>
  <c r="F653" i="18"/>
  <c r="F676" i="18"/>
  <c r="F996" i="18"/>
  <c r="F1016" i="18"/>
  <c r="F883" i="18"/>
  <c r="F798" i="18"/>
  <c r="F640" i="18"/>
  <c r="K640" i="18" s="1"/>
  <c r="F871" i="18"/>
  <c r="F899" i="18"/>
  <c r="F722" i="18"/>
  <c r="F680" i="18"/>
  <c r="K680" i="18" s="1"/>
  <c r="F616" i="18"/>
  <c r="K616" i="18" s="1"/>
  <c r="F593" i="18"/>
  <c r="K593" i="18" s="1"/>
  <c r="F934" i="18"/>
  <c r="F845" i="18"/>
  <c r="F869" i="18"/>
  <c r="F1059" i="18"/>
  <c r="F818" i="18"/>
  <c r="F766" i="18"/>
  <c r="F641" i="18"/>
  <c r="F993" i="18"/>
  <c r="F589" i="18"/>
  <c r="F642" i="18"/>
  <c r="F828" i="18"/>
  <c r="F771" i="18"/>
  <c r="F908" i="18"/>
  <c r="F816" i="18"/>
  <c r="K816" i="18" s="1"/>
  <c r="F802" i="18"/>
  <c r="F647" i="18"/>
  <c r="K647" i="18" s="1"/>
  <c r="F859" i="18"/>
  <c r="F848" i="18"/>
  <c r="F581" i="18"/>
  <c r="F825" i="18"/>
  <c r="F839" i="18"/>
  <c r="K839" i="18" s="1"/>
  <c r="F932" i="18"/>
  <c r="F1010" i="18"/>
  <c r="F1003" i="18"/>
  <c r="F669" i="18"/>
  <c r="F951" i="18"/>
  <c r="K951" i="18" s="1"/>
  <c r="F695" i="18"/>
  <c r="K695" i="18" s="1"/>
  <c r="F811" i="18"/>
  <c r="F704" i="18"/>
  <c r="K704" i="18" s="1"/>
  <c r="F917" i="18"/>
  <c r="F749" i="18"/>
  <c r="F843" i="18"/>
  <c r="F1009" i="18"/>
  <c r="F628" i="18"/>
  <c r="F819" i="18"/>
  <c r="F679" i="18"/>
  <c r="K679" i="18" s="1"/>
  <c r="F661" i="18"/>
  <c r="F855" i="18"/>
  <c r="K855" i="18" s="1"/>
  <c r="F821" i="18"/>
  <c r="F804" i="18"/>
  <c r="F570" i="18"/>
  <c r="K570" i="18" s="1"/>
  <c r="E538" i="18"/>
  <c r="F1035" i="18"/>
  <c r="F925" i="18"/>
  <c r="F697" i="18"/>
  <c r="K697" i="18" s="1"/>
  <c r="F674" i="18"/>
  <c r="F874" i="18"/>
  <c r="F973" i="18"/>
  <c r="F624" i="18"/>
  <c r="K624" i="18" s="1"/>
  <c r="F801" i="18"/>
  <c r="F901" i="18"/>
  <c r="F1042" i="18"/>
  <c r="F970" i="18"/>
  <c r="F667" i="18"/>
  <c r="F557" i="18"/>
  <c r="F806" i="18"/>
  <c r="F847" i="18"/>
  <c r="K847" i="18" s="1"/>
  <c r="F560" i="18"/>
  <c r="K560" i="18" s="1"/>
  <c r="F938" i="18"/>
  <c r="F838" i="18"/>
  <c r="F1040" i="18"/>
  <c r="F623" i="18"/>
  <c r="K623" i="18" s="1"/>
  <c r="F665" i="18"/>
  <c r="F600" i="18"/>
  <c r="K600" i="18" s="1"/>
  <c r="F954" i="18"/>
  <c r="F692" i="18"/>
  <c r="F957" i="18"/>
  <c r="F613" i="18"/>
  <c r="F814" i="18"/>
  <c r="F1047" i="18"/>
  <c r="F1034" i="18"/>
  <c r="F826" i="18"/>
  <c r="F889" i="18"/>
  <c r="F807" i="18"/>
  <c r="K807" i="18" s="1"/>
  <c r="F622" i="18"/>
  <c r="F902" i="18"/>
  <c r="F739" i="18"/>
  <c r="F879" i="18"/>
  <c r="F604" i="18"/>
  <c r="F707" i="18"/>
  <c r="F646" i="18"/>
  <c r="F584" i="18"/>
  <c r="K584" i="18" s="1"/>
  <c r="F610" i="18"/>
  <c r="F829" i="18"/>
  <c r="F939" i="18"/>
  <c r="F621" i="18"/>
  <c r="F937" i="18"/>
  <c r="F718" i="18"/>
  <c r="F906" i="18"/>
  <c r="F576" i="18"/>
  <c r="K576" i="18" s="1"/>
  <c r="F850" i="18"/>
  <c r="F717" i="18"/>
  <c r="F888" i="18"/>
  <c r="F1002" i="18"/>
  <c r="F733" i="18"/>
  <c r="F1023" i="18"/>
  <c r="F1044" i="18"/>
  <c r="F979" i="18"/>
  <c r="F853" i="18"/>
  <c r="F905" i="18"/>
  <c r="F958" i="18"/>
  <c r="F784" i="18"/>
  <c r="F810" i="18"/>
  <c r="F578" i="18"/>
  <c r="K578" i="18" s="1"/>
  <c r="F748" i="18"/>
  <c r="F678" i="18"/>
  <c r="F831" i="18"/>
  <c r="K831" i="18" s="1"/>
  <c r="F754" i="18"/>
  <c r="F592" i="18"/>
  <c r="K592" i="18" s="1"/>
  <c r="F877" i="18"/>
  <c r="F1005" i="18"/>
  <c r="F566" i="18"/>
  <c r="F1001" i="18"/>
  <c r="F571" i="18"/>
  <c r="F785" i="18"/>
  <c r="F965" i="18"/>
  <c r="F903" i="18"/>
  <c r="F1037" i="18"/>
  <c r="F990" i="18"/>
  <c r="F767" i="18"/>
  <c r="K767" i="18" s="1"/>
  <c r="F962" i="18"/>
  <c r="F881" i="18"/>
  <c r="F1021" i="18"/>
  <c r="F930" i="18"/>
  <c r="F710" i="18"/>
  <c r="F953" i="18"/>
  <c r="F561" i="18"/>
  <c r="K561" i="18" s="1"/>
  <c r="F1018" i="18"/>
  <c r="F712" i="18"/>
  <c r="K712" i="18" s="1"/>
  <c r="F765" i="18"/>
  <c r="F554" i="18"/>
  <c r="K554" i="18" s="1"/>
  <c r="F573" i="18"/>
  <c r="F736" i="18"/>
  <c r="K736" i="18" s="1"/>
  <c r="F629" i="18"/>
  <c r="F862" i="18"/>
  <c r="F998" i="18"/>
  <c r="F985" i="18"/>
  <c r="F673" i="18"/>
  <c r="F946" i="18"/>
  <c r="F793" i="18"/>
  <c r="F1046" i="18"/>
  <c r="F795" i="18"/>
  <c r="F702" i="18"/>
  <c r="F706" i="18"/>
  <c r="F860" i="18"/>
  <c r="F577" i="18"/>
  <c r="K577" i="18" s="1"/>
  <c r="F703" i="18"/>
  <c r="K703" i="18" s="1"/>
  <c r="F878" i="18"/>
  <c r="F800" i="18"/>
  <c r="F645" i="18"/>
  <c r="F683" i="18"/>
  <c r="F835" i="18"/>
  <c r="F569" i="18"/>
  <c r="K569" i="18" s="1"/>
  <c r="F919" i="18"/>
  <c r="F677" i="18"/>
  <c r="F1011" i="18"/>
  <c r="F644" i="18"/>
  <c r="F927" i="18"/>
  <c r="F1056" i="18"/>
  <c r="F844" i="18"/>
  <c r="F615" i="18"/>
  <c r="K615" i="18" s="1"/>
  <c r="F668" i="18"/>
  <c r="F1012" i="18"/>
  <c r="F686" i="18"/>
  <c r="F923" i="18"/>
  <c r="F725" i="18"/>
  <c r="F1013" i="18"/>
  <c r="F851" i="18"/>
  <c r="F763" i="18"/>
  <c r="F723" i="18"/>
  <c r="F654" i="18"/>
  <c r="F1036" i="18"/>
  <c r="F743" i="18"/>
  <c r="K743" i="18" s="1"/>
  <c r="F1025" i="18"/>
  <c r="F976" i="18"/>
  <c r="F797" i="18"/>
  <c r="F887" i="18"/>
  <c r="F781" i="18"/>
  <c r="F755" i="18"/>
  <c r="F579" i="18"/>
  <c r="F583" i="18"/>
  <c r="K583" i="18" s="1"/>
  <c r="F1017" i="18"/>
  <c r="F854" i="18"/>
  <c r="F796" i="18"/>
  <c r="F832" i="18"/>
  <c r="K832" i="18" s="1"/>
  <c r="F638" i="18"/>
  <c r="F696" i="18"/>
  <c r="K696" i="18" s="1"/>
  <c r="F924" i="18"/>
  <c r="F708" i="18"/>
  <c r="F960" i="18"/>
  <c r="F626" i="18"/>
  <c r="F682" i="18"/>
  <c r="F928" i="18"/>
  <c r="F681" i="18"/>
  <c r="K681" i="18" s="1"/>
  <c r="F1000" i="18"/>
  <c r="F982" i="18"/>
  <c r="F580" i="18"/>
  <c r="F1053" i="18"/>
  <c r="F758" i="18"/>
  <c r="F595" i="18"/>
  <c r="F689" i="18"/>
  <c r="K689" i="18" s="1"/>
  <c r="F562" i="18"/>
  <c r="K562" i="18" s="1"/>
  <c r="F1039" i="18"/>
  <c r="F728" i="18"/>
  <c r="K728" i="18" s="1"/>
  <c r="F587" i="18"/>
  <c r="F618" i="18"/>
  <c r="F714" i="18"/>
  <c r="F997" i="18"/>
  <c r="F987" i="18"/>
  <c r="F967" i="18"/>
  <c r="F564" i="18"/>
  <c r="F553" i="18"/>
  <c r="K553" i="18" s="1"/>
  <c r="F633" i="18"/>
  <c r="F709" i="18"/>
  <c r="F779" i="18"/>
  <c r="F791" i="18"/>
  <c r="F935" i="18"/>
  <c r="K935" i="18" s="1"/>
  <c r="F974" i="18"/>
  <c r="F897" i="18"/>
  <c r="F984" i="18"/>
  <c r="F720" i="18"/>
  <c r="K720" i="18" s="1"/>
  <c r="F907" i="18"/>
  <c r="F572" i="18"/>
  <c r="F603" i="18"/>
  <c r="F711" i="18"/>
  <c r="K711" i="18" s="1"/>
  <c r="F772" i="18"/>
  <c r="F959" i="18"/>
  <c r="K959" i="18" s="1"/>
  <c r="F873" i="18"/>
  <c r="F705" i="18"/>
  <c r="K705" i="18" s="1"/>
  <c r="F594" i="18"/>
  <c r="F837" i="18"/>
  <c r="F726" i="18"/>
  <c r="F746" i="18"/>
  <c r="F599" i="18"/>
  <c r="K599" i="18" s="1"/>
  <c r="F614" i="18"/>
  <c r="F827" i="18"/>
  <c r="F890" i="18"/>
  <c r="F574" i="18"/>
  <c r="F700" i="18"/>
  <c r="F933" i="18"/>
  <c r="F1028" i="18"/>
  <c r="F945" i="18"/>
  <c r="F896" i="18"/>
  <c r="F643" i="18"/>
  <c r="F1032" i="18"/>
  <c r="F961" i="18"/>
  <c r="F632" i="18"/>
  <c r="K632" i="18" s="1"/>
  <c r="F995" i="18"/>
  <c r="F867" i="18"/>
  <c r="F778" i="18"/>
  <c r="F999" i="18"/>
  <c r="F893" i="18"/>
  <c r="F1038" i="18"/>
  <c r="F688" i="18"/>
  <c r="K688" i="18" s="1"/>
  <c r="F1015" i="18"/>
  <c r="F1004" i="18"/>
  <c r="F1058" i="18"/>
  <c r="F1007" i="18"/>
  <c r="F944" i="18"/>
  <c r="F1050" i="18"/>
  <c r="F972" i="18"/>
  <c r="F792" i="18"/>
  <c r="F652" i="18"/>
  <c r="F1026" i="18"/>
  <c r="F684" i="18"/>
  <c r="F635" i="18"/>
  <c r="F724" i="18"/>
  <c r="F555" i="18"/>
  <c r="F817" i="18"/>
  <c r="F761" i="18"/>
  <c r="F782" i="18"/>
  <c r="F969" i="18"/>
  <c r="F1008" i="18"/>
  <c r="F1049" i="18"/>
  <c r="F988" i="18"/>
  <c r="F731" i="18"/>
  <c r="F1061" i="18"/>
  <c r="F675" i="18"/>
  <c r="F756" i="18"/>
  <c r="F582" i="18"/>
  <c r="F809" i="18"/>
  <c r="F949" i="18"/>
  <c r="F852" i="18"/>
  <c r="F929" i="18"/>
  <c r="F892" i="18"/>
  <c r="F687" i="18"/>
  <c r="K687" i="18" s="1"/>
  <c r="F964" i="18"/>
  <c r="F757" i="18"/>
  <c r="F586" i="18"/>
  <c r="F926" i="18"/>
  <c r="F858" i="18"/>
  <c r="F1029" i="18"/>
  <c r="F913" i="18"/>
  <c r="F719" i="18"/>
  <c r="K719" i="18" s="1"/>
  <c r="F737" i="18"/>
  <c r="F783" i="18"/>
  <c r="F833" i="18"/>
  <c r="F966" i="18"/>
  <c r="F1054" i="18"/>
  <c r="F914" i="18"/>
  <c r="F606" i="18"/>
  <c r="F1022" i="18"/>
  <c r="F936" i="18"/>
  <c r="F882" i="18"/>
  <c r="F794" i="18"/>
  <c r="F1041" i="18"/>
  <c r="F747" i="18"/>
  <c r="F745" i="18"/>
  <c r="F630" i="18"/>
  <c r="F741" i="18"/>
  <c r="F753" i="18"/>
  <c r="F716" i="18"/>
  <c r="F805" i="18"/>
  <c r="F1006" i="18"/>
  <c r="F1051" i="18"/>
  <c r="F769" i="18"/>
  <c r="F631" i="18"/>
  <c r="K631" i="18" s="1"/>
  <c r="F971" i="18"/>
  <c r="F777" i="18"/>
  <c r="F922" i="18"/>
  <c r="F963" i="18"/>
  <c r="F657" i="18"/>
  <c r="F834" i="18"/>
  <c r="F1030" i="18"/>
  <c r="F975" i="18"/>
  <c r="F915" i="18"/>
  <c r="F803" i="18"/>
  <c r="F823" i="18"/>
  <c r="K823" i="18" s="1"/>
  <c r="F563" i="18"/>
  <c r="F978" i="18"/>
  <c r="F948" i="18"/>
  <c r="F651" i="18"/>
  <c r="F721" i="18"/>
  <c r="F713" i="18"/>
  <c r="F664" i="18"/>
  <c r="F588" i="18"/>
  <c r="F950" i="18"/>
  <c r="F649" i="18"/>
  <c r="F694" i="18"/>
  <c r="F760" i="18"/>
  <c r="F775" i="18"/>
  <c r="F552" i="18"/>
  <c r="K552" i="18" s="1"/>
  <c r="F947" i="18"/>
  <c r="F956" i="18"/>
  <c r="F762" i="18"/>
  <c r="F636" i="18"/>
  <c r="F730" i="18"/>
  <c r="F812" i="18"/>
  <c r="F989" i="18"/>
  <c r="F841" i="18"/>
  <c r="F884" i="18"/>
  <c r="F685" i="18"/>
  <c r="F773" i="18"/>
  <c r="F735" i="18"/>
  <c r="K735" i="18" s="1"/>
  <c r="F662" i="18"/>
  <c r="F909" i="18"/>
  <c r="F648" i="18"/>
  <c r="F575" i="18"/>
  <c r="K575" i="18" s="1"/>
  <c r="F666" i="18"/>
  <c r="F894" i="18"/>
  <c r="F598" i="18"/>
  <c r="F655" i="18"/>
  <c r="K655" i="18" s="1"/>
  <c r="F625" i="18"/>
  <c r="F738" i="18"/>
  <c r="F815" i="18"/>
  <c r="K815" i="18" s="1"/>
  <c r="F872" i="18"/>
  <c r="F559" i="18"/>
  <c r="K559" i="18" s="1"/>
  <c r="F658" i="18"/>
  <c r="F744" i="18"/>
  <c r="F912" i="18"/>
  <c r="F699" i="18"/>
  <c r="F768" i="18"/>
  <c r="F789" i="18"/>
  <c r="F849" i="18"/>
  <c r="F813" i="18"/>
  <c r="F1045" i="18"/>
  <c r="F824" i="18"/>
  <c r="K824" i="18" s="1"/>
  <c r="F732" i="18"/>
  <c r="F565" i="18"/>
  <c r="F786" i="18"/>
  <c r="F671" i="18"/>
  <c r="K671" i="18" s="1"/>
  <c r="F750" i="18"/>
  <c r="F597" i="18"/>
  <c r="F790" i="18"/>
  <c r="F740" i="18"/>
  <c r="F663" i="18"/>
  <c r="K663" i="18" s="1"/>
  <c r="F556" i="18"/>
  <c r="F727" i="18"/>
  <c r="K727" i="18" s="1"/>
  <c r="F620" i="18"/>
  <c r="F840" i="18"/>
  <c r="F567" i="18"/>
  <c r="K567" i="18" s="1"/>
  <c r="F787" i="18"/>
  <c r="F568" i="18"/>
  <c r="K568" i="18" s="1"/>
  <c r="F942" i="18"/>
  <c r="F898" i="18"/>
  <c r="F538" i="18"/>
  <c r="F886" i="18"/>
  <c r="F994" i="18"/>
  <c r="F1024" i="18"/>
  <c r="F968" i="18"/>
  <c r="F1031" i="18"/>
  <c r="F634" i="18"/>
  <c r="F1043" i="18"/>
  <c r="F637" i="18"/>
  <c r="F955" i="18"/>
  <c r="F900" i="18"/>
  <c r="F952" i="18"/>
  <c r="F885" i="18"/>
  <c r="F856" i="18"/>
  <c r="F608" i="18"/>
  <c r="K608" i="18" s="1"/>
  <c r="F820" i="18"/>
  <c r="F639" i="18"/>
  <c r="K639" i="18" s="1"/>
  <c r="F551" i="18"/>
  <c r="K551" i="18" s="1"/>
  <c r="F977" i="18"/>
  <c r="F986" i="18"/>
  <c r="F612" i="18"/>
  <c r="F770" i="18"/>
  <c r="F846" i="18"/>
  <c r="F836" i="18"/>
  <c r="F751" i="18"/>
  <c r="K751" i="18" s="1"/>
  <c r="F693" i="18"/>
  <c r="F752" i="18"/>
  <c r="F602" i="18"/>
  <c r="F868" i="18"/>
  <c r="F759" i="18"/>
  <c r="K759" i="18" s="1"/>
  <c r="F605" i="18"/>
  <c r="F980" i="18"/>
  <c r="F1062" i="18"/>
  <c r="F992" i="18"/>
  <c r="F875" i="18"/>
  <c r="F596" i="18"/>
  <c r="F742" i="18"/>
  <c r="F921" i="18"/>
  <c r="F601" i="18"/>
  <c r="K601" i="18" s="1"/>
  <c r="F776" i="18"/>
  <c r="F670" i="18"/>
  <c r="F715" i="18"/>
  <c r="F611" i="18"/>
  <c r="F672" i="18"/>
  <c r="F1033" i="18"/>
  <c r="F788" i="18"/>
  <c r="F729" i="18"/>
  <c r="F558" i="18"/>
  <c r="F880" i="18"/>
  <c r="F1060" i="18"/>
  <c r="F983" i="18"/>
  <c r="F943" i="18"/>
  <c r="K943" i="18" s="1"/>
  <c r="F1020" i="18"/>
  <c r="F991" i="18"/>
  <c r="F870" i="18"/>
  <c r="F617" i="18"/>
  <c r="F876" i="18"/>
  <c r="F591" i="18"/>
  <c r="K591" i="18" s="1"/>
  <c r="F916" i="18"/>
  <c r="F627" i="18"/>
  <c r="F1048" i="18"/>
  <c r="F1027" i="18"/>
  <c r="F590" i="18"/>
  <c r="F864" i="18"/>
  <c r="F691" i="18"/>
  <c r="F857" i="18"/>
  <c r="F780" i="18"/>
  <c r="E536" i="18"/>
  <c r="F536" i="18"/>
  <c r="K55" i="5"/>
  <c r="K78" i="5" s="1"/>
  <c r="K97" i="5" s="1"/>
  <c r="K99" i="5" s="1"/>
  <c r="B308" i="16" s="1"/>
  <c r="B387" i="16"/>
  <c r="B124" i="16"/>
  <c r="E133" i="16" s="1"/>
  <c r="K56" i="5"/>
  <c r="K54" i="5"/>
  <c r="K62" i="5"/>
  <c r="K67" i="5"/>
  <c r="K64" i="5"/>
  <c r="K60" i="5"/>
  <c r="K69" i="5"/>
  <c r="K61" i="5"/>
  <c r="B285" i="16"/>
  <c r="J55" i="5"/>
  <c r="J78" i="5" s="1"/>
  <c r="J97" i="5" s="1"/>
  <c r="J99" i="5" s="1"/>
  <c r="B268" i="16" s="1"/>
  <c r="J54" i="5"/>
  <c r="J64" i="5"/>
  <c r="J69" i="5"/>
  <c r="J62" i="5"/>
  <c r="J67" i="5"/>
  <c r="J60" i="5"/>
  <c r="J56" i="5"/>
  <c r="J61" i="5"/>
  <c r="B204" i="16"/>
  <c r="E209" i="16" s="1"/>
  <c r="E55" i="5"/>
  <c r="E78" i="5" s="1"/>
  <c r="E97" i="5" s="1"/>
  <c r="D55" i="5"/>
  <c r="D78" i="5" s="1"/>
  <c r="D97" i="5" s="1"/>
  <c r="D98" i="5" s="1"/>
  <c r="F56" i="5"/>
  <c r="F64" i="5"/>
  <c r="F67" i="5"/>
  <c r="F69" i="5"/>
  <c r="F54" i="5"/>
  <c r="F62" i="5"/>
  <c r="F61" i="5"/>
  <c r="F60" i="5"/>
  <c r="K96" i="5"/>
  <c r="G91" i="5"/>
  <c r="G92" i="5" s="1"/>
  <c r="E64" i="5"/>
  <c r="E67" i="5"/>
  <c r="E68" i="5"/>
  <c r="E61" i="5"/>
  <c r="E60" i="5"/>
  <c r="E56" i="5"/>
  <c r="E54" i="5"/>
  <c r="E62" i="5"/>
  <c r="M61" i="5"/>
  <c r="M62" i="5"/>
  <c r="M69" i="5"/>
  <c r="M54" i="5"/>
  <c r="M64" i="5"/>
  <c r="M60" i="5"/>
  <c r="M56" i="5"/>
  <c r="M67" i="5"/>
  <c r="D67" i="5"/>
  <c r="D61" i="5"/>
  <c r="D54" i="5"/>
  <c r="D62" i="5"/>
  <c r="D56" i="5"/>
  <c r="D64" i="5"/>
  <c r="D68" i="5"/>
  <c r="D60" i="5"/>
  <c r="E247" i="16"/>
  <c r="E9" i="16"/>
  <c r="E8" i="16"/>
  <c r="L714" i="18"/>
  <c r="M714" i="18" s="1"/>
  <c r="L579" i="18"/>
  <c r="M579" i="18" s="1"/>
  <c r="L1020" i="18"/>
  <c r="M1020" i="18" s="1"/>
  <c r="L832" i="18"/>
  <c r="M832" i="18" s="1"/>
  <c r="L969" i="18"/>
  <c r="M969" i="18" s="1"/>
  <c r="L666" i="18"/>
  <c r="M666" i="18" s="1"/>
  <c r="L1028" i="18"/>
  <c r="M1028" i="18" s="1"/>
  <c r="L789" i="18"/>
  <c r="M789" i="18" s="1"/>
  <c r="L633" i="18"/>
  <c r="M633" i="18" s="1"/>
  <c r="L967" i="18"/>
  <c r="M967" i="18" s="1"/>
  <c r="L1031" i="18"/>
  <c r="M1031" i="18" s="1"/>
  <c r="L877" i="18"/>
  <c r="M877" i="18" s="1"/>
  <c r="L599" i="18"/>
  <c r="M599" i="18" s="1"/>
  <c r="L606" i="18"/>
  <c r="M606" i="18" s="1"/>
  <c r="L945" i="18"/>
  <c r="M945" i="18" s="1"/>
  <c r="L759" i="18"/>
  <c r="M759" i="18" s="1"/>
  <c r="L1019" i="18"/>
  <c r="M1019" i="18" s="1"/>
  <c r="L896" i="18"/>
  <c r="M896" i="18" s="1"/>
  <c r="L826" i="18"/>
  <c r="M826" i="18" s="1"/>
  <c r="L675" i="18"/>
  <c r="M675" i="18" s="1"/>
  <c r="L991" i="18"/>
  <c r="M991" i="18" s="1"/>
  <c r="L1000" i="18"/>
  <c r="M1000" i="18" s="1"/>
  <c r="L694" i="18"/>
  <c r="M694" i="18" s="1"/>
  <c r="L1018" i="18"/>
  <c r="M1018" i="18" s="1"/>
  <c r="L800" i="18"/>
  <c r="M800" i="18" s="1"/>
  <c r="L761" i="18"/>
  <c r="M761" i="18" s="1"/>
  <c r="L813" i="18"/>
  <c r="M813" i="18" s="1"/>
  <c r="L556" i="18"/>
  <c r="M556" i="18" s="1"/>
  <c r="L972" i="18"/>
  <c r="M972" i="18" s="1"/>
  <c r="L977" i="18"/>
  <c r="M977" i="18" s="1"/>
  <c r="L670" i="18"/>
  <c r="M670" i="18" s="1"/>
  <c r="L588" i="18"/>
  <c r="M588" i="18" s="1"/>
  <c r="E252" i="16"/>
  <c r="E173" i="16"/>
  <c r="E251" i="16"/>
  <c r="M544" i="18"/>
  <c r="L765" i="18"/>
  <c r="M765" i="18" s="1"/>
  <c r="L567" i="18"/>
  <c r="M567" i="18" s="1"/>
  <c r="L696" i="18"/>
  <c r="M696" i="18" s="1"/>
  <c r="L766" i="18"/>
  <c r="M766" i="18" s="1"/>
  <c r="L719" i="18"/>
  <c r="L692" i="18"/>
  <c r="M692" i="18" s="1"/>
  <c r="L920" i="18"/>
  <c r="M920" i="18" s="1"/>
  <c r="L962" i="18"/>
  <c r="M962" i="18" s="1"/>
  <c r="L1039" i="18"/>
  <c r="M1039" i="18" s="1"/>
  <c r="L601" i="18"/>
  <c r="M601" i="18" s="1"/>
  <c r="L880" i="18"/>
  <c r="M880" i="18" s="1"/>
  <c r="L994" i="18"/>
  <c r="M994" i="18" s="1"/>
  <c r="L727" i="18"/>
  <c r="L1032" i="18"/>
  <c r="M1032" i="18" s="1"/>
  <c r="L857" i="18"/>
  <c r="M857" i="18" s="1"/>
  <c r="L684" i="18"/>
  <c r="M684" i="18" s="1"/>
  <c r="L613" i="18"/>
  <c r="M613" i="18" s="1"/>
  <c r="L595" i="18"/>
  <c r="M595" i="18" s="1"/>
  <c r="L609" i="18"/>
  <c r="M609" i="18" s="1"/>
  <c r="L889" i="18"/>
  <c r="M889" i="18" s="1"/>
  <c r="L763" i="18"/>
  <c r="L916" i="18"/>
  <c r="M916" i="18" s="1"/>
  <c r="L881" i="18"/>
  <c r="M881" i="18" s="1"/>
  <c r="L932" i="18"/>
  <c r="M932" i="18" s="1"/>
  <c r="L592" i="18"/>
  <c r="M592" i="18" s="1"/>
  <c r="L586" i="18"/>
  <c r="M586" i="18" s="1"/>
  <c r="L664" i="18"/>
  <c r="M664" i="18" s="1"/>
  <c r="L824" i="18"/>
  <c r="M824" i="18" s="1"/>
  <c r="L984" i="18"/>
  <c r="M984" i="18" s="1"/>
  <c r="L825" i="18"/>
  <c r="M825" i="18" s="1"/>
  <c r="L861" i="18"/>
  <c r="M861" i="18" s="1"/>
  <c r="L585" i="18"/>
  <c r="M585" i="18" s="1"/>
  <c r="E249" i="16"/>
  <c r="E171" i="16"/>
  <c r="L745" i="18"/>
  <c r="M745" i="18" s="1"/>
  <c r="L732" i="18"/>
  <c r="M732" i="18" s="1"/>
  <c r="L678" i="18"/>
  <c r="M678" i="18" s="1"/>
  <c r="L895" i="18"/>
  <c r="M895" i="18" s="1"/>
  <c r="L600" i="18"/>
  <c r="M600" i="18" s="1"/>
  <c r="L657" i="18"/>
  <c r="M657" i="18" s="1"/>
  <c r="L642" i="18"/>
  <c r="M642" i="18" s="1"/>
  <c r="L844" i="18"/>
  <c r="M844" i="18" s="1"/>
  <c r="L831" i="18"/>
  <c r="M831" i="18" s="1"/>
  <c r="L849" i="18"/>
  <c r="M849" i="18" s="1"/>
  <c r="L795" i="18"/>
  <c r="M795" i="18" s="1"/>
  <c r="L1003" i="18"/>
  <c r="M1003" i="18" s="1"/>
  <c r="L774" i="18"/>
  <c r="M774" i="18" s="1"/>
  <c r="L1033" i="18"/>
  <c r="M1033" i="18" s="1"/>
  <c r="L559" i="18"/>
  <c r="M559" i="18" s="1"/>
  <c r="L944" i="18"/>
  <c r="M944" i="18" s="1"/>
  <c r="L986" i="18"/>
  <c r="M986" i="18" s="1"/>
  <c r="L644" i="18"/>
  <c r="M644" i="18" s="1"/>
  <c r="L910" i="18"/>
  <c r="M910" i="18" s="1"/>
  <c r="L610" i="18"/>
  <c r="M610" i="18" s="1"/>
  <c r="L1042" i="18"/>
  <c r="M1042" i="18" s="1"/>
  <c r="L780" i="18"/>
  <c r="M780" i="18" s="1"/>
  <c r="L1044" i="18"/>
  <c r="M1044" i="18" s="1"/>
  <c r="L693" i="18"/>
  <c r="M693" i="18" s="1"/>
  <c r="L1047" i="18"/>
  <c r="M1047" i="18" s="1"/>
  <c r="L564" i="18"/>
  <c r="L1038" i="18"/>
  <c r="M1038" i="18" s="1"/>
  <c r="L973" i="18"/>
  <c r="M973" i="18" s="1"/>
  <c r="L612" i="18"/>
  <c r="M612" i="18" s="1"/>
  <c r="L786" i="18"/>
  <c r="M786" i="18" s="1"/>
  <c r="L616" i="18"/>
  <c r="M616" i="18" s="1"/>
  <c r="L566" i="18"/>
  <c r="M566" i="18" s="1"/>
  <c r="L580" i="18"/>
  <c r="M580" i="18" s="1"/>
  <c r="L816" i="18"/>
  <c r="M816" i="18" s="1"/>
  <c r="L883" i="18"/>
  <c r="M883" i="18" s="1"/>
  <c r="L757" i="18"/>
  <c r="M757" i="18" s="1"/>
  <c r="E246" i="16"/>
  <c r="E166" i="16"/>
  <c r="L577" i="18"/>
  <c r="M577" i="18" s="1"/>
  <c r="L665" i="18"/>
  <c r="M665" i="18" s="1"/>
  <c r="L923" i="18"/>
  <c r="M923" i="18" s="1"/>
  <c r="L700" i="18"/>
  <c r="M700" i="18" s="1"/>
  <c r="L788" i="18"/>
  <c r="M788" i="18" s="1"/>
  <c r="E169" i="16"/>
  <c r="L699" i="18"/>
  <c r="M699" i="18" s="1"/>
  <c r="L942" i="18"/>
  <c r="M942" i="18" s="1"/>
  <c r="L614" i="18"/>
  <c r="M614" i="18" s="1"/>
  <c r="L960" i="18"/>
  <c r="M960" i="18" s="1"/>
  <c r="L659" i="18"/>
  <c r="M659" i="18" s="1"/>
  <c r="L634" i="18"/>
  <c r="M634" i="18" s="1"/>
  <c r="L892" i="18"/>
  <c r="M892" i="18" s="1"/>
  <c r="L869" i="18"/>
  <c r="M869" i="18" s="1"/>
  <c r="L604" i="18"/>
  <c r="M604" i="18" s="1"/>
  <c r="L1004" i="18"/>
  <c r="M1004" i="18" s="1"/>
  <c r="L981" i="18"/>
  <c r="M981" i="18" s="1"/>
  <c r="L908" i="18"/>
  <c r="M908" i="18" s="1"/>
  <c r="L744" i="18"/>
  <c r="M744" i="18" s="1"/>
  <c r="L966" i="18"/>
  <c r="M966" i="18" s="1"/>
  <c r="L1017" i="18"/>
  <c r="M1017" i="18" s="1"/>
  <c r="L865" i="18"/>
  <c r="M865" i="18" s="1"/>
  <c r="L713" i="18"/>
  <c r="M713" i="18" s="1"/>
  <c r="L716" i="18"/>
  <c r="M716" i="18" s="1"/>
  <c r="L607" i="18"/>
  <c r="M607" i="18" s="1"/>
  <c r="L838" i="18"/>
  <c r="M838" i="18" s="1"/>
  <c r="L961" i="18"/>
  <c r="M961" i="18" s="1"/>
  <c r="L742" i="18"/>
  <c r="M742" i="18" s="1"/>
  <c r="L582" i="18"/>
  <c r="M582" i="18" s="1"/>
  <c r="L853" i="18"/>
  <c r="M853" i="18" s="1"/>
  <c r="L721" i="18"/>
  <c r="M721" i="18" s="1"/>
  <c r="L779" i="18"/>
  <c r="M779" i="18" s="1"/>
  <c r="L583" i="18"/>
  <c r="M583" i="18" s="1"/>
  <c r="L769" i="18"/>
  <c r="M769" i="18" s="1"/>
  <c r="L1055" i="18"/>
  <c r="M1055" i="18" s="1"/>
  <c r="L907" i="18"/>
  <c r="M907" i="18" s="1"/>
  <c r="L598" i="18"/>
  <c r="M598" i="18" s="1"/>
  <c r="L652" i="18"/>
  <c r="M652" i="18" s="1"/>
  <c r="L904" i="18"/>
  <c r="M904" i="18" s="1"/>
  <c r="L568" i="18"/>
  <c r="M568" i="18" s="1"/>
  <c r="L1001" i="18"/>
  <c r="M1001" i="18" s="1"/>
  <c r="L988" i="18"/>
  <c r="M988" i="18" s="1"/>
  <c r="L921" i="18"/>
  <c r="M921" i="18" s="1"/>
  <c r="E52" i="16"/>
  <c r="L794" i="18"/>
  <c r="M794" i="18" s="1"/>
  <c r="E253" i="16"/>
  <c r="L622" i="18"/>
  <c r="M622" i="18" s="1"/>
  <c r="L878" i="18"/>
  <c r="M878" i="18" s="1"/>
  <c r="L733" i="18"/>
  <c r="M733" i="18" s="1"/>
  <c r="L999" i="18"/>
  <c r="M999" i="18" s="1"/>
  <c r="L836" i="18"/>
  <c r="M836" i="18" s="1"/>
  <c r="L653" i="18"/>
  <c r="M653" i="18" s="1"/>
  <c r="L899" i="18"/>
  <c r="M899" i="18" s="1"/>
  <c r="L947" i="18"/>
  <c r="M947" i="18" s="1"/>
  <c r="L676" i="18"/>
  <c r="M676" i="18" s="1"/>
  <c r="L928" i="18"/>
  <c r="M928" i="18" s="1"/>
  <c r="L596" i="18"/>
  <c r="M596" i="18" s="1"/>
  <c r="L935" i="18"/>
  <c r="M935" i="18" s="1"/>
  <c r="L971" i="18"/>
  <c r="M971" i="18" s="1"/>
  <c r="L680" i="18"/>
  <c r="M680" i="18" s="1"/>
  <c r="L898" i="18"/>
  <c r="M898" i="18" s="1"/>
  <c r="L829" i="18"/>
  <c r="M829" i="18" s="1"/>
  <c r="L931" i="18"/>
  <c r="M931" i="18" s="1"/>
  <c r="L850" i="18"/>
  <c r="M850" i="18" s="1"/>
  <c r="L669" i="18"/>
  <c r="M669" i="18" s="1"/>
  <c r="L982" i="18"/>
  <c r="M982" i="18" s="1"/>
  <c r="L951" i="18"/>
  <c r="M951" i="18" s="1"/>
  <c r="L589" i="18"/>
  <c r="M589" i="18" s="1"/>
  <c r="L667" i="18"/>
  <c r="M667" i="18" s="1"/>
  <c r="L876" i="18"/>
  <c r="M876" i="18" s="1"/>
  <c r="L807" i="18"/>
  <c r="M807" i="18" s="1"/>
  <c r="L573" i="18"/>
  <c r="M573" i="18" s="1"/>
  <c r="L551" i="18"/>
  <c r="M551" i="18" s="1"/>
  <c r="L726" i="18"/>
  <c r="M726" i="18" s="1"/>
  <c r="L1037" i="18"/>
  <c r="M1037" i="18" s="1"/>
  <c r="L864" i="18"/>
  <c r="M864" i="18" s="1"/>
  <c r="L560" i="18"/>
  <c r="M560" i="18" s="1"/>
  <c r="L1025" i="18"/>
  <c r="M1025" i="18" s="1"/>
  <c r="L691" i="18"/>
  <c r="M691" i="18" s="1"/>
  <c r="E46" i="16"/>
  <c r="M10" i="18"/>
  <c r="L704" i="18"/>
  <c r="M704" i="18" s="1"/>
  <c r="L1035" i="18"/>
  <c r="M1035" i="18" s="1"/>
  <c r="L821" i="18"/>
  <c r="M821" i="18" s="1"/>
  <c r="L552" i="18"/>
  <c r="M552" i="18" s="1"/>
  <c r="L620" i="18"/>
  <c r="M620" i="18" s="1"/>
  <c r="L917" i="18"/>
  <c r="M917" i="18" s="1"/>
  <c r="L939" i="18"/>
  <c r="M939" i="18" s="1"/>
  <c r="L668" i="18"/>
  <c r="M668" i="18" s="1"/>
  <c r="E330" i="16"/>
  <c r="L905" i="18"/>
  <c r="M905" i="18" s="1"/>
  <c r="L1026" i="18"/>
  <c r="M1026" i="18" s="1"/>
  <c r="L749" i="18"/>
  <c r="M749" i="18" s="1"/>
  <c r="L919" i="18"/>
  <c r="M919" i="18" s="1"/>
  <c r="L636" i="18"/>
  <c r="M636" i="18" s="1"/>
  <c r="L685" i="18"/>
  <c r="M685" i="18" s="1"/>
  <c r="L873" i="18"/>
  <c r="L660" i="18"/>
  <c r="M660" i="18" s="1"/>
  <c r="L913" i="18"/>
  <c r="M913" i="18" s="1"/>
  <c r="L842" i="18"/>
  <c r="M842" i="18" s="1"/>
  <c r="L859" i="18"/>
  <c r="M859" i="18" s="1"/>
  <c r="L734" i="18"/>
  <c r="M734" i="18" s="1"/>
  <c r="L894" i="18"/>
  <c r="M894" i="18" s="1"/>
  <c r="L618" i="18"/>
  <c r="M618" i="18" s="1"/>
  <c r="L852" i="18"/>
  <c r="M852" i="18" s="1"/>
  <c r="L1005" i="18"/>
  <c r="M1005" i="18" s="1"/>
  <c r="L562" i="18"/>
  <c r="M562" i="18" s="1"/>
  <c r="L937" i="18"/>
  <c r="M937" i="18" s="1"/>
  <c r="L797" i="18"/>
  <c r="M797" i="18" s="1"/>
  <c r="L963" i="18"/>
  <c r="M963" i="18" s="1"/>
  <c r="L656" i="18"/>
  <c r="M656" i="18" s="1"/>
  <c r="L1049" i="18"/>
  <c r="M1049" i="18" s="1"/>
  <c r="L992" i="18"/>
  <c r="M992" i="18" s="1"/>
  <c r="L783" i="18"/>
  <c r="M783" i="18" s="1"/>
  <c r="L1046" i="18"/>
  <c r="M1046" i="18" s="1"/>
  <c r="L627" i="18"/>
  <c r="M627" i="18" s="1"/>
  <c r="L777" i="18"/>
  <c r="M777" i="18" s="1"/>
  <c r="L737" i="18"/>
  <c r="M737" i="18" s="1"/>
  <c r="L648" i="18"/>
  <c r="M648" i="18" s="1"/>
  <c r="L968" i="18"/>
  <c r="M968" i="18" s="1"/>
  <c r="L654" i="18"/>
  <c r="M654" i="18" s="1"/>
  <c r="L673" i="18"/>
  <c r="M673" i="18" s="1"/>
  <c r="E53" i="16"/>
  <c r="L1048" i="18"/>
  <c r="M1048" i="18" s="1"/>
  <c r="L751" i="18"/>
  <c r="M751" i="18" s="1"/>
  <c r="L1009" i="18"/>
  <c r="M1009" i="18" s="1"/>
  <c r="L1062" i="18"/>
  <c r="M1062" i="18" s="1"/>
  <c r="L690" i="18"/>
  <c r="M690" i="18" s="1"/>
  <c r="L957" i="18"/>
  <c r="M957" i="18" s="1"/>
  <c r="L930" i="18"/>
  <c r="M930" i="18" s="1"/>
  <c r="L833" i="18"/>
  <c r="M833" i="18" s="1"/>
  <c r="L663" i="18"/>
  <c r="M663" i="18" s="1"/>
  <c r="L1027" i="18"/>
  <c r="M1027" i="18" s="1"/>
  <c r="E331" i="16"/>
  <c r="L626" i="18"/>
  <c r="M626" i="18" s="1"/>
  <c r="L630" i="18"/>
  <c r="M630" i="18" s="1"/>
  <c r="L702" i="18"/>
  <c r="M702" i="18" s="1"/>
  <c r="L569" i="18"/>
  <c r="M569" i="18" s="1"/>
  <c r="L768" i="18"/>
  <c r="M768" i="18" s="1"/>
  <c r="L805" i="18"/>
  <c r="M805" i="18" s="1"/>
  <c r="L893" i="18"/>
  <c r="M893" i="18" s="1"/>
  <c r="L884" i="18"/>
  <c r="M884" i="18" s="1"/>
  <c r="L887" i="18"/>
  <c r="M887" i="18" s="1"/>
  <c r="L938" i="18"/>
  <c r="M938" i="18" s="1"/>
  <c r="L891" i="18"/>
  <c r="L682" i="18"/>
  <c r="M682" i="18" s="1"/>
  <c r="L934" i="18"/>
  <c r="M934" i="18" s="1"/>
  <c r="L1015" i="18"/>
  <c r="M1015" i="18" s="1"/>
  <c r="L956" i="18"/>
  <c r="M956" i="18" s="1"/>
  <c r="L1002" i="18"/>
  <c r="M1002" i="18" s="1"/>
  <c r="L743" i="18"/>
  <c r="M743" i="18" s="1"/>
  <c r="L790" i="18"/>
  <c r="M790" i="18" s="1"/>
  <c r="L866" i="18"/>
  <c r="M866" i="18" s="1"/>
  <c r="L631" i="18"/>
  <c r="M631" i="18" s="1"/>
  <c r="L814" i="18"/>
  <c r="M814" i="18" s="1"/>
  <c r="L625" i="18"/>
  <c r="M625" i="18" s="1"/>
  <c r="L989" i="18"/>
  <c r="M989" i="18" s="1"/>
  <c r="L639" i="18"/>
  <c r="M639" i="18" s="1"/>
  <c r="L617" i="18"/>
  <c r="M617" i="18" s="1"/>
  <c r="L677" i="18"/>
  <c r="M677" i="18" s="1"/>
  <c r="L575" i="18"/>
  <c r="L709" i="18"/>
  <c r="M709" i="18" s="1"/>
  <c r="L803" i="18"/>
  <c r="M803" i="18" s="1"/>
  <c r="L760" i="18"/>
  <c r="M760" i="18" s="1"/>
  <c r="L911" i="18"/>
  <c r="M911" i="18" s="1"/>
  <c r="L615" i="18"/>
  <c r="M615" i="18" s="1"/>
  <c r="E50" i="16"/>
  <c r="E6" i="16"/>
  <c r="L856" i="18"/>
  <c r="M856" i="18" s="1"/>
  <c r="L671" i="18"/>
  <c r="M671" i="18" s="1"/>
  <c r="L924" i="18"/>
  <c r="M924" i="18" s="1"/>
  <c r="L914" i="18"/>
  <c r="M914" i="18" s="1"/>
  <c r="L689" i="18"/>
  <c r="M689" i="18" s="1"/>
  <c r="L799" i="18"/>
  <c r="M799" i="18" s="1"/>
  <c r="L628" i="18"/>
  <c r="M628" i="18" s="1"/>
  <c r="L965" i="18"/>
  <c r="M965" i="18" s="1"/>
  <c r="E329" i="16"/>
  <c r="L584" i="18"/>
  <c r="M584" i="18" s="1"/>
  <c r="L555" i="18"/>
  <c r="M555" i="18" s="1"/>
  <c r="L846" i="18"/>
  <c r="M846" i="18" s="1"/>
  <c r="L882" i="18"/>
  <c r="M882" i="18" s="1"/>
  <c r="L927" i="18"/>
  <c r="M927" i="18" s="1"/>
  <c r="L909" i="18"/>
  <c r="M909" i="18" s="1"/>
  <c r="L902" i="18"/>
  <c r="M902" i="18" s="1"/>
  <c r="L1034" i="18"/>
  <c r="M1034" i="18" s="1"/>
  <c r="L993" i="18"/>
  <c r="M993" i="18" s="1"/>
  <c r="L915" i="18"/>
  <c r="M915" i="18" s="1"/>
  <c r="L712" i="18"/>
  <c r="M712" i="18" s="1"/>
  <c r="L841" i="18"/>
  <c r="M841" i="18" s="1"/>
  <c r="L946" i="18"/>
  <c r="M946" i="18" s="1"/>
  <c r="L1036" i="18"/>
  <c r="M1036" i="18" s="1"/>
  <c r="L879" i="18"/>
  <c r="M879" i="18" s="1"/>
  <c r="L1040" i="18"/>
  <c r="M1040" i="18" s="1"/>
  <c r="L936" i="18"/>
  <c r="M936" i="18" s="1"/>
  <c r="L557" i="18"/>
  <c r="M557" i="18" s="1"/>
  <c r="L985" i="18"/>
  <c r="M985" i="18" s="1"/>
  <c r="L959" i="18"/>
  <c r="M959" i="18" s="1"/>
  <c r="L1054" i="18"/>
  <c r="M1054" i="18" s="1"/>
  <c r="L858" i="18"/>
  <c r="M858" i="18" s="1"/>
  <c r="L979" i="18"/>
  <c r="M979" i="18" s="1"/>
  <c r="L1021" i="18"/>
  <c r="M1021" i="18" s="1"/>
  <c r="L1006" i="18"/>
  <c r="M1006" i="18" s="1"/>
  <c r="L590" i="18"/>
  <c r="M590" i="18" s="1"/>
  <c r="L847" i="18"/>
  <c r="M847" i="18" s="1"/>
  <c r="L871" i="18"/>
  <c r="M871" i="18" s="1"/>
  <c r="L958" i="18"/>
  <c r="M958" i="18" s="1"/>
  <c r="L741" i="18"/>
  <c r="M741" i="18" s="1"/>
  <c r="L735" i="18"/>
  <c r="M735" i="18" s="1"/>
  <c r="L707" i="18"/>
  <c r="M707" i="18" s="1"/>
  <c r="E48" i="16"/>
  <c r="E11" i="16"/>
  <c r="L941" i="18"/>
  <c r="M941" i="18" s="1"/>
  <c r="L837" i="18"/>
  <c r="M837" i="18" s="1"/>
  <c r="L570" i="18"/>
  <c r="M570" i="18" s="1"/>
  <c r="L1011" i="18"/>
  <c r="M1011" i="18" s="1"/>
  <c r="L970" i="18"/>
  <c r="M970" i="18" s="1"/>
  <c r="L818" i="18"/>
  <c r="M818" i="18" s="1"/>
  <c r="L848" i="18"/>
  <c r="M848" i="18" s="1"/>
  <c r="L809" i="18"/>
  <c r="M809" i="18" s="1"/>
  <c r="E326" i="16"/>
  <c r="L581" i="18"/>
  <c r="M581" i="18" s="1"/>
  <c r="L720" i="18"/>
  <c r="M720" i="18" s="1"/>
  <c r="L640" i="18"/>
  <c r="L901" i="18"/>
  <c r="M901" i="18" s="1"/>
  <c r="L1056" i="18"/>
  <c r="M1056" i="18" s="1"/>
  <c r="L954" i="18"/>
  <c r="M954" i="18" s="1"/>
  <c r="L822" i="18"/>
  <c r="M822" i="18" s="1"/>
  <c r="L723" i="18"/>
  <c r="M723" i="18" s="1"/>
  <c r="L603" i="18"/>
  <c r="M603" i="18" s="1"/>
  <c r="L987" i="18"/>
  <c r="M987" i="18" s="1"/>
  <c r="L1030" i="18"/>
  <c r="M1030" i="18" s="1"/>
  <c r="L811" i="18"/>
  <c r="M811" i="18" s="1"/>
  <c r="L623" i="18"/>
  <c r="M623" i="18" s="1"/>
  <c r="L785" i="18"/>
  <c r="M785" i="18" s="1"/>
  <c r="L1043" i="18"/>
  <c r="M1043" i="18" s="1"/>
  <c r="L975" i="18"/>
  <c r="M975" i="18" s="1"/>
  <c r="L781" i="18"/>
  <c r="M781" i="18" s="1"/>
  <c r="L868" i="18"/>
  <c r="M868" i="18" s="1"/>
  <c r="L870" i="18"/>
  <c r="M870" i="18" s="1"/>
  <c r="L574" i="18"/>
  <c r="M574" i="18" s="1"/>
  <c r="L855" i="18"/>
  <c r="M855" i="18" s="1"/>
  <c r="L886" i="18"/>
  <c r="M886" i="18" s="1"/>
  <c r="L646" i="18"/>
  <c r="M646" i="18" s="1"/>
  <c r="L771" i="18"/>
  <c r="M771" i="18" s="1"/>
  <c r="L976" i="18"/>
  <c r="M976" i="18" s="1"/>
  <c r="L750" i="18"/>
  <c r="M750" i="18" s="1"/>
  <c r="L874" i="18"/>
  <c r="M874" i="18" s="1"/>
  <c r="L591" i="18"/>
  <c r="M591" i="18" s="1"/>
  <c r="L784" i="18"/>
  <c r="M784" i="18" s="1"/>
  <c r="L687" i="18"/>
  <c r="M687" i="18" s="1"/>
  <c r="L801" i="18"/>
  <c r="M801" i="18" s="1"/>
  <c r="L641" i="18"/>
  <c r="M641" i="18" s="1"/>
  <c r="Y106" i="18"/>
  <c r="E49" i="16"/>
  <c r="E13" i="16"/>
  <c r="L565" i="18"/>
  <c r="M565" i="18" s="1"/>
  <c r="L943" i="18"/>
  <c r="M943" i="18" s="1"/>
  <c r="L576" i="18"/>
  <c r="M576" i="18" s="1"/>
  <c r="L949" i="18"/>
  <c r="M949" i="18" s="1"/>
  <c r="L554" i="18"/>
  <c r="M554" i="18" s="1"/>
  <c r="L888" i="18"/>
  <c r="M888" i="18" s="1"/>
  <c r="L828" i="18"/>
  <c r="M828" i="18" s="1"/>
  <c r="E333" i="16"/>
  <c r="L950" i="18"/>
  <c r="M950" i="18" s="1"/>
  <c r="L758" i="18"/>
  <c r="M758" i="18" s="1"/>
  <c r="L1041" i="18"/>
  <c r="M1041" i="18" s="1"/>
  <c r="L810" i="18"/>
  <c r="M810" i="18" s="1"/>
  <c r="L922" i="18"/>
  <c r="M922" i="18" s="1"/>
  <c r="L672" i="18"/>
  <c r="M672" i="18" s="1"/>
  <c r="L925" i="18"/>
  <c r="M925" i="18" s="1"/>
  <c r="L863" i="18"/>
  <c r="M863" i="18" s="1"/>
  <c r="L662" i="18"/>
  <c r="M662" i="18" s="1"/>
  <c r="L587" i="18"/>
  <c r="M587" i="18" s="1"/>
  <c r="L827" i="18"/>
  <c r="M827" i="18" s="1"/>
  <c r="L839" i="18"/>
  <c r="M839" i="18" s="1"/>
  <c r="L637" i="18"/>
  <c r="M637" i="18" s="1"/>
  <c r="L980" i="18"/>
  <c r="M980" i="18" s="1"/>
  <c r="L608" i="18"/>
  <c r="M608" i="18" s="1"/>
  <c r="L1008" i="18"/>
  <c r="M1008" i="18" s="1"/>
  <c r="L776" i="18"/>
  <c r="M776" i="18" s="1"/>
  <c r="L747" i="18"/>
  <c r="M747" i="18" s="1"/>
  <c r="L731" i="18"/>
  <c r="M731" i="18" s="1"/>
  <c r="L820" i="18"/>
  <c r="M820" i="18" s="1"/>
  <c r="L1023" i="18"/>
  <c r="M1023" i="18" s="1"/>
  <c r="L711" i="18"/>
  <c r="M711" i="18" s="1"/>
  <c r="L706" i="18"/>
  <c r="M706" i="18" s="1"/>
  <c r="L835" i="18"/>
  <c r="M835" i="18" s="1"/>
  <c r="L658" i="18"/>
  <c r="M658" i="18" s="1"/>
  <c r="L729" i="18"/>
  <c r="M729" i="18" s="1"/>
  <c r="L1045" i="18"/>
  <c r="M1045" i="18" s="1"/>
  <c r="L851" i="18"/>
  <c r="M851" i="18" s="1"/>
  <c r="L651" i="18"/>
  <c r="M651" i="18" s="1"/>
  <c r="L983" i="18"/>
  <c r="M983" i="18" s="1"/>
  <c r="L746" i="18"/>
  <c r="M746" i="18" s="1"/>
  <c r="L996" i="18"/>
  <c r="M996" i="18" s="1"/>
  <c r="L728" i="18"/>
  <c r="M728" i="18" s="1"/>
  <c r="L806" i="18"/>
  <c r="M806" i="18" s="1"/>
  <c r="L952" i="18"/>
  <c r="M952" i="18" s="1"/>
  <c r="L754" i="18"/>
  <c r="M754" i="18" s="1"/>
  <c r="L990" i="18"/>
  <c r="M990" i="18" s="1"/>
  <c r="L860" i="18"/>
  <c r="M860" i="18" s="1"/>
  <c r="L1013" i="18"/>
  <c r="M1013" i="18" s="1"/>
  <c r="L1012" i="18"/>
  <c r="M1012" i="18" s="1"/>
  <c r="L553" i="18"/>
  <c r="M553" i="18" s="1"/>
  <c r="L717" i="18"/>
  <c r="M717" i="18" s="1"/>
  <c r="L1022" i="18"/>
  <c r="M1022" i="18" s="1"/>
  <c r="L867" i="18"/>
  <c r="M867" i="18" s="1"/>
  <c r="L756" i="18"/>
  <c r="M756" i="18" s="1"/>
  <c r="L791" i="18"/>
  <c r="M791" i="18" s="1"/>
  <c r="L1007" i="18"/>
  <c r="M1007" i="18" s="1"/>
  <c r="L558" i="18"/>
  <c r="M558" i="18" s="1"/>
  <c r="L819" i="18"/>
  <c r="M819" i="18" s="1"/>
  <c r="L1010" i="18"/>
  <c r="M1010" i="18" s="1"/>
  <c r="L611" i="18"/>
  <c r="M611" i="18" s="1"/>
  <c r="L1051" i="18"/>
  <c r="M1051" i="18" s="1"/>
  <c r="L679" i="18"/>
  <c r="M679" i="18" s="1"/>
  <c r="L854" i="18"/>
  <c r="M854" i="18" s="1"/>
  <c r="L955" i="18"/>
  <c r="M955" i="18" s="1"/>
  <c r="L1061" i="18"/>
  <c r="M1061" i="18" s="1"/>
  <c r="L722" i="18"/>
  <c r="M722" i="18" s="1"/>
  <c r="L767" i="18"/>
  <c r="M767" i="18" s="1"/>
  <c r="L571" i="18"/>
  <c r="M571" i="18" s="1"/>
  <c r="L739" i="18"/>
  <c r="M739" i="18" s="1"/>
  <c r="L1024" i="18"/>
  <c r="M1024" i="18" s="1"/>
  <c r="L572" i="18"/>
  <c r="M572" i="18" s="1"/>
  <c r="L903" i="18"/>
  <c r="M903" i="18" s="1"/>
  <c r="L1016" i="18"/>
  <c r="M1016" i="18" s="1"/>
  <c r="L597" i="18"/>
  <c r="M597" i="18" s="1"/>
  <c r="L845" i="18"/>
  <c r="M845" i="18" s="1"/>
  <c r="L918" i="18"/>
  <c r="M918" i="18" s="1"/>
  <c r="L649" i="18"/>
  <c r="M649" i="18" s="1"/>
  <c r="L740" i="18"/>
  <c r="M740" i="18" s="1"/>
  <c r="L817" i="18"/>
  <c r="M817" i="18" s="1"/>
  <c r="E88" i="16"/>
  <c r="E89" i="16"/>
  <c r="E91" i="16"/>
  <c r="E90" i="16"/>
  <c r="E87" i="16"/>
  <c r="E92" i="16"/>
  <c r="E86" i="16"/>
  <c r="I67" i="5"/>
  <c r="I54" i="5"/>
  <c r="I62" i="5"/>
  <c r="I61" i="5"/>
  <c r="I64" i="5"/>
  <c r="I60" i="5"/>
  <c r="I56" i="5"/>
  <c r="I69" i="5"/>
  <c r="G54" i="5"/>
  <c r="G67" i="5"/>
  <c r="G62" i="5"/>
  <c r="G56" i="5"/>
  <c r="G61" i="5"/>
  <c r="G69" i="5"/>
  <c r="G64" i="5"/>
  <c r="G60" i="5"/>
  <c r="M196" i="18"/>
  <c r="M69" i="18"/>
  <c r="M310" i="18"/>
  <c r="M296" i="18"/>
  <c r="M213" i="18"/>
  <c r="M238" i="18"/>
  <c r="M476" i="18"/>
  <c r="M526" i="18"/>
  <c r="M415" i="18"/>
  <c r="M153" i="18"/>
  <c r="M179" i="18"/>
  <c r="M225" i="18"/>
  <c r="M398" i="18"/>
  <c r="M50" i="18"/>
  <c r="M522" i="18"/>
  <c r="Y179" i="18"/>
  <c r="M432" i="18"/>
  <c r="M332" i="18"/>
  <c r="M167" i="18"/>
  <c r="M342" i="18"/>
  <c r="M257" i="18"/>
  <c r="M515" i="18"/>
  <c r="M106" i="18"/>
  <c r="M231" i="18"/>
  <c r="M134" i="18"/>
  <c r="M351" i="18"/>
  <c r="M429" i="18"/>
  <c r="M407" i="18"/>
  <c r="M313" i="18"/>
  <c r="M102" i="18"/>
  <c r="M367" i="18"/>
  <c r="M290" i="18"/>
  <c r="M517" i="18"/>
  <c r="M873" i="18"/>
  <c r="M391" i="18"/>
  <c r="M404" i="18"/>
  <c r="M76" i="18"/>
  <c r="M171" i="18"/>
  <c r="M243" i="18"/>
  <c r="M44" i="18"/>
  <c r="M302" i="18"/>
  <c r="M315" i="18"/>
  <c r="M475" i="18"/>
  <c r="M237" i="18"/>
  <c r="M443" i="18"/>
  <c r="M442" i="18"/>
  <c r="M148" i="18"/>
  <c r="M63" i="18"/>
  <c r="M78" i="18"/>
  <c r="M326" i="18"/>
  <c r="M365" i="18"/>
  <c r="M228" i="18"/>
  <c r="M255" i="18"/>
  <c r="M52" i="18"/>
  <c r="M119" i="18"/>
  <c r="M253" i="18"/>
  <c r="M382" i="18"/>
  <c r="M891" i="18"/>
  <c r="M575" i="18"/>
  <c r="M66" i="18"/>
  <c r="M218" i="18"/>
  <c r="M139" i="18"/>
  <c r="M187" i="18"/>
  <c r="M447" i="18"/>
  <c r="M360" i="18"/>
  <c r="M51" i="18"/>
  <c r="M79" i="18"/>
  <c r="M55" i="18"/>
  <c r="M144" i="18"/>
  <c r="M529" i="18"/>
  <c r="M503" i="18"/>
  <c r="M75" i="18"/>
  <c r="M189" i="18"/>
  <c r="Y76" i="18"/>
  <c r="Y218" i="18"/>
  <c r="M117" i="18"/>
  <c r="M202" i="18"/>
  <c r="M222" i="18"/>
  <c r="M141" i="18"/>
  <c r="M65" i="18"/>
  <c r="M45" i="18"/>
  <c r="M205" i="18"/>
  <c r="M329" i="18"/>
  <c r="M454" i="18"/>
  <c r="M173" i="18"/>
  <c r="M507" i="18"/>
  <c r="M64" i="18"/>
  <c r="M378" i="18"/>
  <c r="M180" i="18"/>
  <c r="M87" i="18"/>
  <c r="M640" i="18"/>
  <c r="M164" i="18"/>
  <c r="M170" i="18"/>
  <c r="M506" i="18"/>
  <c r="M137" i="18"/>
  <c r="M471" i="18"/>
  <c r="M236" i="18"/>
  <c r="M263" i="18"/>
  <c r="M28" i="18"/>
  <c r="M262" i="18"/>
  <c r="M29" i="18"/>
  <c r="Y202" i="18"/>
  <c r="M366" i="18"/>
  <c r="M345" i="18"/>
  <c r="M406" i="18"/>
  <c r="M485" i="18"/>
  <c r="M273" i="18"/>
  <c r="M519" i="18"/>
  <c r="M165" i="18"/>
  <c r="M32" i="18"/>
  <c r="M494" i="18"/>
  <c r="M40" i="18"/>
  <c r="M459" i="18"/>
  <c r="M487" i="18"/>
  <c r="M428" i="18"/>
  <c r="M147" i="18"/>
  <c r="M468" i="18"/>
  <c r="M242" i="18"/>
  <c r="M199" i="18"/>
  <c r="M259" i="18"/>
  <c r="M462" i="18"/>
  <c r="M289" i="18"/>
  <c r="M89" i="18"/>
  <c r="M156" i="18"/>
  <c r="M217" i="18"/>
  <c r="M390" i="18"/>
  <c r="M461" i="18"/>
  <c r="M405" i="18"/>
  <c r="M478" i="18"/>
  <c r="M439" i="18"/>
  <c r="M493" i="18"/>
  <c r="M322" i="18"/>
  <c r="M325" i="18"/>
  <c r="Y187" i="18"/>
  <c r="Y28" i="18"/>
  <c r="M98" i="5"/>
  <c r="B363" i="16" s="1"/>
  <c r="M99" i="5"/>
  <c r="B388" i="16" s="1"/>
  <c r="M602" i="18"/>
  <c r="M166" i="18"/>
  <c r="M285" i="18"/>
  <c r="M387" i="18"/>
  <c r="M92" i="18"/>
  <c r="M146" i="18"/>
  <c r="M472" i="18"/>
  <c r="M440" i="18"/>
  <c r="M294" i="18"/>
  <c r="M105" i="18"/>
  <c r="M157" i="18"/>
  <c r="M426" i="18"/>
  <c r="M466" i="18"/>
  <c r="M412" i="18"/>
  <c r="M422" i="18"/>
  <c r="M421" i="18"/>
  <c r="M57" i="18"/>
  <c r="M142" i="18"/>
  <c r="M37" i="18"/>
  <c r="Y52" i="18"/>
  <c r="M793" i="18"/>
  <c r="M940" i="18"/>
  <c r="M386" i="18"/>
  <c r="M319" i="18"/>
  <c r="M201" i="18"/>
  <c r="M31" i="18"/>
  <c r="M370" i="18"/>
  <c r="M497" i="18"/>
  <c r="M363" i="18"/>
  <c r="M394" i="18"/>
  <c r="M358" i="18"/>
  <c r="M72" i="18"/>
  <c r="M320" i="18"/>
  <c r="M254" i="18"/>
  <c r="Y66" i="18"/>
  <c r="M752" i="18"/>
  <c r="M796" i="18"/>
  <c r="M647" i="18"/>
  <c r="M787" i="18"/>
  <c r="M561" i="18"/>
  <c r="M1014" i="18"/>
  <c r="M753" i="18"/>
  <c r="M605" i="18"/>
  <c r="M183" i="18"/>
  <c r="M25" i="18"/>
  <c r="M353" i="18"/>
  <c r="M84" i="18"/>
  <c r="M22" i="18"/>
  <c r="M160" i="18"/>
  <c r="M357" i="18"/>
  <c r="M341" i="18"/>
  <c r="M71" i="18"/>
  <c r="M195" i="18"/>
  <c r="M49" i="18"/>
  <c r="M419" i="18"/>
  <c r="M508" i="18"/>
  <c r="M420" i="18"/>
  <c r="M318" i="18"/>
  <c r="M33" i="18"/>
  <c r="M27" i="18"/>
  <c r="M512" i="18"/>
  <c r="Y44" i="18"/>
  <c r="Y170" i="18"/>
  <c r="H99" i="5"/>
  <c r="B188" i="16" s="1"/>
  <c r="M1053" i="18"/>
  <c r="M710" i="18"/>
  <c r="M995" i="18"/>
  <c r="M997" i="18"/>
  <c r="M674" i="18"/>
  <c r="M430" i="18"/>
  <c r="M220" i="18"/>
  <c r="M301" i="18"/>
  <c r="M233" i="18"/>
  <c r="M311" i="18"/>
  <c r="M347" i="18"/>
  <c r="M346" i="18"/>
  <c r="M356" i="18"/>
  <c r="M491" i="18"/>
  <c r="M495" i="18"/>
  <c r="M438" i="18"/>
  <c r="M388" i="18"/>
  <c r="M338" i="18"/>
  <c r="M335" i="18"/>
  <c r="M470" i="18"/>
  <c r="M343" i="18"/>
  <c r="M974" i="18"/>
  <c r="M812" i="18"/>
  <c r="M978" i="18"/>
  <c r="M736" i="18"/>
  <c r="M681" i="18"/>
  <c r="M719" i="18"/>
  <c r="M727" i="18"/>
  <c r="M763" i="18"/>
  <c r="Y171" i="18"/>
  <c r="M58" i="18"/>
  <c r="M276" i="18"/>
  <c r="M308" i="18"/>
  <c r="M511" i="18"/>
  <c r="M361" i="18"/>
  <c r="M333" i="18"/>
  <c r="M437" i="18"/>
  <c r="M140" i="18"/>
  <c r="M30" i="18"/>
  <c r="M354" i="18"/>
  <c r="M451" i="18"/>
  <c r="Y138" i="18"/>
  <c r="Y58" i="18"/>
  <c r="Y45" i="18"/>
  <c r="M638" i="18"/>
  <c r="M900" i="18"/>
  <c r="M725" i="18"/>
  <c r="M624" i="18"/>
  <c r="M524" i="18"/>
  <c r="M208" i="18"/>
  <c r="M402" i="18"/>
  <c r="M223" i="18"/>
  <c r="M26" i="18"/>
  <c r="M53" i="18"/>
  <c r="M143" i="18"/>
  <c r="M215" i="18"/>
  <c r="M385" i="18"/>
  <c r="M152" i="18"/>
  <c r="M270" i="18"/>
  <c r="M293" i="18"/>
  <c r="M414" i="18"/>
  <c r="Y51" i="18"/>
  <c r="Y147" i="18"/>
  <c r="M1050" i="18"/>
  <c r="M926" i="18"/>
  <c r="M686" i="18"/>
  <c r="M564" i="18"/>
  <c r="M85" i="18"/>
  <c r="M431" i="18"/>
  <c r="M401" i="18"/>
  <c r="M193" i="18"/>
  <c r="M43" i="18"/>
  <c r="M297" i="18"/>
  <c r="M392" i="18"/>
  <c r="M525" i="18"/>
  <c r="M479" i="18"/>
  <c r="M260" i="18"/>
  <c r="M150" i="18"/>
  <c r="M130" i="18"/>
  <c r="M453" i="18"/>
  <c r="M505" i="18"/>
  <c r="M287" i="18"/>
  <c r="M101" i="18"/>
  <c r="M221" i="18"/>
  <c r="M188" i="18"/>
  <c r="Y146" i="18"/>
  <c r="E99" i="5"/>
  <c r="E98" i="5"/>
  <c r="L63" i="5"/>
  <c r="M63" i="5"/>
  <c r="G94" i="5"/>
  <c r="G53" i="5"/>
  <c r="J63" i="5"/>
  <c r="K63" i="5"/>
  <c r="I63" i="5"/>
  <c r="H63" i="5"/>
  <c r="F63" i="5"/>
  <c r="G63" i="5"/>
  <c r="D63" i="5"/>
  <c r="E63" i="5"/>
  <c r="C52" i="5"/>
  <c r="C53" i="5"/>
  <c r="B63" i="5"/>
  <c r="M705" i="18" l="1"/>
  <c r="M792" i="18"/>
  <c r="M314" i="18"/>
  <c r="M629" i="18"/>
  <c r="M772" i="18"/>
  <c r="M21" i="18"/>
  <c r="Y34" i="18"/>
  <c r="M20" i="18"/>
  <c r="M843" i="18"/>
  <c r="M964" i="18"/>
  <c r="M764" i="18"/>
  <c r="M635" i="18"/>
  <c r="N635" i="18" s="1"/>
  <c r="E208" i="16"/>
  <c r="M210" i="18"/>
  <c r="M773" i="18"/>
  <c r="N773" i="18" s="1"/>
  <c r="M59" i="18"/>
  <c r="N59" i="18" s="1"/>
  <c r="M194" i="18"/>
  <c r="N194" i="18" s="1"/>
  <c r="Y283" i="18"/>
  <c r="M82" i="18"/>
  <c r="N82" i="18" s="1"/>
  <c r="M299" i="18"/>
  <c r="N299" i="18" s="1"/>
  <c r="M83" i="18"/>
  <c r="N83" i="18" s="1"/>
  <c r="Y107" i="18"/>
  <c r="M632" i="18"/>
  <c r="N632" i="18" s="1"/>
  <c r="M19" i="18"/>
  <c r="N19" i="18" s="1"/>
  <c r="M234" i="18"/>
  <c r="N234" i="18" s="1"/>
  <c r="M42" i="18"/>
  <c r="N42" i="18" s="1"/>
  <c r="M154" i="18"/>
  <c r="N154" i="18" s="1"/>
  <c r="M410" i="18"/>
  <c r="N410" i="18" s="1"/>
  <c r="M650" i="18"/>
  <c r="N650" i="18" s="1"/>
  <c r="M594" i="18"/>
  <c r="N594" i="18" s="1"/>
  <c r="M683" i="18"/>
  <c r="N683" i="18" s="1"/>
  <c r="M804" i="18"/>
  <c r="N804" i="18" s="1"/>
  <c r="M708" i="18"/>
  <c r="N708" i="18" s="1"/>
  <c r="M643" i="18"/>
  <c r="N643" i="18" s="1"/>
  <c r="M885" i="18"/>
  <c r="N885" i="18" s="1"/>
  <c r="M718" i="18"/>
  <c r="N718" i="18" s="1"/>
  <c r="E374" i="16"/>
  <c r="Y275" i="18"/>
  <c r="M74" i="18"/>
  <c r="N74" i="18" s="1"/>
  <c r="M274" i="18"/>
  <c r="N274" i="18" s="1"/>
  <c r="Y98" i="18"/>
  <c r="Y172" i="18"/>
  <c r="M186" i="18"/>
  <c r="N186" i="18" s="1"/>
  <c r="M291" i="18"/>
  <c r="N291" i="18" s="1"/>
  <c r="Y330" i="18"/>
  <c r="M178" i="18"/>
  <c r="N178" i="18" s="1"/>
  <c r="Y162" i="18"/>
  <c r="M18" i="18"/>
  <c r="N18" i="18" s="1"/>
  <c r="M306" i="18"/>
  <c r="N306" i="18" s="1"/>
  <c r="M122" i="18"/>
  <c r="N122" i="18" s="1"/>
  <c r="M35" i="18"/>
  <c r="N35" i="18" s="1"/>
  <c r="Y60" i="18"/>
  <c r="M418" i="18"/>
  <c r="N418" i="18" s="1"/>
  <c r="M91" i="18"/>
  <c r="N91" i="18" s="1"/>
  <c r="M226" i="18"/>
  <c r="N226" i="18" s="1"/>
  <c r="Y90" i="18"/>
  <c r="M282" i="18"/>
  <c r="N282" i="18" s="1"/>
  <c r="M114" i="18"/>
  <c r="N114" i="18" s="1"/>
  <c r="M298" i="18"/>
  <c r="N298" i="18" s="1"/>
  <c r="M698" i="18"/>
  <c r="N698" i="18" s="1"/>
  <c r="M998" i="18"/>
  <c r="N998" i="18" s="1"/>
  <c r="M872" i="18"/>
  <c r="N872" i="18" s="1"/>
  <c r="M738" i="18"/>
  <c r="N738" i="18" s="1"/>
  <c r="M748" i="18"/>
  <c r="N748" i="18" s="1"/>
  <c r="M775" i="18"/>
  <c r="N775" i="18" s="1"/>
  <c r="M906" i="18"/>
  <c r="N906" i="18" s="1"/>
  <c r="M645" i="18"/>
  <c r="N645" i="18" s="1"/>
  <c r="M834" i="18"/>
  <c r="N834" i="18" s="1"/>
  <c r="M578" i="18"/>
  <c r="N578" i="18" s="1"/>
  <c r="M830" i="18"/>
  <c r="N830" i="18" s="1"/>
  <c r="M701" i="18"/>
  <c r="N701" i="18" s="1"/>
  <c r="M688" i="18"/>
  <c r="N688" i="18" s="1"/>
  <c r="M770" i="18"/>
  <c r="M815" i="18"/>
  <c r="N815" i="18" s="1"/>
  <c r="M802" i="18"/>
  <c r="N802" i="18" s="1"/>
  <c r="M798" i="18"/>
  <c r="N798" i="18" s="1"/>
  <c r="M724" i="18"/>
  <c r="M661" i="18"/>
  <c r="N661" i="18" s="1"/>
  <c r="M619" i="18"/>
  <c r="N619" i="18" s="1"/>
  <c r="M875" i="18"/>
  <c r="N875" i="18" s="1"/>
  <c r="M808" i="18"/>
  <c r="N808" i="18" s="1"/>
  <c r="M563" i="18"/>
  <c r="N563" i="18" s="1"/>
  <c r="M862" i="18"/>
  <c r="N862" i="18" s="1"/>
  <c r="E212" i="16"/>
  <c r="M715" i="18"/>
  <c r="N715" i="18" s="1"/>
  <c r="M730" i="18"/>
  <c r="N730" i="18" s="1"/>
  <c r="M762" i="18"/>
  <c r="N762" i="18" s="1"/>
  <c r="M840" i="18"/>
  <c r="N840" i="18" s="1"/>
  <c r="M782" i="18"/>
  <c r="N782" i="18" s="1"/>
  <c r="M36" i="18"/>
  <c r="N36" i="18" s="1"/>
  <c r="M203" i="18"/>
  <c r="N203" i="18" s="1"/>
  <c r="Y68" i="18"/>
  <c r="Y67" i="18"/>
  <c r="Y163" i="18"/>
  <c r="Y155" i="18"/>
  <c r="Y99" i="18"/>
  <c r="L98" i="5"/>
  <c r="B323" i="16" s="1"/>
  <c r="G345" i="16" s="1"/>
  <c r="E213" i="16"/>
  <c r="E207" i="16"/>
  <c r="E206" i="16"/>
  <c r="F99" i="5"/>
  <c r="B108" i="16" s="1"/>
  <c r="F86" i="16" s="1"/>
  <c r="E211" i="16"/>
  <c r="E210" i="16"/>
  <c r="K98" i="5"/>
  <c r="B283" i="16" s="1"/>
  <c r="J306" i="16" s="1"/>
  <c r="B98" i="5"/>
  <c r="B3" i="16" s="1"/>
  <c r="G6" i="16" s="1"/>
  <c r="J98" i="5"/>
  <c r="B243" i="16" s="1"/>
  <c r="G246" i="16" s="1"/>
  <c r="E174" i="16"/>
  <c r="E54" i="16"/>
  <c r="E254" i="16"/>
  <c r="D99" i="5"/>
  <c r="E131" i="16"/>
  <c r="I98" i="5"/>
  <c r="B203" i="16" s="1"/>
  <c r="F205" i="16" s="1"/>
  <c r="E14" i="16"/>
  <c r="E334" i="16"/>
  <c r="B77" i="5"/>
  <c r="B103" i="5" s="1"/>
  <c r="B105" i="5" s="1"/>
  <c r="C55" i="5"/>
  <c r="C78" i="5" s="1"/>
  <c r="C97" i="5" s="1"/>
  <c r="C54" i="5"/>
  <c r="C67" i="5"/>
  <c r="C61" i="5"/>
  <c r="C62" i="5"/>
  <c r="C60" i="5"/>
  <c r="C64" i="5"/>
  <c r="C56" i="5"/>
  <c r="E77" i="5"/>
  <c r="D77" i="5"/>
  <c r="H77" i="5"/>
  <c r="H103" i="5" s="1"/>
  <c r="H105" i="5" s="1"/>
  <c r="K77" i="5"/>
  <c r="K103" i="5" s="1"/>
  <c r="K121" i="5" s="1"/>
  <c r="J77" i="5"/>
  <c r="J103" i="5" s="1"/>
  <c r="J121" i="5" s="1"/>
  <c r="G55" i="5"/>
  <c r="G78" i="5" s="1"/>
  <c r="G97" i="5" s="1"/>
  <c r="G98" i="5" s="1"/>
  <c r="B123" i="16" s="1"/>
  <c r="L77" i="5"/>
  <c r="L103" i="5" s="1"/>
  <c r="L105" i="5" s="1"/>
  <c r="F77" i="5"/>
  <c r="F103" i="5" s="1"/>
  <c r="F121" i="5" s="1"/>
  <c r="M77" i="5"/>
  <c r="M103" i="5" s="1"/>
  <c r="M105" i="5" s="1"/>
  <c r="E128" i="16"/>
  <c r="E290" i="16"/>
  <c r="E288" i="16"/>
  <c r="E293" i="16"/>
  <c r="E292" i="16"/>
  <c r="E287" i="16"/>
  <c r="E286" i="16"/>
  <c r="E291" i="16"/>
  <c r="E289" i="16"/>
  <c r="E127" i="16"/>
  <c r="E126" i="16"/>
  <c r="E132" i="16"/>
  <c r="E130" i="16"/>
  <c r="E129" i="16"/>
  <c r="E94" i="16"/>
  <c r="N895" i="18"/>
  <c r="N997" i="18"/>
  <c r="N123" i="18"/>
  <c r="N529" i="18"/>
  <c r="N187" i="18"/>
  <c r="N617" i="18"/>
  <c r="N887" i="18"/>
  <c r="N913" i="18"/>
  <c r="N34" i="18"/>
  <c r="N101" i="18"/>
  <c r="N511" i="18"/>
  <c r="N592" i="18"/>
  <c r="N613" i="18"/>
  <c r="N1039" i="18"/>
  <c r="N765" i="18"/>
  <c r="N633" i="18"/>
  <c r="N974" i="18"/>
  <c r="N229" i="18"/>
  <c r="N131" i="18"/>
  <c r="N1058" i="18"/>
  <c r="N318" i="18"/>
  <c r="N605" i="18"/>
  <c r="N53" i="18"/>
  <c r="N786" i="18"/>
  <c r="N270" i="18"/>
  <c r="N26" i="18"/>
  <c r="N368" i="18"/>
  <c r="N690" i="18"/>
  <c r="N665" i="18"/>
  <c r="N751" i="18"/>
  <c r="N1048" i="18"/>
  <c r="N481" i="18"/>
  <c r="N970" i="18"/>
  <c r="N354" i="18"/>
  <c r="N308" i="18"/>
  <c r="N343" i="18"/>
  <c r="N457" i="18"/>
  <c r="N349" i="18"/>
  <c r="N826" i="18"/>
  <c r="N189" i="16"/>
  <c r="N191" i="16" s="1"/>
  <c r="F170" i="16"/>
  <c r="L172" i="16"/>
  <c r="F165" i="16"/>
  <c r="J185" i="16"/>
  <c r="J172" i="16"/>
  <c r="I170" i="16"/>
  <c r="K186" i="16"/>
  <c r="F184" i="16"/>
  <c r="L187" i="16"/>
  <c r="H172" i="16"/>
  <c r="F167" i="16"/>
  <c r="G172" i="16"/>
  <c r="I168" i="16"/>
  <c r="I171" i="16"/>
  <c r="G187" i="16"/>
  <c r="H168" i="16"/>
  <c r="I186" i="16"/>
  <c r="K188" i="16"/>
  <c r="L188" i="16"/>
  <c r="J171" i="16"/>
  <c r="F181" i="16"/>
  <c r="H184" i="16"/>
  <c r="J188" i="16"/>
  <c r="H189" i="16"/>
  <c r="M188" i="16"/>
  <c r="I189" i="16"/>
  <c r="F186" i="16"/>
  <c r="F171" i="16"/>
  <c r="H183" i="16"/>
  <c r="J189" i="16"/>
  <c r="F182" i="16"/>
  <c r="H188" i="16"/>
  <c r="G182" i="16"/>
  <c r="F173" i="16"/>
  <c r="I172" i="16"/>
  <c r="J169" i="16"/>
  <c r="K173" i="16"/>
  <c r="H173" i="16"/>
  <c r="G171" i="16"/>
  <c r="J187" i="16"/>
  <c r="G173" i="16"/>
  <c r="G167" i="16"/>
  <c r="H187" i="16"/>
  <c r="L189" i="16"/>
  <c r="K189" i="16"/>
  <c r="F188" i="16"/>
  <c r="F169" i="16"/>
  <c r="K187" i="16"/>
  <c r="K172" i="16"/>
  <c r="N173" i="16"/>
  <c r="N175" i="16" s="1"/>
  <c r="I173" i="16"/>
  <c r="F183" i="16"/>
  <c r="I187" i="16"/>
  <c r="F172" i="16"/>
  <c r="H185" i="16"/>
  <c r="K171" i="16"/>
  <c r="G188" i="16"/>
  <c r="M172" i="16"/>
  <c r="H186" i="16"/>
  <c r="G184" i="16"/>
  <c r="H170" i="16"/>
  <c r="I185" i="16"/>
  <c r="H169" i="16"/>
  <c r="G185" i="16"/>
  <c r="F189" i="16"/>
  <c r="K170" i="16"/>
  <c r="J170" i="16"/>
  <c r="J173" i="16"/>
  <c r="J186" i="16"/>
  <c r="G170" i="16"/>
  <c r="F168" i="16"/>
  <c r="G186" i="16"/>
  <c r="M189" i="16"/>
  <c r="I169" i="16"/>
  <c r="L173" i="16"/>
  <c r="I188" i="16"/>
  <c r="F185" i="16"/>
  <c r="H171" i="16"/>
  <c r="H167" i="16"/>
  <c r="G168" i="16"/>
  <c r="F187" i="16"/>
  <c r="G169" i="16"/>
  <c r="M173" i="16"/>
  <c r="L171" i="16"/>
  <c r="I184" i="16"/>
  <c r="G183" i="16"/>
  <c r="G189" i="16"/>
  <c r="N292" i="18"/>
  <c r="N159" i="18"/>
  <c r="N48" i="18"/>
  <c r="N1016" i="18"/>
  <c r="N558" i="18"/>
  <c r="N199" i="18"/>
  <c r="N519" i="18"/>
  <c r="N851" i="18"/>
  <c r="N839" i="18"/>
  <c r="N668" i="18"/>
  <c r="N416" i="18"/>
  <c r="N559" i="18"/>
  <c r="N448" i="18"/>
  <c r="N431" i="18"/>
  <c r="N350" i="18"/>
  <c r="N276" i="18"/>
  <c r="N585" i="18"/>
  <c r="N932" i="18"/>
  <c r="N684" i="18"/>
  <c r="N962" i="18"/>
  <c r="N1018" i="18"/>
  <c r="N666" i="18"/>
  <c r="N823" i="18"/>
  <c r="N860" i="18"/>
  <c r="N470" i="18"/>
  <c r="N588" i="18"/>
  <c r="N1019" i="18"/>
  <c r="N703" i="18"/>
  <c r="N142" i="18"/>
  <c r="N41" i="18"/>
  <c r="N500" i="18"/>
  <c r="N721" i="18"/>
  <c r="N604" i="18"/>
  <c r="N957" i="18"/>
  <c r="N1044" i="18"/>
  <c r="N287" i="18"/>
  <c r="N1033" i="18"/>
  <c r="N399" i="18"/>
  <c r="N612" i="18"/>
  <c r="N774" i="18"/>
  <c r="N600" i="18"/>
  <c r="N118" i="18"/>
  <c r="N239" i="18"/>
  <c r="N223" i="18"/>
  <c r="N321" i="18"/>
  <c r="N552" i="18"/>
  <c r="N821" i="18"/>
  <c r="N1035" i="18"/>
  <c r="N704" i="18"/>
  <c r="N655" i="18"/>
  <c r="N638" i="18"/>
  <c r="J379" i="18"/>
  <c r="K379" i="18" s="1"/>
  <c r="J300" i="18"/>
  <c r="K300" i="18" s="1"/>
  <c r="J317" i="18"/>
  <c r="K317" i="18" s="1"/>
  <c r="J349" i="18"/>
  <c r="K349" i="18" s="1"/>
  <c r="J408" i="18"/>
  <c r="K408" i="18" s="1"/>
  <c r="J48" i="18"/>
  <c r="K48" i="18" s="1"/>
  <c r="J318" i="18"/>
  <c r="K318" i="18" s="1"/>
  <c r="J142" i="18"/>
  <c r="K142" i="18" s="1"/>
  <c r="J239" i="18"/>
  <c r="K239" i="18" s="1"/>
  <c r="J505" i="18"/>
  <c r="K505" i="18" s="1"/>
  <c r="J337" i="18"/>
  <c r="K337" i="18" s="1"/>
  <c r="J113" i="18"/>
  <c r="K113" i="18" s="1"/>
  <c r="J437" i="18"/>
  <c r="K437" i="18" s="1"/>
  <c r="J193" i="18"/>
  <c r="K193" i="18" s="1"/>
  <c r="J399" i="18"/>
  <c r="K399" i="18" s="1"/>
  <c r="J527" i="18"/>
  <c r="K527" i="18" s="1"/>
  <c r="J419" i="18"/>
  <c r="K419" i="18" s="1"/>
  <c r="J216" i="18"/>
  <c r="K216" i="18" s="1"/>
  <c r="J256" i="18"/>
  <c r="K256" i="18" s="1"/>
  <c r="J289" i="18"/>
  <c r="K289" i="18" s="1"/>
  <c r="J522" i="18"/>
  <c r="K522" i="18" s="1"/>
  <c r="J496" i="18"/>
  <c r="K496" i="18" s="1"/>
  <c r="J513" i="18"/>
  <c r="K513" i="18" s="1"/>
  <c r="J347" i="18"/>
  <c r="K347" i="18" s="1"/>
  <c r="J392" i="18"/>
  <c r="K392" i="18" s="1"/>
  <c r="J252" i="18"/>
  <c r="K252" i="18" s="1"/>
  <c r="J272" i="18"/>
  <c r="K272" i="18" s="1"/>
  <c r="J293" i="18"/>
  <c r="K293" i="18" s="1"/>
  <c r="J209" i="18"/>
  <c r="K209" i="18" s="1"/>
  <c r="J176" i="18"/>
  <c r="K176" i="18" s="1"/>
  <c r="J249" i="18"/>
  <c r="K249" i="18" s="1"/>
  <c r="J321" i="18"/>
  <c r="K321" i="18" s="1"/>
  <c r="J382" i="18"/>
  <c r="K382" i="18" s="1"/>
  <c r="J208" i="18"/>
  <c r="K208" i="18" s="1"/>
  <c r="J401" i="18"/>
  <c r="K401" i="18" s="1"/>
  <c r="J378" i="18"/>
  <c r="K378" i="18" s="1"/>
  <c r="J125" i="18"/>
  <c r="K125" i="18" s="1"/>
  <c r="J360" i="18"/>
  <c r="K360" i="18" s="1"/>
  <c r="J333" i="18"/>
  <c r="K333" i="18" s="1"/>
  <c r="J394" i="18"/>
  <c r="K394" i="18" s="1"/>
  <c r="J231" i="18"/>
  <c r="K231" i="18" s="1"/>
  <c r="J296" i="18"/>
  <c r="K296" i="18" s="1"/>
  <c r="J413" i="18"/>
  <c r="K413" i="18" s="1"/>
  <c r="J445" i="18"/>
  <c r="K445" i="18" s="1"/>
  <c r="J381" i="18"/>
  <c r="K381" i="18" s="1"/>
  <c r="J482" i="18"/>
  <c r="K482" i="18" s="1"/>
  <c r="J229" i="18"/>
  <c r="K229" i="18" s="1"/>
  <c r="J264" i="18"/>
  <c r="K264" i="18" s="1"/>
  <c r="B7" i="18"/>
  <c r="J267" i="18"/>
  <c r="K267" i="18" s="1"/>
  <c r="J214" i="18"/>
  <c r="K214" i="18" s="1"/>
  <c r="J276" i="18"/>
  <c r="K276" i="18" s="1"/>
  <c r="J473" i="18"/>
  <c r="K473" i="18" s="1"/>
  <c r="J328" i="18"/>
  <c r="K328" i="18" s="1"/>
  <c r="J525" i="18"/>
  <c r="K525" i="18" s="1"/>
  <c r="J313" i="18"/>
  <c r="K313" i="18" s="1"/>
  <c r="J492" i="18"/>
  <c r="K492" i="18" s="1"/>
  <c r="J56" i="18"/>
  <c r="K56" i="18" s="1"/>
  <c r="J428" i="18"/>
  <c r="K428" i="18" s="1"/>
  <c r="J199" i="18"/>
  <c r="K199" i="18" s="1"/>
  <c r="J271" i="18"/>
  <c r="K271" i="18" s="1"/>
  <c r="J515" i="18"/>
  <c r="K515" i="18" s="1"/>
  <c r="J241" i="18"/>
  <c r="K241" i="18" s="1"/>
  <c r="J387" i="18"/>
  <c r="K387" i="18" s="1"/>
  <c r="J109" i="18"/>
  <c r="K109" i="18" s="1"/>
  <c r="J160" i="18"/>
  <c r="K160" i="18" s="1"/>
  <c r="J73" i="18"/>
  <c r="K73" i="18" s="1"/>
  <c r="J494" i="18"/>
  <c r="K494" i="18" s="1"/>
  <c r="J198" i="18"/>
  <c r="K198" i="18" s="1"/>
  <c r="J524" i="18"/>
  <c r="K524" i="18" s="1"/>
  <c r="J451" i="18"/>
  <c r="K451" i="18" s="1"/>
  <c r="J502" i="18"/>
  <c r="K502" i="18" s="1"/>
  <c r="J24" i="18"/>
  <c r="K24" i="18" s="1"/>
  <c r="J325" i="18"/>
  <c r="K325" i="18" s="1"/>
  <c r="J286" i="18"/>
  <c r="K286" i="18" s="1"/>
  <c r="J243" i="18"/>
  <c r="K243" i="18" s="1"/>
  <c r="J285" i="18"/>
  <c r="K285" i="18" s="1"/>
  <c r="J145" i="18"/>
  <c r="K145" i="18" s="1"/>
  <c r="J62" i="18"/>
  <c r="K62" i="18" s="1"/>
  <c r="J475" i="18"/>
  <c r="K475" i="18" s="1"/>
  <c r="J23" i="18"/>
  <c r="K23" i="18" s="1"/>
  <c r="J308" i="18"/>
  <c r="K308" i="18" s="1"/>
  <c r="J129" i="18"/>
  <c r="K129" i="18" s="1"/>
  <c r="J192" i="18"/>
  <c r="K192" i="18" s="1"/>
  <c r="J295" i="18"/>
  <c r="K295" i="18" s="1"/>
  <c r="J529" i="18"/>
  <c r="K529" i="18" s="1"/>
  <c r="J136" i="18"/>
  <c r="K136" i="18" s="1"/>
  <c r="J266" i="18"/>
  <c r="K266" i="18" s="1"/>
  <c r="J78" i="18"/>
  <c r="K78" i="18" s="1"/>
  <c r="J435" i="18"/>
  <c r="K435" i="18" s="1"/>
  <c r="J400" i="18"/>
  <c r="K400" i="18" s="1"/>
  <c r="J481" i="18"/>
  <c r="K481" i="18" s="1"/>
  <c r="J455" i="18"/>
  <c r="K455" i="18" s="1"/>
  <c r="J173" i="18"/>
  <c r="K173" i="18" s="1"/>
  <c r="J46" i="18"/>
  <c r="K46" i="18" s="1"/>
  <c r="J251" i="18"/>
  <c r="K251" i="18" s="1"/>
  <c r="J332" i="18"/>
  <c r="K332" i="18" s="1"/>
  <c r="J159" i="18"/>
  <c r="K159" i="18" s="1"/>
  <c r="J424" i="18"/>
  <c r="K424" i="18" s="1"/>
  <c r="J309" i="18"/>
  <c r="K309" i="18" s="1"/>
  <c r="J497" i="18"/>
  <c r="K497" i="18" s="1"/>
  <c r="J422" i="18"/>
  <c r="K422" i="18" s="1"/>
  <c r="J131" i="18"/>
  <c r="K131" i="18" s="1"/>
  <c r="J233" i="18"/>
  <c r="K233" i="18" s="1"/>
  <c r="J351" i="18"/>
  <c r="K351" i="18" s="1"/>
  <c r="J344" i="18"/>
  <c r="K344" i="18" s="1"/>
  <c r="J259" i="18"/>
  <c r="K259" i="18" s="1"/>
  <c r="J523" i="18"/>
  <c r="K523" i="18" s="1"/>
  <c r="J436" i="18"/>
  <c r="K436" i="18" s="1"/>
  <c r="J441" i="18"/>
  <c r="K441" i="18" s="1"/>
  <c r="J86" i="18"/>
  <c r="K86" i="18" s="1"/>
  <c r="J240" i="18"/>
  <c r="K240" i="18" s="1"/>
  <c r="J320" i="18"/>
  <c r="K320" i="18" s="1"/>
  <c r="J49" i="18"/>
  <c r="K49" i="18" s="1"/>
  <c r="J287" i="18"/>
  <c r="K287" i="18" s="1"/>
  <c r="J463" i="18"/>
  <c r="K463" i="18" s="1"/>
  <c r="J47" i="18"/>
  <c r="K47" i="18" s="1"/>
  <c r="J457" i="18"/>
  <c r="K457" i="18" s="1"/>
  <c r="J92" i="18"/>
  <c r="K92" i="18" s="1"/>
  <c r="J123" i="18"/>
  <c r="K123" i="18" s="1"/>
  <c r="J217" i="18"/>
  <c r="K217" i="18" s="1"/>
  <c r="J372" i="18"/>
  <c r="K372" i="18" s="1"/>
  <c r="J368" i="18"/>
  <c r="K368" i="18" s="1"/>
  <c r="J521" i="18"/>
  <c r="K521" i="18" s="1"/>
  <c r="J406" i="18"/>
  <c r="K406" i="18" s="1"/>
  <c r="J490" i="18"/>
  <c r="K490" i="18" s="1"/>
  <c r="J143" i="18"/>
  <c r="K143" i="18" s="1"/>
  <c r="J103" i="18"/>
  <c r="K103" i="18" s="1"/>
  <c r="J365" i="18"/>
  <c r="K365" i="18" s="1"/>
  <c r="J204" i="18"/>
  <c r="K204" i="18" s="1"/>
  <c r="J343" i="18"/>
  <c r="K343" i="18" s="1"/>
  <c r="J119" i="18"/>
  <c r="K119" i="18" s="1"/>
  <c r="J363" i="18"/>
  <c r="K363" i="18" s="1"/>
  <c r="J140" i="18"/>
  <c r="K140" i="18" s="1"/>
  <c r="J479" i="18"/>
  <c r="K479" i="18" s="1"/>
  <c r="J206" i="18"/>
  <c r="K206" i="18" s="1"/>
  <c r="J70" i="18"/>
  <c r="K70" i="18" s="1"/>
  <c r="J224" i="18"/>
  <c r="K224" i="18" s="1"/>
  <c r="J354" i="18"/>
  <c r="K354" i="18" s="1"/>
  <c r="J397" i="18"/>
  <c r="K397" i="18" s="1"/>
  <c r="J265" i="18"/>
  <c r="K265" i="18" s="1"/>
  <c r="J448" i="18"/>
  <c r="K448" i="18" s="1"/>
  <c r="J219" i="18"/>
  <c r="K219" i="18" s="1"/>
  <c r="J338" i="18"/>
  <c r="K338" i="18" s="1"/>
  <c r="J39" i="18"/>
  <c r="K39" i="18" s="1"/>
  <c r="J393" i="18"/>
  <c r="K393" i="18" s="1"/>
  <c r="J484" i="18"/>
  <c r="K484" i="18" s="1"/>
  <c r="J452" i="18"/>
  <c r="K452" i="18" s="1"/>
  <c r="J212" i="18"/>
  <c r="K212" i="18" s="1"/>
  <c r="J121" i="18"/>
  <c r="K121" i="18" s="1"/>
  <c r="J248" i="18"/>
  <c r="K248" i="18" s="1"/>
  <c r="J405" i="18"/>
  <c r="K405" i="18" s="1"/>
  <c r="J197" i="18"/>
  <c r="K197" i="18" s="1"/>
  <c r="J72" i="18"/>
  <c r="K72" i="18" s="1"/>
  <c r="J458" i="18"/>
  <c r="K458" i="18" s="1"/>
  <c r="J88" i="18"/>
  <c r="K88" i="18" s="1"/>
  <c r="J440" i="18"/>
  <c r="K440" i="18" s="1"/>
  <c r="J225" i="18"/>
  <c r="K225" i="18" s="1"/>
  <c r="J281" i="18"/>
  <c r="K281" i="18" s="1"/>
  <c r="J246" i="18"/>
  <c r="K246" i="18" s="1"/>
  <c r="J380" i="18"/>
  <c r="K380" i="18" s="1"/>
  <c r="J431" i="18"/>
  <c r="K431" i="18" s="1"/>
  <c r="J438" i="18"/>
  <c r="K438" i="18" s="1"/>
  <c r="J504" i="18"/>
  <c r="K504" i="18" s="1"/>
  <c r="J250" i="18"/>
  <c r="K250" i="18" s="1"/>
  <c r="J331" i="18"/>
  <c r="K331" i="18" s="1"/>
  <c r="J311" i="18"/>
  <c r="K311" i="18" s="1"/>
  <c r="J185" i="18"/>
  <c r="K185" i="18" s="1"/>
  <c r="J268" i="18"/>
  <c r="K268" i="18" s="1"/>
  <c r="J277" i="18"/>
  <c r="K277" i="18" s="1"/>
  <c r="J491" i="18"/>
  <c r="K491" i="18" s="1"/>
  <c r="J108" i="18"/>
  <c r="K108" i="18" s="1"/>
  <c r="J427" i="18"/>
  <c r="K427" i="18" s="1"/>
  <c r="J499" i="18"/>
  <c r="K499" i="18" s="1"/>
  <c r="J339" i="18"/>
  <c r="K339" i="18" s="1"/>
  <c r="J270" i="18"/>
  <c r="K270" i="18" s="1"/>
  <c r="J205" i="18"/>
  <c r="K205" i="18" s="1"/>
  <c r="J446" i="18"/>
  <c r="K446" i="18" s="1"/>
  <c r="J242" i="18"/>
  <c r="K242" i="18" s="1"/>
  <c r="J211" i="18"/>
  <c r="K211" i="18" s="1"/>
  <c r="J135" i="18"/>
  <c r="K135" i="18" s="1"/>
  <c r="J137" i="18"/>
  <c r="K137" i="18" s="1"/>
  <c r="J403" i="18"/>
  <c r="K403" i="18" s="1"/>
  <c r="J81" i="18"/>
  <c r="K81" i="18" s="1"/>
  <c r="J334" i="18"/>
  <c r="K334" i="18" s="1"/>
  <c r="J506" i="18"/>
  <c r="K506" i="18" s="1"/>
  <c r="J500" i="18"/>
  <c r="K500" i="18" s="1"/>
  <c r="J101" i="18"/>
  <c r="K101" i="18" s="1"/>
  <c r="J483" i="18"/>
  <c r="K483" i="18" s="1"/>
  <c r="J390" i="18"/>
  <c r="K390" i="18" s="1"/>
  <c r="J412" i="18"/>
  <c r="K412" i="18" s="1"/>
  <c r="J30" i="18"/>
  <c r="K30" i="18" s="1"/>
  <c r="J230" i="18"/>
  <c r="K230" i="18" s="1"/>
  <c r="J182" i="18"/>
  <c r="K182" i="18" s="1"/>
  <c r="J183" i="18"/>
  <c r="K183" i="18" s="1"/>
  <c r="J247" i="18"/>
  <c r="K247" i="18" s="1"/>
  <c r="J115" i="18"/>
  <c r="K115" i="18" s="1"/>
  <c r="J312" i="18"/>
  <c r="K312" i="18" s="1"/>
  <c r="J181" i="18"/>
  <c r="K181" i="18" s="1"/>
  <c r="J144" i="18"/>
  <c r="K144" i="18" s="1"/>
  <c r="J346" i="18"/>
  <c r="K346" i="18" s="1"/>
  <c r="J237" i="18"/>
  <c r="K237" i="18" s="1"/>
  <c r="J238" i="18"/>
  <c r="K238" i="18" s="1"/>
  <c r="J40" i="18"/>
  <c r="K40" i="18" s="1"/>
  <c r="J304" i="18"/>
  <c r="K304" i="18" s="1"/>
  <c r="J112" i="18"/>
  <c r="K112" i="18" s="1"/>
  <c r="J417" i="18"/>
  <c r="K417" i="18" s="1"/>
  <c r="J310" i="18"/>
  <c r="K310" i="18" s="1"/>
  <c r="J116" i="18"/>
  <c r="K116" i="18" s="1"/>
  <c r="J472" i="18"/>
  <c r="K472" i="18" s="1"/>
  <c r="J469" i="18"/>
  <c r="K469" i="18" s="1"/>
  <c r="J220" i="18"/>
  <c r="K220" i="18" s="1"/>
  <c r="J375" i="18"/>
  <c r="K375" i="18" s="1"/>
  <c r="J165" i="18"/>
  <c r="K165" i="18" s="1"/>
  <c r="J352" i="18"/>
  <c r="K352" i="18" s="1"/>
  <c r="J288" i="18"/>
  <c r="K288" i="18" s="1"/>
  <c r="J184" i="18"/>
  <c r="K184" i="18" s="1"/>
  <c r="J201" i="18"/>
  <c r="K201" i="18" s="1"/>
  <c r="J447" i="18"/>
  <c r="K447" i="18" s="1"/>
  <c r="J391" i="18"/>
  <c r="K391" i="18" s="1"/>
  <c r="J510" i="18"/>
  <c r="K510" i="18" s="1"/>
  <c r="J105" i="18"/>
  <c r="K105" i="18" s="1"/>
  <c r="J439" i="18"/>
  <c r="K439" i="18" s="1"/>
  <c r="J25" i="18"/>
  <c r="K25" i="18" s="1"/>
  <c r="J213" i="18"/>
  <c r="K213" i="18" s="1"/>
  <c r="J329" i="18"/>
  <c r="K329" i="18" s="1"/>
  <c r="J278" i="18"/>
  <c r="K278" i="18" s="1"/>
  <c r="J476" i="18"/>
  <c r="K476" i="18" s="1"/>
  <c r="J151" i="18"/>
  <c r="K151" i="18" s="1"/>
  <c r="J369" i="18"/>
  <c r="K369" i="18" s="1"/>
  <c r="J404" i="18"/>
  <c r="K404" i="18" s="1"/>
  <c r="J450" i="18"/>
  <c r="K450" i="18" s="1"/>
  <c r="J350" i="18"/>
  <c r="K350" i="18" s="1"/>
  <c r="J262" i="18"/>
  <c r="K262" i="18" s="1"/>
  <c r="J280" i="18"/>
  <c r="K280" i="18" s="1"/>
  <c r="J377" i="18"/>
  <c r="K377" i="18" s="1"/>
  <c r="J466" i="18"/>
  <c r="K466" i="18" s="1"/>
  <c r="J388" i="18"/>
  <c r="K388" i="18" s="1"/>
  <c r="J132" i="18"/>
  <c r="K132" i="18" s="1"/>
  <c r="J327" i="18"/>
  <c r="K327" i="18" s="1"/>
  <c r="J257" i="18"/>
  <c r="K257" i="18" s="1"/>
  <c r="J485" i="18"/>
  <c r="K485" i="18" s="1"/>
  <c r="J221" i="18"/>
  <c r="K221" i="18" s="1"/>
  <c r="J110" i="18"/>
  <c r="K110" i="18" s="1"/>
  <c r="J57" i="18"/>
  <c r="K57" i="18" s="1"/>
  <c r="J511" i="18"/>
  <c r="K511" i="18" s="1"/>
  <c r="J411" i="18"/>
  <c r="K411" i="18" s="1"/>
  <c r="J55" i="18"/>
  <c r="K55" i="18" s="1"/>
  <c r="J111" i="18"/>
  <c r="K111" i="18" s="1"/>
  <c r="J507" i="18"/>
  <c r="K507" i="18" s="1"/>
  <c r="J487" i="18"/>
  <c r="K487" i="18" s="1"/>
  <c r="J528" i="18"/>
  <c r="K528" i="18" s="1"/>
  <c r="J498" i="18"/>
  <c r="K498" i="18" s="1"/>
  <c r="J348" i="18"/>
  <c r="K348" i="18" s="1"/>
  <c r="J516" i="18"/>
  <c r="K516" i="18" s="1"/>
  <c r="J235" i="18"/>
  <c r="K235" i="18" s="1"/>
  <c r="J191" i="18"/>
  <c r="K191" i="18" s="1"/>
  <c r="J139" i="18"/>
  <c r="K139" i="18" s="1"/>
  <c r="J228" i="18"/>
  <c r="K228" i="18" s="1"/>
  <c r="J41" i="18"/>
  <c r="K41" i="18" s="1"/>
  <c r="J150" i="18"/>
  <c r="K150" i="18" s="1"/>
  <c r="J87" i="18"/>
  <c r="K87" i="18" s="1"/>
  <c r="J345" i="18"/>
  <c r="K345" i="18" s="1"/>
  <c r="J461" i="18"/>
  <c r="K461" i="18" s="1"/>
  <c r="J227" i="18"/>
  <c r="K227" i="18" s="1"/>
  <c r="J117" i="18"/>
  <c r="K117" i="18" s="1"/>
  <c r="J460" i="18"/>
  <c r="K460" i="18" s="1"/>
  <c r="J94" i="18"/>
  <c r="K94" i="18" s="1"/>
  <c r="J471" i="18"/>
  <c r="K471" i="18" s="1"/>
  <c r="J100" i="18"/>
  <c r="K100" i="18" s="1"/>
  <c r="J141" i="18"/>
  <c r="K141" i="18" s="1"/>
  <c r="J454" i="18"/>
  <c r="K454" i="18" s="1"/>
  <c r="J453" i="18"/>
  <c r="K453" i="18" s="1"/>
  <c r="J444" i="18"/>
  <c r="K444" i="18" s="1"/>
  <c r="J396" i="18"/>
  <c r="K396" i="18" s="1"/>
  <c r="J421" i="18"/>
  <c r="K421" i="18" s="1"/>
  <c r="J180" i="18"/>
  <c r="K180" i="18" s="1"/>
  <c r="J501" i="18"/>
  <c r="K501" i="18" s="1"/>
  <c r="J468" i="18"/>
  <c r="K468" i="18" s="1"/>
  <c r="J89" i="18"/>
  <c r="K89" i="18" s="1"/>
  <c r="J335" i="18"/>
  <c r="K335" i="18" s="1"/>
  <c r="J518" i="18"/>
  <c r="K518" i="18" s="1"/>
  <c r="J32" i="18"/>
  <c r="K32" i="18" s="1"/>
  <c r="J442" i="18"/>
  <c r="K442" i="18" s="1"/>
  <c r="J80" i="18"/>
  <c r="K80" i="18" s="1"/>
  <c r="J429" i="18"/>
  <c r="K429" i="18" s="1"/>
  <c r="J509" i="18"/>
  <c r="K509" i="18" s="1"/>
  <c r="J200" i="18"/>
  <c r="K200" i="18" s="1"/>
  <c r="J519" i="18"/>
  <c r="K519" i="18" s="1"/>
  <c r="J255" i="18"/>
  <c r="K255" i="18" s="1"/>
  <c r="J423" i="18"/>
  <c r="K423" i="18" s="1"/>
  <c r="J359" i="18"/>
  <c r="K359" i="18" s="1"/>
  <c r="J508" i="18"/>
  <c r="K508" i="18" s="1"/>
  <c r="J367" i="18"/>
  <c r="K367" i="18" s="1"/>
  <c r="J358" i="18"/>
  <c r="K358" i="18" s="1"/>
  <c r="J124" i="18"/>
  <c r="K124" i="18" s="1"/>
  <c r="J425" i="18"/>
  <c r="K425" i="18" s="1"/>
  <c r="J134" i="18"/>
  <c r="K134" i="18" s="1"/>
  <c r="J244" i="18"/>
  <c r="K244" i="18" s="1"/>
  <c r="J93" i="18"/>
  <c r="K93" i="18" s="1"/>
  <c r="J196" i="18"/>
  <c r="K196" i="18" s="1"/>
  <c r="J292" i="18"/>
  <c r="K292" i="18" s="1"/>
  <c r="J432" i="18"/>
  <c r="K432" i="18" s="1"/>
  <c r="J456" i="18"/>
  <c r="K456" i="18" s="1"/>
  <c r="J464" i="18"/>
  <c r="K464" i="18" s="1"/>
  <c r="J443" i="18"/>
  <c r="K443" i="18" s="1"/>
  <c r="J152" i="18"/>
  <c r="K152" i="18" s="1"/>
  <c r="J474" i="18"/>
  <c r="K474" i="18" s="1"/>
  <c r="J236" i="18"/>
  <c r="K236" i="18" s="1"/>
  <c r="J22" i="18"/>
  <c r="K22" i="18" s="1"/>
  <c r="J31" i="18"/>
  <c r="K31" i="18" s="1"/>
  <c r="J175" i="18"/>
  <c r="K175" i="18" s="1"/>
  <c r="J279" i="18"/>
  <c r="K279" i="18" s="1"/>
  <c r="J307" i="18"/>
  <c r="K307" i="18" s="1"/>
  <c r="J207" i="18"/>
  <c r="K207" i="18" s="1"/>
  <c r="J38" i="18"/>
  <c r="K38" i="18" s="1"/>
  <c r="J315" i="18"/>
  <c r="K315" i="18" s="1"/>
  <c r="J128" i="18"/>
  <c r="K128" i="18" s="1"/>
  <c r="J215" i="18"/>
  <c r="K215" i="18" s="1"/>
  <c r="J166" i="18"/>
  <c r="K166" i="18" s="1"/>
  <c r="J169" i="18"/>
  <c r="K169" i="18" s="1"/>
  <c r="J69" i="18"/>
  <c r="K69" i="18" s="1"/>
  <c r="J395" i="18"/>
  <c r="K395" i="18" s="1"/>
  <c r="J465" i="18"/>
  <c r="K465" i="18" s="1"/>
  <c r="J222" i="18"/>
  <c r="K222" i="18" s="1"/>
  <c r="J409" i="18"/>
  <c r="K409" i="18" s="1"/>
  <c r="J84" i="18"/>
  <c r="K84" i="18" s="1"/>
  <c r="J54" i="18"/>
  <c r="K54" i="18" s="1"/>
  <c r="J177" i="18"/>
  <c r="K177" i="18" s="1"/>
  <c r="J362" i="18"/>
  <c r="K362" i="18" s="1"/>
  <c r="J356" i="18"/>
  <c r="K356" i="18" s="1"/>
  <c r="J149" i="18"/>
  <c r="K149" i="18" s="1"/>
  <c r="J167" i="18"/>
  <c r="K167" i="18" s="1"/>
  <c r="J449" i="18"/>
  <c r="K449" i="18" s="1"/>
  <c r="J434" i="18"/>
  <c r="K434" i="18" s="1"/>
  <c r="J353" i="18"/>
  <c r="K353" i="18" s="1"/>
  <c r="J488" i="18"/>
  <c r="K488" i="18" s="1"/>
  <c r="J389" i="18"/>
  <c r="K389" i="18" s="1"/>
  <c r="J319" i="18"/>
  <c r="K319" i="18" s="1"/>
  <c r="J373" i="18"/>
  <c r="K373" i="18" s="1"/>
  <c r="J340" i="18"/>
  <c r="K340" i="18" s="1"/>
  <c r="J97" i="18"/>
  <c r="K97" i="18" s="1"/>
  <c r="J420" i="18"/>
  <c r="K420" i="18" s="1"/>
  <c r="J520" i="18"/>
  <c r="K520" i="18" s="1"/>
  <c r="J489" i="18"/>
  <c r="K489" i="18" s="1"/>
  <c r="J493" i="18"/>
  <c r="K493" i="18" s="1"/>
  <c r="J470" i="18"/>
  <c r="K470" i="18" s="1"/>
  <c r="J342" i="18"/>
  <c r="K342" i="18" s="1"/>
  <c r="J118" i="18"/>
  <c r="K118" i="18" s="1"/>
  <c r="J430" i="18"/>
  <c r="K430" i="18" s="1"/>
  <c r="J95" i="18"/>
  <c r="K95" i="18" s="1"/>
  <c r="J326" i="18"/>
  <c r="K326" i="18" s="1"/>
  <c r="J414" i="18"/>
  <c r="K414" i="18" s="1"/>
  <c r="J261" i="18"/>
  <c r="K261" i="18" s="1"/>
  <c r="J355" i="18"/>
  <c r="K355" i="18" s="1"/>
  <c r="J77" i="18"/>
  <c r="K77" i="18" s="1"/>
  <c r="J284" i="18"/>
  <c r="K284" i="18" s="1"/>
  <c r="J324" i="18"/>
  <c r="K324" i="18" s="1"/>
  <c r="J158" i="18"/>
  <c r="K158" i="18" s="1"/>
  <c r="J433" i="18"/>
  <c r="K433" i="18" s="1"/>
  <c r="J258" i="18"/>
  <c r="K258" i="18" s="1"/>
  <c r="J79" i="18"/>
  <c r="K79" i="18" s="1"/>
  <c r="J263" i="18"/>
  <c r="K263" i="18" s="1"/>
  <c r="J120" i="18"/>
  <c r="K120" i="18" s="1"/>
  <c r="J232" i="18"/>
  <c r="K232" i="18" s="1"/>
  <c r="J385" i="18"/>
  <c r="K385" i="18" s="1"/>
  <c r="J366" i="18"/>
  <c r="K366" i="18" s="1"/>
  <c r="J336" i="18"/>
  <c r="K336" i="18" s="1"/>
  <c r="J512" i="18"/>
  <c r="K512" i="18" s="1"/>
  <c r="J503" i="18"/>
  <c r="K503" i="18" s="1"/>
  <c r="J526" i="18"/>
  <c r="K526" i="18" s="1"/>
  <c r="J223" i="18"/>
  <c r="K223" i="18" s="1"/>
  <c r="J188" i="18"/>
  <c r="K188" i="18" s="1"/>
  <c r="J71" i="18"/>
  <c r="K71" i="18" s="1"/>
  <c r="J376" i="18"/>
  <c r="K376" i="18" s="1"/>
  <c r="J174" i="18"/>
  <c r="K174" i="18" s="1"/>
  <c r="J303" i="18"/>
  <c r="K303" i="18" s="1"/>
  <c r="J486" i="18"/>
  <c r="K486" i="18" s="1"/>
  <c r="J153" i="18"/>
  <c r="K153" i="18" s="1"/>
  <c r="J126" i="18"/>
  <c r="K126" i="18" s="1"/>
  <c r="J269" i="18"/>
  <c r="K269" i="18" s="1"/>
  <c r="J305" i="18"/>
  <c r="K305" i="18" s="1"/>
  <c r="J297" i="18"/>
  <c r="K297" i="18" s="1"/>
  <c r="J190" i="18"/>
  <c r="K190" i="18" s="1"/>
  <c r="J361" i="18"/>
  <c r="K361" i="18" s="1"/>
  <c r="J480" i="18"/>
  <c r="K480" i="18" s="1"/>
  <c r="J467" i="18"/>
  <c r="K467" i="18" s="1"/>
  <c r="J341" i="18"/>
  <c r="K341" i="18" s="1"/>
  <c r="J316" i="18"/>
  <c r="K316" i="18" s="1"/>
  <c r="J462" i="18"/>
  <c r="K462" i="18" s="1"/>
  <c r="J61" i="18"/>
  <c r="K61" i="18" s="1"/>
  <c r="J495" i="18"/>
  <c r="K495" i="18" s="1"/>
  <c r="J254" i="18"/>
  <c r="K254" i="18" s="1"/>
  <c r="J407" i="18"/>
  <c r="K407" i="18" s="1"/>
  <c r="J398" i="18"/>
  <c r="K398" i="18" s="1"/>
  <c r="J102" i="18"/>
  <c r="K102" i="18" s="1"/>
  <c r="J517" i="18"/>
  <c r="K517" i="18" s="1"/>
  <c r="J383" i="18"/>
  <c r="K383" i="18" s="1"/>
  <c r="J161" i="18"/>
  <c r="K161" i="18" s="1"/>
  <c r="J189" i="18"/>
  <c r="K189" i="18" s="1"/>
  <c r="J374" i="18"/>
  <c r="K374" i="18" s="1"/>
  <c r="J63" i="18"/>
  <c r="K63" i="18" s="1"/>
  <c r="J53" i="18"/>
  <c r="K53" i="18" s="1"/>
  <c r="J133" i="18"/>
  <c r="K133" i="18" s="1"/>
  <c r="J459" i="18"/>
  <c r="K459" i="18" s="1"/>
  <c r="J371" i="18"/>
  <c r="K371" i="18" s="1"/>
  <c r="J477" i="18"/>
  <c r="K477" i="18" s="1"/>
  <c r="J104" i="18"/>
  <c r="K104" i="18" s="1"/>
  <c r="J33" i="18"/>
  <c r="K33" i="18" s="1"/>
  <c r="J384" i="18"/>
  <c r="K384" i="18" s="1"/>
  <c r="J127" i="18"/>
  <c r="K127" i="18" s="1"/>
  <c r="J301" i="18"/>
  <c r="K301" i="18" s="1"/>
  <c r="J323" i="18"/>
  <c r="K323" i="18" s="1"/>
  <c r="J416" i="18"/>
  <c r="K416" i="18" s="1"/>
  <c r="J65" i="18"/>
  <c r="K65" i="18" s="1"/>
  <c r="J157" i="18"/>
  <c r="K157" i="18" s="1"/>
  <c r="J96" i="18"/>
  <c r="K96" i="18" s="1"/>
  <c r="J168" i="18"/>
  <c r="K168" i="18" s="1"/>
  <c r="J85" i="18"/>
  <c r="K85" i="18" s="1"/>
  <c r="J478" i="18"/>
  <c r="K478" i="18" s="1"/>
  <c r="J364" i="18"/>
  <c r="K364" i="18" s="1"/>
  <c r="J253" i="18"/>
  <c r="K253" i="18" s="1"/>
  <c r="J245" i="18"/>
  <c r="K245" i="18" s="1"/>
  <c r="J294" i="18"/>
  <c r="K294" i="18" s="1"/>
  <c r="J370" i="18"/>
  <c r="K370" i="18" s="1"/>
  <c r="J415" i="18"/>
  <c r="K415" i="18" s="1"/>
  <c r="J357" i="18"/>
  <c r="K357" i="18" s="1"/>
  <c r="J386" i="18"/>
  <c r="K386" i="18" s="1"/>
  <c r="J64" i="18"/>
  <c r="K64" i="18" s="1"/>
  <c r="J302" i="18"/>
  <c r="K302" i="18" s="1"/>
  <c r="J273" i="18"/>
  <c r="K273" i="18" s="1"/>
  <c r="J260" i="18"/>
  <c r="K260" i="18" s="1"/>
  <c r="J514" i="18"/>
  <c r="K514" i="18" s="1"/>
  <c r="N163" i="18"/>
  <c r="N128" i="18"/>
  <c r="N58" i="18"/>
  <c r="N930" i="18"/>
  <c r="N335" i="18"/>
  <c r="N86" i="18"/>
  <c r="N764" i="18"/>
  <c r="N327" i="18"/>
  <c r="N324" i="18"/>
  <c r="N192" i="18"/>
  <c r="N771" i="18"/>
  <c r="N723" i="18"/>
  <c r="N616" i="18"/>
  <c r="N991" i="18"/>
  <c r="N482" i="18"/>
  <c r="N525" i="18"/>
  <c r="N85" i="18"/>
  <c r="N1042" i="18"/>
  <c r="N697" i="18"/>
  <c r="N486" i="18"/>
  <c r="N338" i="18"/>
  <c r="N247" i="18"/>
  <c r="N877" i="18"/>
  <c r="N419" i="18"/>
  <c r="N207" i="18"/>
  <c r="N484" i="18"/>
  <c r="N331" i="18"/>
  <c r="N479" i="18"/>
  <c r="N1050" i="18"/>
  <c r="N73" i="18"/>
  <c r="N455" i="18"/>
  <c r="N973" i="18"/>
  <c r="N1003" i="18"/>
  <c r="N848" i="18"/>
  <c r="N111" i="18"/>
  <c r="N489" i="18"/>
  <c r="N185" i="18"/>
  <c r="N227" i="18"/>
  <c r="N952" i="18"/>
  <c r="N678" i="18"/>
  <c r="N732" i="18"/>
  <c r="N699" i="18"/>
  <c r="N933" i="18"/>
  <c r="N890" i="18"/>
  <c r="N216" i="18"/>
  <c r="N425" i="18"/>
  <c r="N977" i="18"/>
  <c r="N967" i="18"/>
  <c r="N995" i="18"/>
  <c r="N180" i="18"/>
  <c r="N454" i="18"/>
  <c r="N741" i="18"/>
  <c r="N1036" i="18"/>
  <c r="N496" i="18"/>
  <c r="N294" i="18"/>
  <c r="N780" i="18"/>
  <c r="N483" i="18"/>
  <c r="N362" i="18"/>
  <c r="N757" i="18"/>
  <c r="N610" i="18"/>
  <c r="N30" i="18"/>
  <c r="N127" i="18"/>
  <c r="N356" i="18"/>
  <c r="N1028" i="18"/>
  <c r="N452" i="18"/>
  <c r="N49" i="18"/>
  <c r="N926" i="18"/>
  <c r="N285" i="18"/>
  <c r="N657" i="18"/>
  <c r="N224" i="18"/>
  <c r="N312" i="18"/>
  <c r="N505" i="18"/>
  <c r="N272" i="18"/>
  <c r="N392" i="18"/>
  <c r="N883" i="18"/>
  <c r="N1038" i="18"/>
  <c r="N910" i="18"/>
  <c r="N795" i="18"/>
  <c r="N770" i="18"/>
  <c r="N754" i="18"/>
  <c r="N176" i="18"/>
  <c r="N152" i="18"/>
  <c r="N402" i="18"/>
  <c r="N570" i="18"/>
  <c r="N433" i="18"/>
  <c r="N438" i="18"/>
  <c r="N346" i="18"/>
  <c r="N972" i="18"/>
  <c r="N195" i="18"/>
  <c r="N435" i="18"/>
  <c r="N278" i="18"/>
  <c r="N340" i="18"/>
  <c r="N743" i="18"/>
  <c r="N626" i="18"/>
  <c r="N948" i="18"/>
  <c r="N401" i="18"/>
  <c r="N499" i="18"/>
  <c r="N556" i="18"/>
  <c r="N710" i="18"/>
  <c r="N22" i="18"/>
  <c r="N837" i="18"/>
  <c r="N347" i="18"/>
  <c r="N453" i="18"/>
  <c r="N297" i="18"/>
  <c r="N564" i="18"/>
  <c r="N644" i="18"/>
  <c r="N849" i="18"/>
  <c r="N209" i="18"/>
  <c r="N385" i="18"/>
  <c r="N395" i="18"/>
  <c r="N208" i="18"/>
  <c r="N576" i="18"/>
  <c r="N806" i="18"/>
  <c r="N565" i="18"/>
  <c r="N745" i="18"/>
  <c r="N624" i="18"/>
  <c r="N705" i="18"/>
  <c r="N495" i="18"/>
  <c r="N714" i="18"/>
  <c r="N341" i="18"/>
  <c r="N493" i="18"/>
  <c r="N156" i="18"/>
  <c r="N1061" i="18"/>
  <c r="N1012" i="18"/>
  <c r="N487" i="18"/>
  <c r="N366" i="18"/>
  <c r="N820" i="18"/>
  <c r="N810" i="18"/>
  <c r="N337" i="18"/>
  <c r="N219" i="18"/>
  <c r="N265" i="18"/>
  <c r="N140" i="18"/>
  <c r="N514" i="18"/>
  <c r="N307" i="18"/>
  <c r="N816" i="18"/>
  <c r="N943" i="18"/>
  <c r="N184" i="18"/>
  <c r="N437" i="18"/>
  <c r="N336" i="18"/>
  <c r="N375" i="18"/>
  <c r="N230" i="18"/>
  <c r="N761" i="18"/>
  <c r="N269" i="18"/>
  <c r="N397" i="18"/>
  <c r="N412" i="18"/>
  <c r="N120" i="18"/>
  <c r="N281" i="18"/>
  <c r="N526" i="18"/>
  <c r="N904" i="18"/>
  <c r="N713" i="18"/>
  <c r="N250" i="18"/>
  <c r="N293" i="18"/>
  <c r="N923" i="18"/>
  <c r="N43" i="18"/>
  <c r="N373" i="18"/>
  <c r="N521" i="18"/>
  <c r="N524" i="18"/>
  <c r="N1062" i="18"/>
  <c r="N728" i="18"/>
  <c r="N789" i="18"/>
  <c r="N725" i="18"/>
  <c r="N953" i="18"/>
  <c r="N333" i="18"/>
  <c r="N323" i="18"/>
  <c r="N233" i="18"/>
  <c r="N800" i="18"/>
  <c r="N220" i="18"/>
  <c r="N353" i="18"/>
  <c r="N29" i="18"/>
  <c r="N263" i="18"/>
  <c r="N641" i="18"/>
  <c r="N975" i="18"/>
  <c r="N423" i="18"/>
  <c r="I77" i="5"/>
  <c r="I103" i="5" s="1"/>
  <c r="N260" i="18"/>
  <c r="N96" i="18"/>
  <c r="N188" i="18"/>
  <c r="N130" i="18"/>
  <c r="N303" i="18"/>
  <c r="N580" i="18"/>
  <c r="N1047" i="18"/>
  <c r="N986" i="18"/>
  <c r="N831" i="18"/>
  <c r="N686" i="18"/>
  <c r="N215" i="18"/>
  <c r="N924" i="18"/>
  <c r="N451" i="18"/>
  <c r="N151" i="18"/>
  <c r="N383" i="18"/>
  <c r="N694" i="18"/>
  <c r="N430" i="18"/>
  <c r="N27" i="18"/>
  <c r="N181" i="18"/>
  <c r="N642" i="18"/>
  <c r="J716" i="18"/>
  <c r="K716" i="18" s="1"/>
  <c r="J1015" i="18"/>
  <c r="K1015" i="18" s="1"/>
  <c r="J777" i="18"/>
  <c r="K777" i="18" s="1"/>
  <c r="J610" i="18"/>
  <c r="K610" i="18" s="1"/>
  <c r="J848" i="18"/>
  <c r="K848" i="18" s="1"/>
  <c r="J930" i="18"/>
  <c r="K930" i="18" s="1"/>
  <c r="J1013" i="18"/>
  <c r="K1013" i="18" s="1"/>
  <c r="J967" i="18"/>
  <c r="K967" i="18" s="1"/>
  <c r="J1029" i="18"/>
  <c r="K1029" i="18" s="1"/>
  <c r="J830" i="18"/>
  <c r="K830" i="18" s="1"/>
  <c r="J614" i="18"/>
  <c r="K614" i="18" s="1"/>
  <c r="J690" i="18"/>
  <c r="K690" i="18" s="1"/>
  <c r="J940" i="18"/>
  <c r="K940" i="18" s="1"/>
  <c r="J1034" i="18"/>
  <c r="K1034" i="18" s="1"/>
  <c r="J919" i="18"/>
  <c r="K919" i="18" s="1"/>
  <c r="J1056" i="18"/>
  <c r="K1056" i="18" s="1"/>
  <c r="J821" i="18"/>
  <c r="K821" i="18" s="1"/>
  <c r="J894" i="18"/>
  <c r="K894" i="18" s="1"/>
  <c r="J625" i="18"/>
  <c r="K625" i="18" s="1"/>
  <c r="J702" i="18"/>
  <c r="K702" i="18" s="1"/>
  <c r="J749" i="18"/>
  <c r="K749" i="18" s="1"/>
  <c r="J891" i="18"/>
  <c r="K891" i="18" s="1"/>
  <c r="J856" i="18"/>
  <c r="K856" i="18" s="1"/>
  <c r="J757" i="18"/>
  <c r="K757" i="18" s="1"/>
  <c r="J964" i="18"/>
  <c r="K964" i="18" s="1"/>
  <c r="J783" i="18"/>
  <c r="K783" i="18" s="1"/>
  <c r="J693" i="18"/>
  <c r="K693" i="18" s="1"/>
  <c r="J646" i="18"/>
  <c r="K646" i="18" s="1"/>
  <c r="J901" i="18"/>
  <c r="K901" i="18" s="1"/>
  <c r="J785" i="18"/>
  <c r="K785" i="18" s="1"/>
  <c r="J556" i="18"/>
  <c r="K556" i="18" s="1"/>
  <c r="J731" i="18"/>
  <c r="K731" i="18" s="1"/>
  <c r="J692" i="18"/>
  <c r="K692" i="18" s="1"/>
  <c r="J917" i="18"/>
  <c r="K917" i="18" s="1"/>
  <c r="J996" i="18"/>
  <c r="K996" i="18" s="1"/>
  <c r="J962" i="18"/>
  <c r="K962" i="18" s="1"/>
  <c r="J969" i="18"/>
  <c r="K969" i="18" s="1"/>
  <c r="J564" i="18"/>
  <c r="K564" i="18" s="1"/>
  <c r="J860" i="18"/>
  <c r="K860" i="18" s="1"/>
  <c r="J732" i="18"/>
  <c r="K732" i="18" s="1"/>
  <c r="J965" i="18"/>
  <c r="K965" i="18" s="1"/>
  <c r="J708" i="18"/>
  <c r="K708" i="18" s="1"/>
  <c r="J922" i="18"/>
  <c r="K922" i="18" s="1"/>
  <c r="J963" i="18"/>
  <c r="K963" i="18" s="1"/>
  <c r="J900" i="18"/>
  <c r="K900" i="18" s="1"/>
  <c r="J691" i="18"/>
  <c r="K691" i="18" s="1"/>
  <c r="J738" i="18"/>
  <c r="K738" i="18" s="1"/>
  <c r="J586" i="18"/>
  <c r="K586" i="18" s="1"/>
  <c r="J840" i="18"/>
  <c r="K840" i="18" s="1"/>
  <c r="J701" i="18"/>
  <c r="K701" i="18" s="1"/>
  <c r="J633" i="18"/>
  <c r="K633" i="18" s="1"/>
  <c r="J579" i="18"/>
  <c r="K579" i="18" s="1"/>
  <c r="J829" i="18"/>
  <c r="K829" i="18" s="1"/>
  <c r="J792" i="18"/>
  <c r="K792" i="18" s="1"/>
  <c r="J915" i="18"/>
  <c r="K915" i="18" s="1"/>
  <c r="J1017" i="18"/>
  <c r="K1017" i="18" s="1"/>
  <c r="J835" i="18"/>
  <c r="K835" i="18" s="1"/>
  <c r="J726" i="18"/>
  <c r="K726" i="18" s="1"/>
  <c r="J984" i="18"/>
  <c r="K984" i="18" s="1"/>
  <c r="J742" i="18"/>
  <c r="K742" i="18" s="1"/>
  <c r="J649" i="18"/>
  <c r="K649" i="18" s="1"/>
  <c r="J921" i="18"/>
  <c r="K921" i="18" s="1"/>
  <c r="J1007" i="18"/>
  <c r="K1007" i="18" s="1"/>
  <c r="J677" i="18"/>
  <c r="K677" i="18" s="1"/>
  <c r="J893" i="18"/>
  <c r="K893" i="18" s="1"/>
  <c r="J745" i="18"/>
  <c r="K745" i="18" s="1"/>
  <c r="J626" i="18"/>
  <c r="K626" i="18" s="1"/>
  <c r="J1046" i="18"/>
  <c r="K1046" i="18" s="1"/>
  <c r="J603" i="18"/>
  <c r="K603" i="18" s="1"/>
  <c r="J857" i="18"/>
  <c r="K857" i="18" s="1"/>
  <c r="J667" i="18"/>
  <c r="K667" i="18" s="1"/>
  <c r="J937" i="18"/>
  <c r="K937" i="18" s="1"/>
  <c r="J619" i="18"/>
  <c r="K619" i="18" s="1"/>
  <c r="J865" i="18"/>
  <c r="K865" i="18" s="1"/>
  <c r="J826" i="18"/>
  <c r="K826" i="18" s="1"/>
  <c r="J598" i="18"/>
  <c r="K598" i="18" s="1"/>
  <c r="J884" i="18"/>
  <c r="K884" i="18" s="1"/>
  <c r="J1055" i="18"/>
  <c r="K1055" i="18" s="1"/>
  <c r="J779" i="18"/>
  <c r="K779" i="18" s="1"/>
  <c r="J999" i="18"/>
  <c r="K999" i="18" s="1"/>
  <c r="J755" i="18"/>
  <c r="K755" i="18" s="1"/>
  <c r="J799" i="18"/>
  <c r="K799" i="18" s="1"/>
  <c r="J854" i="18"/>
  <c r="K854" i="18" s="1"/>
  <c r="J675" i="18"/>
  <c r="K675" i="18" s="1"/>
  <c r="J1004" i="18"/>
  <c r="K1004" i="18" s="1"/>
  <c r="J886" i="18"/>
  <c r="K886" i="18" s="1"/>
  <c r="J1061" i="18"/>
  <c r="K1061" i="18" s="1"/>
  <c r="J851" i="18"/>
  <c r="K851" i="18" s="1"/>
  <c r="J819" i="18"/>
  <c r="K819" i="18" s="1"/>
  <c r="J1049" i="18"/>
  <c r="K1049" i="18" s="1"/>
  <c r="J1031" i="18"/>
  <c r="K1031" i="18" s="1"/>
  <c r="J1039" i="18"/>
  <c r="K1039" i="18" s="1"/>
  <c r="J787" i="18"/>
  <c r="K787" i="18" s="1"/>
  <c r="J788" i="18"/>
  <c r="K788" i="18" s="1"/>
  <c r="J929" i="18"/>
  <c r="K929" i="18" s="1"/>
  <c r="J902" i="18"/>
  <c r="K902" i="18" s="1"/>
  <c r="J911" i="18"/>
  <c r="K911" i="18" s="1"/>
  <c r="J773" i="18"/>
  <c r="K773" i="18" s="1"/>
  <c r="J1038" i="18"/>
  <c r="K1038" i="18" s="1"/>
  <c r="J763" i="18"/>
  <c r="K763" i="18" s="1"/>
  <c r="J871" i="18"/>
  <c r="K871" i="18" s="1"/>
  <c r="J985" i="18"/>
  <c r="K985" i="18" s="1"/>
  <c r="J1040" i="18"/>
  <c r="K1040" i="18" s="1"/>
  <c r="J672" i="18"/>
  <c r="K672" i="18" s="1"/>
  <c r="J770" i="18"/>
  <c r="K770" i="18" s="1"/>
  <c r="J800" i="18"/>
  <c r="K800" i="18" s="1"/>
  <c r="J843" i="18"/>
  <c r="K843" i="18" s="1"/>
  <c r="J641" i="18"/>
  <c r="K641" i="18" s="1"/>
  <c r="J794" i="18"/>
  <c r="K794" i="18" s="1"/>
  <c r="J760" i="18"/>
  <c r="K760" i="18" s="1"/>
  <c r="J834" i="18"/>
  <c r="K834" i="18" s="1"/>
  <c r="J710" i="18"/>
  <c r="K710" i="18" s="1"/>
  <c r="J699" i="18"/>
  <c r="K699" i="18" s="1"/>
  <c r="J827" i="18"/>
  <c r="K827" i="18" s="1"/>
  <c r="J883" i="18"/>
  <c r="K883" i="18" s="1"/>
  <c r="J974" i="18"/>
  <c r="K974" i="18" s="1"/>
  <c r="J798" i="18"/>
  <c r="K798" i="18" s="1"/>
  <c r="J837" i="18"/>
  <c r="K837" i="18" s="1"/>
  <c r="J960" i="18"/>
  <c r="K960" i="18" s="1"/>
  <c r="J977" i="18"/>
  <c r="K977" i="18" s="1"/>
  <c r="J1050" i="18"/>
  <c r="K1050" i="18" s="1"/>
  <c r="J971" i="18"/>
  <c r="K971" i="18" s="1"/>
  <c r="J581" i="18"/>
  <c r="K581" i="18" s="1"/>
  <c r="J953" i="18"/>
  <c r="K953" i="18" s="1"/>
  <c r="J1059" i="18"/>
  <c r="K1059" i="18" s="1"/>
  <c r="J872" i="18"/>
  <c r="K872" i="18" s="1"/>
  <c r="J674" i="18"/>
  <c r="K674" i="18" s="1"/>
  <c r="J1053" i="18"/>
  <c r="K1053" i="18" s="1"/>
  <c r="J572" i="18"/>
  <c r="K572" i="18" s="1"/>
  <c r="J846" i="18"/>
  <c r="K846" i="18" s="1"/>
  <c r="J698" i="18"/>
  <c r="K698" i="18" s="1"/>
  <c r="J949" i="18"/>
  <c r="K949" i="18" s="1"/>
  <c r="J928" i="18"/>
  <c r="K928" i="18" s="1"/>
  <c r="J790" i="18"/>
  <c r="K790" i="18" s="1"/>
  <c r="J1052" i="18"/>
  <c r="K1052" i="18" s="1"/>
  <c r="J908" i="18"/>
  <c r="K908" i="18" s="1"/>
  <c r="J797" i="18"/>
  <c r="K797" i="18" s="1"/>
  <c r="J605" i="18"/>
  <c r="K605" i="18" s="1"/>
  <c r="J670" i="18"/>
  <c r="K670" i="18" s="1"/>
  <c r="J769" i="18"/>
  <c r="K769" i="18" s="1"/>
  <c r="J1032" i="18"/>
  <c r="K1032" i="18" s="1"/>
  <c r="J786" i="18"/>
  <c r="K786" i="18" s="1"/>
  <c r="J920" i="18"/>
  <c r="K920" i="18" s="1"/>
  <c r="J1022" i="18"/>
  <c r="K1022" i="18" s="1"/>
  <c r="J643" i="18"/>
  <c r="K643" i="18" s="1"/>
  <c r="J918" i="18"/>
  <c r="K918" i="18" s="1"/>
  <c r="J1045" i="18"/>
  <c r="K1045" i="18" s="1"/>
  <c r="J975" i="18"/>
  <c r="K975" i="18" s="1"/>
  <c r="J980" i="18"/>
  <c r="K980" i="18" s="1"/>
  <c r="J1035" i="18"/>
  <c r="K1035" i="18" s="1"/>
  <c r="J849" i="18"/>
  <c r="K849" i="18" s="1"/>
  <c r="J781" i="18"/>
  <c r="K781" i="18" s="1"/>
  <c r="J709" i="18"/>
  <c r="K709" i="18" s="1"/>
  <c r="J721" i="18"/>
  <c r="K721" i="18" s="1"/>
  <c r="J1062" i="18"/>
  <c r="K1062" i="18" s="1"/>
  <c r="J782" i="18"/>
  <c r="K782" i="18" s="1"/>
  <c r="J924" i="18"/>
  <c r="K924" i="18" s="1"/>
  <c r="J1047" i="18"/>
  <c r="K1047" i="18" s="1"/>
  <c r="J664" i="18"/>
  <c r="K664" i="18" s="1"/>
  <c r="J896" i="18"/>
  <c r="K896" i="18" s="1"/>
  <c r="J952" i="18"/>
  <c r="K952" i="18" s="1"/>
  <c r="J737" i="18"/>
  <c r="K737" i="18" s="1"/>
  <c r="J606" i="18"/>
  <c r="K606" i="18" s="1"/>
  <c r="J684" i="18"/>
  <c r="K684" i="18" s="1"/>
  <c r="J617" i="18"/>
  <c r="K617" i="18" s="1"/>
  <c r="J973" i="18"/>
  <c r="K973" i="18" s="1"/>
  <c r="J741" i="18"/>
  <c r="K741" i="18" s="1"/>
  <c r="J722" i="18"/>
  <c r="K722" i="18" s="1"/>
  <c r="J793" i="18"/>
  <c r="K793" i="18" s="1"/>
  <c r="J723" i="18"/>
  <c r="K723" i="18" s="1"/>
  <c r="J650" i="18"/>
  <c r="K650" i="18" s="1"/>
  <c r="J882" i="18"/>
  <c r="K882" i="18" s="1"/>
  <c r="J803" i="18"/>
  <c r="K803" i="18" s="1"/>
  <c r="J1042" i="18"/>
  <c r="K1042" i="18" s="1"/>
  <c r="J768" i="18"/>
  <c r="K768" i="18" s="1"/>
  <c r="J926" i="18"/>
  <c r="K926" i="18" s="1"/>
  <c r="J778" i="18"/>
  <c r="K778" i="18" s="1"/>
  <c r="J1012" i="18"/>
  <c r="K1012" i="18" s="1"/>
  <c r="J1021" i="18"/>
  <c r="K1021" i="18" s="1"/>
  <c r="J666" i="18"/>
  <c r="K666" i="18" s="1"/>
  <c r="J634" i="18"/>
  <c r="K634" i="18" s="1"/>
  <c r="J939" i="18"/>
  <c r="K939" i="18" s="1"/>
  <c r="J897" i="18"/>
  <c r="K897" i="18" s="1"/>
  <c r="J950" i="18"/>
  <c r="K950" i="18" s="1"/>
  <c r="J970" i="18"/>
  <c r="K970" i="18" s="1"/>
  <c r="J654" i="18"/>
  <c r="K654" i="18" s="1"/>
  <c r="J925" i="18"/>
  <c r="K925" i="18" s="1"/>
  <c r="J627" i="18"/>
  <c r="K627" i="18" s="1"/>
  <c r="J870" i="18"/>
  <c r="K870" i="18" s="1"/>
  <c r="J1051" i="18"/>
  <c r="K1051" i="18" s="1"/>
  <c r="J566" i="18"/>
  <c r="K566" i="18" s="1"/>
  <c r="J888" i="18"/>
  <c r="K888" i="18" s="1"/>
  <c r="J889" i="18"/>
  <c r="K889" i="18" s="1"/>
  <c r="J938" i="18"/>
  <c r="K938" i="18" s="1"/>
  <c r="J713" i="18"/>
  <c r="K713" i="18" s="1"/>
  <c r="J966" i="18"/>
  <c r="K966" i="18" s="1"/>
  <c r="J802" i="18"/>
  <c r="K802" i="18" s="1"/>
  <c r="J913" i="18"/>
  <c r="K913" i="18" s="1"/>
  <c r="J981" i="18"/>
  <c r="K981" i="18" s="1"/>
  <c r="J998" i="18"/>
  <c r="K998" i="18" s="1"/>
  <c r="J662" i="18"/>
  <c r="K662" i="18" s="1"/>
  <c r="J637" i="18"/>
  <c r="K637" i="18" s="1"/>
  <c r="J1048" i="18"/>
  <c r="K1048" i="18" s="1"/>
  <c r="J931" i="18"/>
  <c r="K931" i="18" s="1"/>
  <c r="J828" i="18"/>
  <c r="K828" i="18" s="1"/>
  <c r="J942" i="18"/>
  <c r="K942" i="18" s="1"/>
  <c r="J590" i="18"/>
  <c r="K590" i="18" s="1"/>
  <c r="J596" i="18"/>
  <c r="K596" i="18" s="1"/>
  <c r="J934" i="18"/>
  <c r="K934" i="18" s="1"/>
  <c r="J1027" i="18"/>
  <c r="K1027" i="18" s="1"/>
  <c r="J636" i="18"/>
  <c r="K636" i="18" s="1"/>
  <c r="J706" i="18"/>
  <c r="K706" i="18" s="1"/>
  <c r="J651" i="18"/>
  <c r="K651" i="18" s="1"/>
  <c r="J997" i="18"/>
  <c r="K997" i="18" s="1"/>
  <c r="J944" i="18"/>
  <c r="K944" i="18" s="1"/>
  <c r="J700" i="18"/>
  <c r="K700" i="18" s="1"/>
  <c r="J1023" i="18"/>
  <c r="K1023" i="18" s="1"/>
  <c r="J739" i="18"/>
  <c r="K739" i="18" s="1"/>
  <c r="J753" i="18"/>
  <c r="K753" i="18" s="1"/>
  <c r="J995" i="18"/>
  <c r="K995" i="18" s="1"/>
  <c r="J859" i="18"/>
  <c r="K859" i="18" s="1"/>
  <c r="J571" i="18"/>
  <c r="K571" i="18" s="1"/>
  <c r="J867" i="18"/>
  <c r="K867" i="18" s="1"/>
  <c r="J597" i="18"/>
  <c r="K597" i="18" s="1"/>
  <c r="J845" i="18"/>
  <c r="K845" i="18" s="1"/>
  <c r="J1000" i="18"/>
  <c r="K1000" i="18" s="1"/>
  <c r="J1001" i="18"/>
  <c r="K1001" i="18" s="1"/>
  <c r="J642" i="18"/>
  <c r="K642" i="18" s="1"/>
  <c r="J1028" i="18"/>
  <c r="K1028" i="18" s="1"/>
  <c r="J880" i="18"/>
  <c r="K880" i="18" s="1"/>
  <c r="J1058" i="18"/>
  <c r="K1058" i="18" s="1"/>
  <c r="J673" i="18"/>
  <c r="K673" i="18" s="1"/>
  <c r="J718" i="18"/>
  <c r="K718" i="18" s="1"/>
  <c r="J622" i="18"/>
  <c r="K622" i="18" s="1"/>
  <c r="J565" i="18"/>
  <c r="K565" i="18" s="1"/>
  <c r="J876" i="18"/>
  <c r="K876" i="18" s="1"/>
  <c r="J825" i="18"/>
  <c r="K825" i="18" s="1"/>
  <c r="J862" i="18"/>
  <c r="K862" i="18" s="1"/>
  <c r="J766" i="18"/>
  <c r="K766" i="18" s="1"/>
  <c r="J890" i="18"/>
  <c r="K890" i="18" s="1"/>
  <c r="J814" i="18"/>
  <c r="K814" i="18" s="1"/>
  <c r="J805" i="18"/>
  <c r="K805" i="18" s="1"/>
  <c r="J914" i="18"/>
  <c r="K914" i="18" s="1"/>
  <c r="J758" i="18"/>
  <c r="K758" i="18" s="1"/>
  <c r="J1003" i="18"/>
  <c r="K1003" i="18" s="1"/>
  <c r="J899" i="18"/>
  <c r="K899" i="18" s="1"/>
  <c r="J1054" i="18"/>
  <c r="K1054" i="18" s="1"/>
  <c r="J804" i="18"/>
  <c r="K804" i="18" s="1"/>
  <c r="J756" i="18"/>
  <c r="K756" i="18" s="1"/>
  <c r="J725" i="18"/>
  <c r="K725" i="18" s="1"/>
  <c r="J987" i="18"/>
  <c r="K987" i="18" s="1"/>
  <c r="J927" i="18"/>
  <c r="K927" i="18" s="1"/>
  <c r="J595" i="18"/>
  <c r="K595" i="18" s="1"/>
  <c r="J887" i="18"/>
  <c r="K887" i="18" s="1"/>
  <c r="J714" i="18"/>
  <c r="K714" i="18" s="1"/>
  <c r="J892" i="18"/>
  <c r="K892" i="18" s="1"/>
  <c r="J1060" i="18"/>
  <c r="K1060" i="18" s="1"/>
  <c r="J822" i="18"/>
  <c r="K822" i="18" s="1"/>
  <c r="J795" i="18"/>
  <c r="K795" i="18" s="1"/>
  <c r="J885" i="18"/>
  <c r="K885" i="18" s="1"/>
  <c r="J858" i="18"/>
  <c r="K858" i="18" s="1"/>
  <c r="J733" i="18"/>
  <c r="K733" i="18" s="1"/>
  <c r="J993" i="18"/>
  <c r="K993" i="18" s="1"/>
  <c r="J685" i="18"/>
  <c r="K685" i="18" s="1"/>
  <c r="J557" i="18"/>
  <c r="K557" i="18" s="1"/>
  <c r="J717" i="18"/>
  <c r="K717" i="18" s="1"/>
  <c r="J992" i="18"/>
  <c r="K992" i="18" s="1"/>
  <c r="J813" i="18"/>
  <c r="K813" i="18" s="1"/>
  <c r="J957" i="18"/>
  <c r="K957" i="18" s="1"/>
  <c r="J898" i="18"/>
  <c r="K898" i="18" s="1"/>
  <c r="J1044" i="18"/>
  <c r="K1044" i="18" s="1"/>
  <c r="J555" i="18"/>
  <c r="K555" i="18" s="1"/>
  <c r="J620" i="18"/>
  <c r="K620" i="18" s="1"/>
  <c r="J990" i="18"/>
  <c r="K990" i="18" s="1"/>
  <c r="J841" i="18"/>
  <c r="K841" i="18" s="1"/>
  <c r="J648" i="18"/>
  <c r="K648" i="18" s="1"/>
  <c r="J906" i="18"/>
  <c r="K906" i="18" s="1"/>
  <c r="J1020" i="18"/>
  <c r="K1020" i="18" s="1"/>
  <c r="J842" i="18"/>
  <c r="K842" i="18" s="1"/>
  <c r="J923" i="18"/>
  <c r="K923" i="18" s="1"/>
  <c r="J1011" i="18"/>
  <c r="K1011" i="18" s="1"/>
  <c r="J836" i="18"/>
  <c r="K836" i="18" s="1"/>
  <c r="J707" i="18"/>
  <c r="K707" i="18" s="1"/>
  <c r="J754" i="18"/>
  <c r="K754" i="18" s="1"/>
  <c r="J868" i="18"/>
  <c r="K868" i="18" s="1"/>
  <c r="J866" i="18"/>
  <c r="K866" i="18" s="1"/>
  <c r="J604" i="18"/>
  <c r="K604" i="18" s="1"/>
  <c r="J968" i="18"/>
  <c r="K968" i="18" s="1"/>
  <c r="J747" i="18"/>
  <c r="K747" i="18" s="1"/>
  <c r="J810" i="18"/>
  <c r="K810" i="18" s="1"/>
  <c r="J764" i="18"/>
  <c r="K764" i="18" s="1"/>
  <c r="J775" i="18"/>
  <c r="K775" i="18" s="1"/>
  <c r="J638" i="18"/>
  <c r="K638" i="18" s="1"/>
  <c r="J982" i="18"/>
  <c r="K982" i="18" s="1"/>
  <c r="J1043" i="18"/>
  <c r="K1043" i="18" s="1"/>
  <c r="J873" i="18"/>
  <c r="K873" i="18" s="1"/>
  <c r="J910" i="18"/>
  <c r="K910" i="18" s="1"/>
  <c r="J820" i="18"/>
  <c r="K820" i="18" s="1"/>
  <c r="J861" i="18"/>
  <c r="K861" i="18" s="1"/>
  <c r="J611" i="18"/>
  <c r="K611" i="18" s="1"/>
  <c r="J594" i="18"/>
  <c r="K594" i="18" s="1"/>
  <c r="J686" i="18"/>
  <c r="K686" i="18" s="1"/>
  <c r="J630" i="18"/>
  <c r="K630" i="18" s="1"/>
  <c r="J765" i="18"/>
  <c r="K765" i="18" s="1"/>
  <c r="J850" i="18"/>
  <c r="K850" i="18" s="1"/>
  <c r="J916" i="18"/>
  <c r="K916" i="18" s="1"/>
  <c r="J986" i="18"/>
  <c r="K986" i="18" s="1"/>
  <c r="J961" i="18"/>
  <c r="K961" i="18" s="1"/>
  <c r="J1019" i="18"/>
  <c r="K1019" i="18" s="1"/>
  <c r="J933" i="18"/>
  <c r="K933" i="18" s="1"/>
  <c r="J657" i="18"/>
  <c r="K657" i="18" s="1"/>
  <c r="J659" i="18"/>
  <c r="K659" i="18" s="1"/>
  <c r="J907" i="18"/>
  <c r="K907" i="18" s="1"/>
  <c r="J574" i="18"/>
  <c r="K574" i="18" s="1"/>
  <c r="J936" i="18"/>
  <c r="K936" i="18" s="1"/>
  <c r="J668" i="18"/>
  <c r="K668" i="18" s="1"/>
  <c r="J976" i="18"/>
  <c r="K976" i="18" s="1"/>
  <c r="J780" i="18"/>
  <c r="K780" i="18" s="1"/>
  <c r="J628" i="18"/>
  <c r="K628" i="18" s="1"/>
  <c r="J730" i="18"/>
  <c r="K730" i="18" s="1"/>
  <c r="J796" i="18"/>
  <c r="K796" i="18" s="1"/>
  <c r="J972" i="18"/>
  <c r="K972" i="18" s="1"/>
  <c r="J761" i="18"/>
  <c r="K761" i="18" s="1"/>
  <c r="J589" i="18"/>
  <c r="K589" i="18" s="1"/>
  <c r="J660" i="18"/>
  <c r="K660" i="18" s="1"/>
  <c r="J752" i="18"/>
  <c r="K752" i="18" s="1"/>
  <c r="J652" i="18"/>
  <c r="K652" i="18" s="1"/>
  <c r="J772" i="18"/>
  <c r="K772" i="18" s="1"/>
  <c r="J612" i="18"/>
  <c r="K612" i="18" s="1"/>
  <c r="J746" i="18"/>
  <c r="K746" i="18" s="1"/>
  <c r="J875" i="18"/>
  <c r="K875" i="18" s="1"/>
  <c r="J678" i="18"/>
  <c r="K678" i="18" s="1"/>
  <c r="J1002" i="18"/>
  <c r="K1002" i="18" s="1"/>
  <c r="J750" i="18"/>
  <c r="K750" i="18" s="1"/>
  <c r="J558" i="18"/>
  <c r="K558" i="18" s="1"/>
  <c r="J740" i="18"/>
  <c r="K740" i="18" s="1"/>
  <c r="J806" i="18"/>
  <c r="K806" i="18" s="1"/>
  <c r="J573" i="18"/>
  <c r="K573" i="18" s="1"/>
  <c r="J1030" i="18"/>
  <c r="K1030" i="18" s="1"/>
  <c r="B540" i="18"/>
  <c r="J958" i="18"/>
  <c r="K958" i="18" s="1"/>
  <c r="J1025" i="18"/>
  <c r="K1025" i="18" s="1"/>
  <c r="J715" i="18"/>
  <c r="K715" i="18" s="1"/>
  <c r="J1041" i="18"/>
  <c r="K1041" i="18" s="1"/>
  <c r="J1033" i="18"/>
  <c r="K1033" i="18" s="1"/>
  <c r="J864" i="18"/>
  <c r="K864" i="18" s="1"/>
  <c r="J744" i="18"/>
  <c r="K744" i="18" s="1"/>
  <c r="J1008" i="18"/>
  <c r="K1008" i="18" s="1"/>
  <c r="J613" i="18"/>
  <c r="K613" i="18" s="1"/>
  <c r="J941" i="18"/>
  <c r="K941" i="18" s="1"/>
  <c r="J945" i="18"/>
  <c r="K945" i="18" s="1"/>
  <c r="J1018" i="18"/>
  <c r="K1018" i="18" s="1"/>
  <c r="J582" i="18"/>
  <c r="K582" i="18" s="1"/>
  <c r="J895" i="18"/>
  <c r="K895" i="18" s="1"/>
  <c r="J912" i="18"/>
  <c r="K912" i="18" s="1"/>
  <c r="J904" i="18"/>
  <c r="K904" i="18" s="1"/>
  <c r="J1036" i="18"/>
  <c r="K1036" i="18" s="1"/>
  <c r="J809" i="18"/>
  <c r="K809" i="18" s="1"/>
  <c r="J878" i="18"/>
  <c r="K878" i="18" s="1"/>
  <c r="J879" i="18"/>
  <c r="K879" i="18" s="1"/>
  <c r="J644" i="18"/>
  <c r="K644" i="18" s="1"/>
  <c r="J1024" i="18"/>
  <c r="K1024" i="18" s="1"/>
  <c r="J909" i="18"/>
  <c r="K909" i="18" s="1"/>
  <c r="J877" i="18"/>
  <c r="K877" i="18" s="1"/>
  <c r="J1005" i="18"/>
  <c r="K1005" i="18" s="1"/>
  <c r="J1037" i="18"/>
  <c r="K1037" i="18" s="1"/>
  <c r="J771" i="18"/>
  <c r="K771" i="18" s="1"/>
  <c r="J669" i="18"/>
  <c r="K669" i="18" s="1"/>
  <c r="J978" i="18"/>
  <c r="K978" i="18" s="1"/>
  <c r="J748" i="18"/>
  <c r="K748" i="18" s="1"/>
  <c r="J789" i="18"/>
  <c r="K789" i="18" s="1"/>
  <c r="J1016" i="18"/>
  <c r="K1016" i="18" s="1"/>
  <c r="J1006" i="18"/>
  <c r="K1006" i="18" s="1"/>
  <c r="J844" i="18"/>
  <c r="K844" i="18" s="1"/>
  <c r="J801" i="18"/>
  <c r="K801" i="18" s="1"/>
  <c r="J694" i="18"/>
  <c r="K694" i="18" s="1"/>
  <c r="J776" i="18"/>
  <c r="K776" i="18" s="1"/>
  <c r="J734" i="18"/>
  <c r="K734" i="18" s="1"/>
  <c r="J946" i="18"/>
  <c r="K946" i="18" s="1"/>
  <c r="J948" i="18"/>
  <c r="K948" i="18" s="1"/>
  <c r="J903" i="18"/>
  <c r="K903" i="18" s="1"/>
  <c r="J629" i="18"/>
  <c r="K629" i="18" s="1"/>
  <c r="J991" i="18"/>
  <c r="K991" i="18" s="1"/>
  <c r="J1057" i="18"/>
  <c r="K1057" i="18" s="1"/>
  <c r="J994" i="18"/>
  <c r="K994" i="18" s="1"/>
  <c r="J656" i="18"/>
  <c r="K656" i="18" s="1"/>
  <c r="J947" i="18"/>
  <c r="K947" i="18" s="1"/>
  <c r="J853" i="18"/>
  <c r="K853" i="18" s="1"/>
  <c r="J874" i="18"/>
  <c r="K874" i="18" s="1"/>
  <c r="J869" i="18"/>
  <c r="K869" i="18" s="1"/>
  <c r="J833" i="18"/>
  <c r="K833" i="18" s="1"/>
  <c r="J811" i="18"/>
  <c r="K811" i="18" s="1"/>
  <c r="J905" i="18"/>
  <c r="K905" i="18" s="1"/>
  <c r="J989" i="18"/>
  <c r="K989" i="18" s="1"/>
  <c r="J645" i="18"/>
  <c r="K645" i="18" s="1"/>
  <c r="J658" i="18"/>
  <c r="K658" i="18" s="1"/>
  <c r="J682" i="18"/>
  <c r="K682" i="18" s="1"/>
  <c r="J653" i="18"/>
  <c r="K653" i="18" s="1"/>
  <c r="J729" i="18"/>
  <c r="K729" i="18" s="1"/>
  <c r="J676" i="18"/>
  <c r="K676" i="18" s="1"/>
  <c r="J955" i="18"/>
  <c r="K955" i="18" s="1"/>
  <c r="J618" i="18"/>
  <c r="K618" i="18" s="1"/>
  <c r="J988" i="18"/>
  <c r="K988" i="18" s="1"/>
  <c r="J587" i="18"/>
  <c r="K587" i="18" s="1"/>
  <c r="J817" i="18"/>
  <c r="K817" i="18" s="1"/>
  <c r="J661" i="18"/>
  <c r="K661" i="18" s="1"/>
  <c r="J563" i="18"/>
  <c r="K563" i="18" s="1"/>
  <c r="J818" i="18"/>
  <c r="K818" i="18" s="1"/>
  <c r="J852" i="18"/>
  <c r="K852" i="18" s="1"/>
  <c r="J1010" i="18"/>
  <c r="K1010" i="18" s="1"/>
  <c r="J1014" i="18"/>
  <c r="K1014" i="18" s="1"/>
  <c r="J932" i="18"/>
  <c r="K932" i="18" s="1"/>
  <c r="J881" i="18"/>
  <c r="K881" i="18" s="1"/>
  <c r="J724" i="18"/>
  <c r="K724" i="18" s="1"/>
  <c r="J602" i="18"/>
  <c r="K602" i="18" s="1"/>
  <c r="J621" i="18"/>
  <c r="K621" i="18" s="1"/>
  <c r="J784" i="18"/>
  <c r="K784" i="18" s="1"/>
  <c r="J635" i="18"/>
  <c r="K635" i="18" s="1"/>
  <c r="J762" i="18"/>
  <c r="K762" i="18" s="1"/>
  <c r="J580" i="18"/>
  <c r="K580" i="18" s="1"/>
  <c r="J954" i="18"/>
  <c r="K954" i="18" s="1"/>
  <c r="J774" i="18"/>
  <c r="K774" i="18" s="1"/>
  <c r="J983" i="18"/>
  <c r="K983" i="18" s="1"/>
  <c r="J956" i="18"/>
  <c r="K956" i="18" s="1"/>
  <c r="J1026" i="18"/>
  <c r="K1026" i="18" s="1"/>
  <c r="J665" i="18"/>
  <c r="K665" i="18" s="1"/>
  <c r="J812" i="18"/>
  <c r="K812" i="18" s="1"/>
  <c r="J838" i="18"/>
  <c r="K838" i="18" s="1"/>
  <c r="J588" i="18"/>
  <c r="K588" i="18" s="1"/>
  <c r="J1009" i="18"/>
  <c r="K1009" i="18" s="1"/>
  <c r="J683" i="18"/>
  <c r="K683" i="18" s="1"/>
  <c r="J791" i="18"/>
  <c r="K791" i="18" s="1"/>
  <c r="J979" i="18"/>
  <c r="K979" i="18" s="1"/>
  <c r="N221" i="18"/>
  <c r="N150" i="18"/>
  <c r="N193" i="18"/>
  <c r="N566" i="18"/>
  <c r="N693" i="18"/>
  <c r="N944" i="18"/>
  <c r="N844" i="18"/>
  <c r="N414" i="18"/>
  <c r="N409" i="18"/>
  <c r="N143" i="18"/>
  <c r="N393" i="18"/>
  <c r="N949" i="18"/>
  <c r="N914" i="18"/>
  <c r="N577" i="18"/>
  <c r="N969" i="18"/>
  <c r="N446" i="18"/>
  <c r="N361" i="18"/>
  <c r="N133" i="18"/>
  <c r="N126" i="18"/>
  <c r="N125" i="18"/>
  <c r="N301" i="18"/>
  <c r="N700" i="18"/>
  <c r="N33" i="18"/>
  <c r="N183" i="18"/>
  <c r="N81" i="18"/>
  <c r="N369" i="18"/>
  <c r="N858" i="18"/>
  <c r="N927" i="18"/>
  <c r="G77" i="5"/>
  <c r="G103" i="5" s="1"/>
  <c r="N825" i="18"/>
  <c r="N916" i="18"/>
  <c r="N1032" i="18"/>
  <c r="N692" i="18"/>
  <c r="N896" i="18"/>
  <c r="N1057" i="18"/>
  <c r="N787" i="18"/>
  <c r="N796" i="18"/>
  <c r="N254" i="18"/>
  <c r="N444" i="18"/>
  <c r="N374" i="18"/>
  <c r="N477" i="18"/>
  <c r="N940" i="18"/>
  <c r="N584" i="18"/>
  <c r="N63" i="18"/>
  <c r="N498" i="18"/>
  <c r="N302" i="18"/>
  <c r="N391" i="18"/>
  <c r="N1046" i="18"/>
  <c r="N562" i="18"/>
  <c r="N107" i="18"/>
  <c r="N990" i="18"/>
  <c r="N313" i="18"/>
  <c r="N429" i="18"/>
  <c r="N256" i="18"/>
  <c r="N342" i="18"/>
  <c r="N551" i="18"/>
  <c r="N669" i="18"/>
  <c r="N596" i="18"/>
  <c r="N733" i="18"/>
  <c r="N491" i="18"/>
  <c r="N277" i="18"/>
  <c r="N813" i="18"/>
  <c r="N945" i="18"/>
  <c r="N674" i="18"/>
  <c r="N132" i="18"/>
  <c r="N71" i="18"/>
  <c r="N212" i="18"/>
  <c r="N25" i="18"/>
  <c r="N528" i="18"/>
  <c r="N440" i="18"/>
  <c r="N396" i="18"/>
  <c r="N166" i="18"/>
  <c r="N275" i="18"/>
  <c r="N109" i="18"/>
  <c r="N439" i="18"/>
  <c r="N158" i="18"/>
  <c r="N903" i="18"/>
  <c r="N955" i="18"/>
  <c r="N1007" i="18"/>
  <c r="N89" i="18"/>
  <c r="N242" i="18"/>
  <c r="N458" i="18"/>
  <c r="N24" i="18"/>
  <c r="N1045" i="18"/>
  <c r="N731" i="18"/>
  <c r="N827" i="18"/>
  <c r="N1041" i="18"/>
  <c r="N262" i="18"/>
  <c r="N377" i="18"/>
  <c r="N236" i="18"/>
  <c r="N246" i="18"/>
  <c r="N801" i="18"/>
  <c r="N646" i="18"/>
  <c r="N1043" i="18"/>
  <c r="N954" i="18"/>
  <c r="N809" i="18"/>
  <c r="N378" i="18"/>
  <c r="N177" i="18"/>
  <c r="N329" i="18"/>
  <c r="N23" i="18"/>
  <c r="N958" i="18"/>
  <c r="N1054" i="18"/>
  <c r="N946" i="18"/>
  <c r="N555" i="18"/>
  <c r="N403" i="18"/>
  <c r="N144" i="18"/>
  <c r="N271" i="18"/>
  <c r="N139" i="18"/>
  <c r="N615" i="18"/>
  <c r="N639" i="18"/>
  <c r="N1002" i="18"/>
  <c r="N884" i="18"/>
  <c r="N316" i="18"/>
  <c r="N1005" i="18"/>
  <c r="N660" i="18"/>
  <c r="N628" i="18"/>
  <c r="N136" i="18"/>
  <c r="N46" i="18"/>
  <c r="N476" i="18"/>
  <c r="N115" i="18"/>
  <c r="N652" i="18"/>
  <c r="N853" i="18"/>
  <c r="N865" i="18"/>
  <c r="N869" i="18"/>
  <c r="N501" i="18"/>
  <c r="N984" i="18"/>
  <c r="N763" i="18"/>
  <c r="N727" i="18"/>
  <c r="N719" i="18"/>
  <c r="N759" i="18"/>
  <c r="N124" i="18"/>
  <c r="N593" i="18"/>
  <c r="N753" i="18"/>
  <c r="N168" i="18"/>
  <c r="N258" i="18"/>
  <c r="N358" i="18"/>
  <c r="N88" i="18"/>
  <c r="N319" i="18"/>
  <c r="N793" i="18"/>
  <c r="N905" i="18"/>
  <c r="N119" i="18"/>
  <c r="N148" i="18"/>
  <c r="N214" i="18"/>
  <c r="N44" i="18"/>
  <c r="N673" i="18"/>
  <c r="N783" i="18"/>
  <c r="N517" i="18"/>
  <c r="N620" i="18"/>
  <c r="N502" i="18"/>
  <c r="N351" i="18"/>
  <c r="N527" i="18"/>
  <c r="N167" i="18"/>
  <c r="N573" i="18"/>
  <c r="N850" i="18"/>
  <c r="N928" i="18"/>
  <c r="N878" i="18"/>
  <c r="N37" i="18"/>
  <c r="N113" i="18"/>
  <c r="N480" i="18"/>
  <c r="N245" i="18"/>
  <c r="N264" i="18"/>
  <c r="N478" i="18"/>
  <c r="N817" i="18"/>
  <c r="N572" i="18"/>
  <c r="N854" i="18"/>
  <c r="N791" i="18"/>
  <c r="N622" i="18"/>
  <c r="N232" i="18"/>
  <c r="N355" i="18"/>
  <c r="N328" i="18"/>
  <c r="N169" i="18"/>
  <c r="N729" i="18"/>
  <c r="N747" i="18"/>
  <c r="N587" i="18"/>
  <c r="N758" i="18"/>
  <c r="N268" i="18"/>
  <c r="N206" i="18"/>
  <c r="N471" i="18"/>
  <c r="N241" i="18"/>
  <c r="N687" i="18"/>
  <c r="N886" i="18"/>
  <c r="N785" i="18"/>
  <c r="N1056" i="18"/>
  <c r="N799" i="18"/>
  <c r="N427" i="18"/>
  <c r="N205" i="18"/>
  <c r="N871" i="18"/>
  <c r="N959" i="18"/>
  <c r="N841" i="18"/>
  <c r="N202" i="18"/>
  <c r="N116" i="18"/>
  <c r="N55" i="18"/>
  <c r="N218" i="18"/>
  <c r="N911" i="18"/>
  <c r="N989" i="18"/>
  <c r="N956" i="18"/>
  <c r="N893" i="18"/>
  <c r="N382" i="18"/>
  <c r="N852" i="18"/>
  <c r="N873" i="18"/>
  <c r="N554" i="18"/>
  <c r="N474" i="18"/>
  <c r="N424" i="18"/>
  <c r="N238" i="18"/>
  <c r="N469" i="18"/>
  <c r="N598" i="18"/>
  <c r="N582" i="18"/>
  <c r="N1017" i="18"/>
  <c r="N892" i="18"/>
  <c r="N69" i="18"/>
  <c r="N824" i="18"/>
  <c r="N889" i="18"/>
  <c r="N994" i="18"/>
  <c r="N766" i="18"/>
  <c r="N606" i="18"/>
  <c r="N681" i="18"/>
  <c r="N812" i="18"/>
  <c r="N778" i="18"/>
  <c r="N755" i="18"/>
  <c r="N1060" i="18"/>
  <c r="N897" i="18"/>
  <c r="N1059" i="18"/>
  <c r="N317" i="18"/>
  <c r="N394" i="18"/>
  <c r="N370" i="18"/>
  <c r="N386" i="18"/>
  <c r="N95" i="18"/>
  <c r="N52" i="18"/>
  <c r="N442" i="18"/>
  <c r="N490" i="18"/>
  <c r="N243" i="18"/>
  <c r="N654" i="18"/>
  <c r="N992" i="18"/>
  <c r="N371" i="18"/>
  <c r="N112" i="18"/>
  <c r="N134" i="18"/>
  <c r="N691" i="18"/>
  <c r="N807" i="18"/>
  <c r="N931" i="18"/>
  <c r="N676" i="18"/>
  <c r="N334" i="18"/>
  <c r="N405" i="18"/>
  <c r="N434" i="18"/>
  <c r="N740" i="18"/>
  <c r="N1024" i="18"/>
  <c r="N679" i="18"/>
  <c r="N756" i="18"/>
  <c r="N468" i="18"/>
  <c r="N459" i="18"/>
  <c r="N38" i="18"/>
  <c r="N108" i="18"/>
  <c r="N658" i="18"/>
  <c r="N776" i="18"/>
  <c r="N662" i="18"/>
  <c r="N950" i="18"/>
  <c r="N348" i="18"/>
  <c r="N339" i="18"/>
  <c r="N137" i="18"/>
  <c r="N344" i="18"/>
  <c r="N784" i="18"/>
  <c r="N855" i="18"/>
  <c r="N623" i="18"/>
  <c r="N640" i="18"/>
  <c r="N138" i="18"/>
  <c r="N266" i="18"/>
  <c r="N45" i="18"/>
  <c r="N54" i="18"/>
  <c r="N847" i="18"/>
  <c r="N985" i="18"/>
  <c r="N712" i="18"/>
  <c r="N117" i="18"/>
  <c r="N200" i="18"/>
  <c r="N79" i="18"/>
  <c r="N510" i="18"/>
  <c r="N66" i="18"/>
  <c r="N760" i="18"/>
  <c r="N625" i="18"/>
  <c r="N1015" i="18"/>
  <c r="N805" i="18"/>
  <c r="N244" i="18"/>
  <c r="N618" i="18"/>
  <c r="N685" i="18"/>
  <c r="N197" i="18"/>
  <c r="N225" i="18"/>
  <c r="N523" i="18"/>
  <c r="N213" i="18"/>
  <c r="N314" i="18"/>
  <c r="N907" i="18"/>
  <c r="N742" i="18"/>
  <c r="N966" i="18"/>
  <c r="N634" i="18"/>
  <c r="N196" i="18"/>
  <c r="N1009" i="18"/>
  <c r="N671" i="18"/>
  <c r="N856" i="18"/>
  <c r="N664" i="18"/>
  <c r="N609" i="18"/>
  <c r="N880" i="18"/>
  <c r="N696" i="18"/>
  <c r="N599" i="18"/>
  <c r="N736" i="18"/>
  <c r="N629" i="18"/>
  <c r="N1029" i="18"/>
  <c r="N752" i="18"/>
  <c r="N161" i="18"/>
  <c r="N304" i="18"/>
  <c r="N513" i="18"/>
  <c r="N1052" i="18"/>
  <c r="N964" i="18"/>
  <c r="N1027" i="18"/>
  <c r="N255" i="18"/>
  <c r="N443" i="18"/>
  <c r="N77" i="18"/>
  <c r="N171" i="18"/>
  <c r="N968" i="18"/>
  <c r="N1049" i="18"/>
  <c r="N20" i="18"/>
  <c r="N449" i="18"/>
  <c r="N129" i="18"/>
  <c r="N231" i="18"/>
  <c r="N104" i="18"/>
  <c r="N1025" i="18"/>
  <c r="N876" i="18"/>
  <c r="N829" i="18"/>
  <c r="N947" i="18"/>
  <c r="N61" i="18"/>
  <c r="N420" i="18"/>
  <c r="N284" i="18"/>
  <c r="N357" i="18"/>
  <c r="N57" i="18"/>
  <c r="N466" i="18"/>
  <c r="N413" i="18"/>
  <c r="N472" i="18"/>
  <c r="N602" i="18"/>
  <c r="N376" i="18"/>
  <c r="N300" i="18"/>
  <c r="N461" i="18"/>
  <c r="N149" i="18"/>
  <c r="N649" i="18"/>
  <c r="N739" i="18"/>
  <c r="N1051" i="18"/>
  <c r="N867" i="18"/>
  <c r="N400" i="18"/>
  <c r="N40" i="18"/>
  <c r="N273" i="18"/>
  <c r="N996" i="18"/>
  <c r="N835" i="18"/>
  <c r="N1008" i="18"/>
  <c r="N863" i="18"/>
  <c r="N822" i="18"/>
  <c r="N309" i="18"/>
  <c r="N240" i="18"/>
  <c r="N506" i="18"/>
  <c r="N352" i="18"/>
  <c r="N591" i="18"/>
  <c r="N574" i="18"/>
  <c r="N811" i="18"/>
  <c r="N581" i="18"/>
  <c r="N64" i="18"/>
  <c r="N90" i="18"/>
  <c r="N65" i="18"/>
  <c r="N211" i="18"/>
  <c r="N590" i="18"/>
  <c r="N557" i="18"/>
  <c r="N915" i="18"/>
  <c r="N828" i="18"/>
  <c r="N189" i="18"/>
  <c r="N190" i="18"/>
  <c r="N465" i="18"/>
  <c r="N145" i="18"/>
  <c r="N803" i="18"/>
  <c r="N814" i="18"/>
  <c r="N934" i="18"/>
  <c r="N768" i="18"/>
  <c r="N103" i="18"/>
  <c r="N894" i="18"/>
  <c r="N636" i="18"/>
  <c r="N332" i="18"/>
  <c r="N522" i="18"/>
  <c r="N39" i="18"/>
  <c r="N93" i="18"/>
  <c r="N921" i="18"/>
  <c r="N1055" i="18"/>
  <c r="N961" i="18"/>
  <c r="N744" i="18"/>
  <c r="N296" i="18"/>
  <c r="N436" i="18"/>
  <c r="N586" i="18"/>
  <c r="N595" i="18"/>
  <c r="N601" i="18"/>
  <c r="N567" i="18"/>
  <c r="N1031" i="18"/>
  <c r="N1014" i="18"/>
  <c r="N939" i="18"/>
  <c r="N320" i="18"/>
  <c r="N330" i="18"/>
  <c r="N843" i="18"/>
  <c r="N888" i="18"/>
  <c r="N818" i="18"/>
  <c r="N228" i="18"/>
  <c r="N237" i="18"/>
  <c r="N80" i="18"/>
  <c r="N76" i="18"/>
  <c r="N648" i="18"/>
  <c r="N656" i="18"/>
  <c r="N290" i="18"/>
  <c r="N60" i="18"/>
  <c r="N504" i="18"/>
  <c r="N106" i="18"/>
  <c r="N372" i="18"/>
  <c r="N560" i="18"/>
  <c r="N667" i="18"/>
  <c r="N898" i="18"/>
  <c r="N899" i="18"/>
  <c r="N267" i="18"/>
  <c r="N388" i="18"/>
  <c r="N56" i="18"/>
  <c r="N311" i="18"/>
  <c r="N670" i="18"/>
  <c r="N1000" i="18"/>
  <c r="N832" i="18"/>
  <c r="N695" i="18"/>
  <c r="N1053" i="18"/>
  <c r="N512" i="18"/>
  <c r="N508" i="18"/>
  <c r="N155" i="18"/>
  <c r="N160" i="18"/>
  <c r="N421" i="18"/>
  <c r="N426" i="18"/>
  <c r="N100" i="18"/>
  <c r="N146" i="18"/>
  <c r="N621" i="18"/>
  <c r="N411" i="18"/>
  <c r="N47" i="18"/>
  <c r="N364" i="18"/>
  <c r="N97" i="18"/>
  <c r="N918" i="18"/>
  <c r="N571" i="18"/>
  <c r="N611" i="18"/>
  <c r="N1022" i="18"/>
  <c r="N289" i="18"/>
  <c r="N147" i="18"/>
  <c r="N494" i="18"/>
  <c r="N485" i="18"/>
  <c r="N746" i="18"/>
  <c r="N706" i="18"/>
  <c r="N608" i="18"/>
  <c r="N925" i="18"/>
  <c r="N901" i="18"/>
  <c r="N191" i="18"/>
  <c r="N381" i="18"/>
  <c r="N170" i="18"/>
  <c r="N380" i="18"/>
  <c r="N874" i="18"/>
  <c r="N870" i="18"/>
  <c r="N1030" i="18"/>
  <c r="N909" i="18"/>
  <c r="N507" i="18"/>
  <c r="N456" i="18"/>
  <c r="N141" i="18"/>
  <c r="N162" i="18"/>
  <c r="N1006" i="18"/>
  <c r="N936" i="18"/>
  <c r="N993" i="18"/>
  <c r="N833" i="18"/>
  <c r="N75" i="18"/>
  <c r="N70" i="18"/>
  <c r="N51" i="18"/>
  <c r="N249" i="18"/>
  <c r="N709" i="18"/>
  <c r="N631" i="18"/>
  <c r="N682" i="18"/>
  <c r="N569" i="18"/>
  <c r="N253" i="18"/>
  <c r="N734" i="18"/>
  <c r="N919" i="18"/>
  <c r="N50" i="18"/>
  <c r="N252" i="18"/>
  <c r="N179" i="18"/>
  <c r="N94" i="18"/>
  <c r="N988" i="18"/>
  <c r="N769" i="18"/>
  <c r="N838" i="18"/>
  <c r="N908" i="18"/>
  <c r="N788" i="18"/>
  <c r="N724" i="18"/>
  <c r="N72" i="18"/>
  <c r="N182" i="18"/>
  <c r="N31" i="18"/>
  <c r="N772" i="18"/>
  <c r="N689" i="18"/>
  <c r="N614" i="18"/>
  <c r="N365" i="18"/>
  <c r="N475" i="18"/>
  <c r="N279" i="18"/>
  <c r="N737" i="18"/>
  <c r="N963" i="18"/>
  <c r="N172" i="18"/>
  <c r="N367" i="18"/>
  <c r="N460" i="18"/>
  <c r="N515" i="18"/>
  <c r="N520" i="18"/>
  <c r="N864" i="18"/>
  <c r="N589" i="18"/>
  <c r="N680" i="18"/>
  <c r="N653" i="18"/>
  <c r="N422" i="18"/>
  <c r="N157" i="18"/>
  <c r="N441" i="18"/>
  <c r="N92" i="18"/>
  <c r="N912" i="18"/>
  <c r="N488" i="18"/>
  <c r="N325" i="18"/>
  <c r="N450" i="18"/>
  <c r="N390" i="18"/>
  <c r="N845" i="18"/>
  <c r="N767" i="18"/>
  <c r="N1010" i="18"/>
  <c r="N717" i="18"/>
  <c r="N462" i="18"/>
  <c r="N261" i="18"/>
  <c r="N32" i="18"/>
  <c r="N406" i="18"/>
  <c r="N983" i="18"/>
  <c r="N711" i="18"/>
  <c r="N980" i="18"/>
  <c r="N672" i="18"/>
  <c r="N720" i="18"/>
  <c r="N28" i="18"/>
  <c r="N389" i="18"/>
  <c r="N164" i="18"/>
  <c r="N492" i="18"/>
  <c r="N750" i="18"/>
  <c r="N868" i="18"/>
  <c r="N987" i="18"/>
  <c r="N846" i="18"/>
  <c r="N445" i="18"/>
  <c r="N173" i="18"/>
  <c r="N248" i="18"/>
  <c r="N222" i="18"/>
  <c r="N707" i="18"/>
  <c r="N1021" i="18"/>
  <c r="N1040" i="18"/>
  <c r="N1034" i="18"/>
  <c r="N1011" i="18"/>
  <c r="N408" i="18"/>
  <c r="N360" i="18"/>
  <c r="N575" i="18"/>
  <c r="N866" i="18"/>
  <c r="N891" i="18"/>
  <c r="N702" i="18"/>
  <c r="N295" i="18"/>
  <c r="N859" i="18"/>
  <c r="N749" i="18"/>
  <c r="N432" i="18"/>
  <c r="N379" i="18"/>
  <c r="N175" i="18"/>
  <c r="N153" i="18"/>
  <c r="N62" i="18"/>
  <c r="N1001" i="18"/>
  <c r="N583" i="18"/>
  <c r="N607" i="18"/>
  <c r="N981" i="18"/>
  <c r="N99" i="18"/>
  <c r="N965" i="18"/>
  <c r="N561" i="18"/>
  <c r="N792" i="18"/>
  <c r="N359" i="18"/>
  <c r="N363" i="18"/>
  <c r="N201" i="18"/>
  <c r="I108" i="16"/>
  <c r="L93" i="16"/>
  <c r="K91" i="16"/>
  <c r="G91" i="16"/>
  <c r="G108" i="16"/>
  <c r="F87" i="16"/>
  <c r="F89" i="16"/>
  <c r="H89" i="16"/>
  <c r="G102" i="16"/>
  <c r="M92" i="16"/>
  <c r="N109" i="16"/>
  <c r="N111" i="16" s="1"/>
  <c r="M108" i="16"/>
  <c r="H104" i="16"/>
  <c r="I90" i="16"/>
  <c r="G87" i="16"/>
  <c r="G90" i="16"/>
  <c r="I88" i="16"/>
  <c r="F105" i="16"/>
  <c r="H105" i="16"/>
  <c r="G103" i="16"/>
  <c r="G104" i="16"/>
  <c r="K90" i="16"/>
  <c r="F104" i="16"/>
  <c r="L92" i="16"/>
  <c r="I89" i="16"/>
  <c r="I104" i="16"/>
  <c r="H88" i="16"/>
  <c r="I109" i="16"/>
  <c r="G107" i="16"/>
  <c r="J89" i="16"/>
  <c r="L91" i="16"/>
  <c r="F92" i="16"/>
  <c r="G92" i="16"/>
  <c r="H87" i="16"/>
  <c r="K107" i="16"/>
  <c r="H90" i="16"/>
  <c r="H92" i="16"/>
  <c r="K109" i="16"/>
  <c r="F91" i="16"/>
  <c r="K93" i="16"/>
  <c r="J90" i="16"/>
  <c r="L109" i="16"/>
  <c r="J92" i="16"/>
  <c r="I93" i="16"/>
  <c r="F88" i="16"/>
  <c r="F90" i="16"/>
  <c r="G93" i="16"/>
  <c r="F102" i="16"/>
  <c r="M93" i="16"/>
  <c r="H103" i="16"/>
  <c r="N93" i="16"/>
  <c r="N95" i="16" s="1"/>
  <c r="J109" i="16"/>
  <c r="H108" i="16"/>
  <c r="G109" i="16"/>
  <c r="G88" i="16"/>
  <c r="I105" i="16"/>
  <c r="H109" i="16"/>
  <c r="I106" i="16"/>
  <c r="G105" i="16"/>
  <c r="F107" i="16"/>
  <c r="F108" i="16"/>
  <c r="J108" i="16"/>
  <c r="H93" i="16"/>
  <c r="J107" i="16"/>
  <c r="H107" i="16"/>
  <c r="F85" i="16"/>
  <c r="F93" i="16"/>
  <c r="I107" i="16"/>
  <c r="G106" i="16"/>
  <c r="F106" i="16"/>
  <c r="H91" i="16"/>
  <c r="J105" i="16"/>
  <c r="K108" i="16"/>
  <c r="F101" i="16"/>
  <c r="G89" i="16"/>
  <c r="I92" i="16"/>
  <c r="J106" i="16"/>
  <c r="I91" i="16"/>
  <c r="M109" i="16"/>
  <c r="H106" i="16"/>
  <c r="F103" i="16"/>
  <c r="J91" i="16"/>
  <c r="K106" i="16"/>
  <c r="L107" i="16"/>
  <c r="J93" i="16"/>
  <c r="F109" i="16"/>
  <c r="K92" i="16"/>
  <c r="L108" i="16"/>
  <c r="F366" i="16"/>
  <c r="G366" i="16"/>
  <c r="N326" i="18"/>
  <c r="N98" i="18"/>
  <c r="N21" i="18"/>
  <c r="N174" i="18"/>
  <c r="N777" i="18"/>
  <c r="N797" i="18"/>
  <c r="N1013" i="18"/>
  <c r="N102" i="18"/>
  <c r="N280" i="18"/>
  <c r="N135" i="18"/>
  <c r="N251" i="18"/>
  <c r="N1037" i="18"/>
  <c r="N951" i="18"/>
  <c r="N971" i="18"/>
  <c r="N836" i="18"/>
  <c r="N516" i="18"/>
  <c r="N84" i="18"/>
  <c r="N384" i="18"/>
  <c r="N105" i="18"/>
  <c r="N283" i="18"/>
  <c r="N387" i="18"/>
  <c r="H371" i="16"/>
  <c r="M389" i="16"/>
  <c r="I384" i="16"/>
  <c r="G371" i="16"/>
  <c r="L372" i="16"/>
  <c r="G367" i="16"/>
  <c r="L373" i="16"/>
  <c r="K371" i="16"/>
  <c r="I388" i="16"/>
  <c r="H386" i="16"/>
  <c r="F372" i="16"/>
  <c r="F368" i="16"/>
  <c r="G384" i="16"/>
  <c r="H385" i="16"/>
  <c r="G372" i="16"/>
  <c r="F383" i="16"/>
  <c r="F367" i="16"/>
  <c r="I373" i="16"/>
  <c r="G373" i="16"/>
  <c r="M388" i="16"/>
  <c r="G387" i="16"/>
  <c r="F389" i="16"/>
  <c r="G385" i="16"/>
  <c r="J370" i="16"/>
  <c r="H372" i="16"/>
  <c r="H369" i="16"/>
  <c r="I371" i="16"/>
  <c r="H368" i="16"/>
  <c r="J369" i="16"/>
  <c r="H383" i="16"/>
  <c r="F387" i="16"/>
  <c r="G386" i="16"/>
  <c r="L389" i="16"/>
  <c r="L387" i="16"/>
  <c r="F370" i="16"/>
  <c r="F386" i="16"/>
  <c r="I369" i="16"/>
  <c r="J372" i="16"/>
  <c r="H387" i="16"/>
  <c r="J386" i="16"/>
  <c r="G369" i="16"/>
  <c r="K389" i="16"/>
  <c r="F385" i="16"/>
  <c r="I372" i="16"/>
  <c r="J385" i="16"/>
  <c r="K373" i="16"/>
  <c r="J371" i="16"/>
  <c r="M373" i="16"/>
  <c r="G370" i="16"/>
  <c r="K370" i="16"/>
  <c r="H388" i="16"/>
  <c r="I387" i="16"/>
  <c r="L371" i="16"/>
  <c r="G382" i="16"/>
  <c r="I368" i="16"/>
  <c r="N389" i="16"/>
  <c r="N391" i="16" s="1"/>
  <c r="F371" i="16"/>
  <c r="G368" i="16"/>
  <c r="H367" i="16"/>
  <c r="I385" i="16"/>
  <c r="J387" i="16"/>
  <c r="F373" i="16"/>
  <c r="I370" i="16"/>
  <c r="L388" i="16"/>
  <c r="G383" i="16"/>
  <c r="F382" i="16"/>
  <c r="K388" i="16"/>
  <c r="H370" i="16"/>
  <c r="J388" i="16"/>
  <c r="J389" i="16"/>
  <c r="G389" i="16"/>
  <c r="M372" i="16"/>
  <c r="F381" i="16"/>
  <c r="F369" i="16"/>
  <c r="F388" i="16"/>
  <c r="H373" i="16"/>
  <c r="F365" i="16"/>
  <c r="I389" i="16"/>
  <c r="H384" i="16"/>
  <c r="K386" i="16"/>
  <c r="I386" i="16"/>
  <c r="J373" i="16"/>
  <c r="G388" i="16"/>
  <c r="H389" i="16"/>
  <c r="K387" i="16"/>
  <c r="N373" i="16"/>
  <c r="N375" i="16" s="1"/>
  <c r="K372" i="16"/>
  <c r="F384" i="16"/>
  <c r="N204" i="18"/>
  <c r="N322" i="18"/>
  <c r="N68" i="18"/>
  <c r="N217" i="18"/>
  <c r="N597" i="18"/>
  <c r="N722" i="18"/>
  <c r="N819" i="18"/>
  <c r="N553" i="18"/>
  <c r="N259" i="18"/>
  <c r="N428" i="18"/>
  <c r="N165" i="18"/>
  <c r="N345" i="18"/>
  <c r="N651" i="18"/>
  <c r="N1023" i="18"/>
  <c r="N637" i="18"/>
  <c r="N922" i="18"/>
  <c r="N235" i="18"/>
  <c r="N305" i="18"/>
  <c r="N121" i="18"/>
  <c r="N110" i="18"/>
  <c r="N976" i="18"/>
  <c r="N781" i="18"/>
  <c r="N603" i="18"/>
  <c r="N1026" i="18"/>
  <c r="N87" i="18"/>
  <c r="N286" i="18"/>
  <c r="N473" i="18"/>
  <c r="N417" i="18"/>
  <c r="N735" i="18"/>
  <c r="N979" i="18"/>
  <c r="N879" i="18"/>
  <c r="N902" i="18"/>
  <c r="N503" i="18"/>
  <c r="N198" i="18"/>
  <c r="N447" i="18"/>
  <c r="N467" i="18"/>
  <c r="N677" i="18"/>
  <c r="N790" i="18"/>
  <c r="N938" i="18"/>
  <c r="N630" i="18"/>
  <c r="N917" i="18"/>
  <c r="N842" i="18"/>
  <c r="N464" i="18"/>
  <c r="N398" i="18"/>
  <c r="N210" i="18"/>
  <c r="N415" i="18"/>
  <c r="N568" i="18"/>
  <c r="N779" i="18"/>
  <c r="N716" i="18"/>
  <c r="N1004" i="18"/>
  <c r="N310" i="18"/>
  <c r="N960" i="18"/>
  <c r="N794" i="18"/>
  <c r="N942" i="18"/>
  <c r="N941" i="18"/>
  <c r="N579" i="18"/>
  <c r="N900" i="18"/>
  <c r="N663" i="18"/>
  <c r="N861" i="18"/>
  <c r="N881" i="18"/>
  <c r="N857" i="18"/>
  <c r="N920" i="18"/>
  <c r="N675" i="18"/>
  <c r="N1020" i="18"/>
  <c r="N978" i="18"/>
  <c r="G166" i="16"/>
  <c r="F166" i="16"/>
  <c r="N647" i="18"/>
  <c r="N463" i="18"/>
  <c r="N497" i="18"/>
  <c r="N509" i="18"/>
  <c r="N929" i="18"/>
  <c r="N882" i="18"/>
  <c r="N78" i="18"/>
  <c r="N518" i="18"/>
  <c r="N315" i="18"/>
  <c r="N404" i="18"/>
  <c r="N627" i="18"/>
  <c r="N937" i="18"/>
  <c r="N288" i="18"/>
  <c r="N659" i="18"/>
  <c r="N407" i="18"/>
  <c r="N67" i="18"/>
  <c r="N257" i="18"/>
  <c r="N726" i="18"/>
  <c r="N982" i="18"/>
  <c r="N935" i="18"/>
  <c r="N999" i="18"/>
  <c r="C63" i="5"/>
  <c r="G225" i="16" l="1"/>
  <c r="K226" i="16"/>
  <c r="H227" i="16"/>
  <c r="I227" i="16"/>
  <c r="K229" i="16"/>
  <c r="H223" i="16"/>
  <c r="F221" i="16"/>
  <c r="H224" i="16"/>
  <c r="L229" i="16"/>
  <c r="J209" i="16"/>
  <c r="I213" i="16"/>
  <c r="G347" i="16"/>
  <c r="I348" i="16"/>
  <c r="J332" i="16"/>
  <c r="G99" i="5"/>
  <c r="B148" i="16" s="1"/>
  <c r="F126" i="16" s="1"/>
  <c r="I349" i="16"/>
  <c r="H213" i="16"/>
  <c r="K330" i="16"/>
  <c r="K331" i="16"/>
  <c r="H330" i="16"/>
  <c r="G326" i="16"/>
  <c r="H344" i="16"/>
  <c r="H345" i="16"/>
  <c r="I331" i="16"/>
  <c r="H327" i="16"/>
  <c r="L331" i="16"/>
  <c r="F349" i="16"/>
  <c r="K348" i="16"/>
  <c r="F325" i="16"/>
  <c r="I228" i="16"/>
  <c r="L213" i="16"/>
  <c r="G213" i="16"/>
  <c r="F225" i="16"/>
  <c r="K213" i="16"/>
  <c r="F213" i="16"/>
  <c r="J225" i="16"/>
  <c r="F228" i="16"/>
  <c r="F207" i="16"/>
  <c r="K228" i="16"/>
  <c r="H226" i="16"/>
  <c r="N229" i="16"/>
  <c r="N231" i="16" s="1"/>
  <c r="F229" i="16"/>
  <c r="G208" i="16"/>
  <c r="J213" i="16"/>
  <c r="G223" i="16"/>
  <c r="N213" i="16"/>
  <c r="N215" i="16" s="1"/>
  <c r="I226" i="16"/>
  <c r="F223" i="16"/>
  <c r="G229" i="16"/>
  <c r="G227" i="16"/>
  <c r="M228" i="16"/>
  <c r="F224" i="16"/>
  <c r="K227" i="16"/>
  <c r="M229" i="16"/>
  <c r="M231" i="16" s="1"/>
  <c r="H229" i="16"/>
  <c r="L227" i="16"/>
  <c r="L231" i="16" s="1"/>
  <c r="I225" i="16"/>
  <c r="J226" i="16"/>
  <c r="G224" i="16"/>
  <c r="I224" i="16"/>
  <c r="H209" i="16"/>
  <c r="H228" i="16"/>
  <c r="J228" i="16"/>
  <c r="H225" i="16"/>
  <c r="L228" i="16"/>
  <c r="M213" i="16"/>
  <c r="F222" i="16"/>
  <c r="I209" i="16"/>
  <c r="G222" i="16"/>
  <c r="L121" i="5"/>
  <c r="L134" i="5" s="1"/>
  <c r="I208" i="16"/>
  <c r="J227" i="16"/>
  <c r="J229" i="16"/>
  <c r="F226" i="16"/>
  <c r="G209" i="16"/>
  <c r="G226" i="16"/>
  <c r="F227" i="16"/>
  <c r="G228" i="16"/>
  <c r="I229" i="16"/>
  <c r="F208" i="16"/>
  <c r="F209" i="16"/>
  <c r="H208" i="16"/>
  <c r="I211" i="16"/>
  <c r="H211" i="16"/>
  <c r="F211" i="16"/>
  <c r="G211" i="16"/>
  <c r="H207" i="16"/>
  <c r="K211" i="16"/>
  <c r="J211" i="16"/>
  <c r="L211" i="16"/>
  <c r="K309" i="16"/>
  <c r="G207" i="16"/>
  <c r="F105" i="5"/>
  <c r="F111" i="5" s="1"/>
  <c r="G86" i="16"/>
  <c r="G95" i="16" s="1"/>
  <c r="F332" i="16"/>
  <c r="F342" i="16"/>
  <c r="J331" i="16"/>
  <c r="K349" i="16"/>
  <c r="H329" i="16"/>
  <c r="F326" i="16"/>
  <c r="I330" i="16"/>
  <c r="N349" i="16"/>
  <c r="N351" i="16" s="1"/>
  <c r="H328" i="16"/>
  <c r="L333" i="16"/>
  <c r="H333" i="16"/>
  <c r="M332" i="16"/>
  <c r="H332" i="16"/>
  <c r="F341" i="16"/>
  <c r="F330" i="16"/>
  <c r="J329" i="16"/>
  <c r="G349" i="16"/>
  <c r="I347" i="16"/>
  <c r="G328" i="16"/>
  <c r="J346" i="16"/>
  <c r="M348" i="16"/>
  <c r="F346" i="16"/>
  <c r="F344" i="16"/>
  <c r="K346" i="16"/>
  <c r="F343" i="16"/>
  <c r="L347" i="16"/>
  <c r="I345" i="16"/>
  <c r="H347" i="16"/>
  <c r="I329" i="16"/>
  <c r="J333" i="16"/>
  <c r="J345" i="16"/>
  <c r="G332" i="16"/>
  <c r="J330" i="16"/>
  <c r="H346" i="16"/>
  <c r="F348" i="16"/>
  <c r="G342" i="16"/>
  <c r="F347" i="16"/>
  <c r="G331" i="16"/>
  <c r="H343" i="16"/>
  <c r="N333" i="16"/>
  <c r="N335" i="16" s="1"/>
  <c r="L349" i="16"/>
  <c r="M333" i="16"/>
  <c r="K333" i="16"/>
  <c r="I344" i="16"/>
  <c r="F333" i="16"/>
  <c r="G344" i="16"/>
  <c r="H349" i="16"/>
  <c r="J349" i="16"/>
  <c r="M349" i="16"/>
  <c r="I333" i="16"/>
  <c r="F327" i="16"/>
  <c r="L348" i="16"/>
  <c r="K332" i="16"/>
  <c r="F328" i="16"/>
  <c r="H348" i="16"/>
  <c r="I346" i="16"/>
  <c r="G343" i="16"/>
  <c r="G329" i="16"/>
  <c r="J348" i="16"/>
  <c r="H331" i="16"/>
  <c r="F329" i="16"/>
  <c r="F331" i="16"/>
  <c r="I328" i="16"/>
  <c r="I332" i="16"/>
  <c r="G330" i="16"/>
  <c r="L332" i="16"/>
  <c r="G348" i="16"/>
  <c r="G327" i="16"/>
  <c r="G346" i="16"/>
  <c r="G333" i="16"/>
  <c r="J347" i="16"/>
  <c r="K347" i="16"/>
  <c r="F345" i="16"/>
  <c r="F206" i="16"/>
  <c r="M212" i="16"/>
  <c r="M121" i="5"/>
  <c r="M123" i="5" s="1"/>
  <c r="G206" i="16"/>
  <c r="K212" i="16"/>
  <c r="L212" i="16"/>
  <c r="H212" i="16"/>
  <c r="G212" i="16"/>
  <c r="J212" i="16"/>
  <c r="I212" i="16"/>
  <c r="H210" i="16"/>
  <c r="F212" i="16"/>
  <c r="G290" i="16"/>
  <c r="I210" i="16"/>
  <c r="F304" i="16"/>
  <c r="M308" i="16"/>
  <c r="F308" i="16"/>
  <c r="K210" i="16"/>
  <c r="K307" i="16"/>
  <c r="J210" i="16"/>
  <c r="F210" i="16"/>
  <c r="G210" i="16"/>
  <c r="L308" i="16"/>
  <c r="G308" i="16"/>
  <c r="G302" i="16"/>
  <c r="F288" i="16"/>
  <c r="F264" i="16"/>
  <c r="F266" i="16"/>
  <c r="G264" i="16"/>
  <c r="F248" i="16"/>
  <c r="F247" i="16"/>
  <c r="E214" i="16"/>
  <c r="H269" i="16"/>
  <c r="H265" i="16"/>
  <c r="H267" i="16"/>
  <c r="H249" i="16"/>
  <c r="G269" i="16"/>
  <c r="H264" i="16"/>
  <c r="F305" i="16"/>
  <c r="J308" i="16"/>
  <c r="F290" i="16"/>
  <c r="H287" i="16"/>
  <c r="G248" i="16"/>
  <c r="I267" i="16"/>
  <c r="M269" i="16"/>
  <c r="G262" i="16"/>
  <c r="F250" i="16"/>
  <c r="K306" i="16"/>
  <c r="I309" i="16"/>
  <c r="H306" i="16"/>
  <c r="K266" i="16"/>
  <c r="H266" i="16"/>
  <c r="J250" i="16"/>
  <c r="F268" i="16"/>
  <c r="G263" i="16"/>
  <c r="J266" i="16"/>
  <c r="G309" i="16"/>
  <c r="H290" i="16"/>
  <c r="J309" i="16"/>
  <c r="I264" i="16"/>
  <c r="G265" i="16"/>
  <c r="I253" i="16"/>
  <c r="I269" i="16"/>
  <c r="F251" i="16"/>
  <c r="L252" i="16"/>
  <c r="L268" i="16"/>
  <c r="I305" i="16"/>
  <c r="F306" i="16"/>
  <c r="L309" i="16"/>
  <c r="B161" i="5"/>
  <c r="I268" i="16"/>
  <c r="F261" i="16"/>
  <c r="K269" i="16"/>
  <c r="I251" i="16"/>
  <c r="K253" i="16"/>
  <c r="L253" i="16"/>
  <c r="F309" i="16"/>
  <c r="J290" i="16"/>
  <c r="G307" i="16"/>
  <c r="B159" i="5"/>
  <c r="K251" i="16"/>
  <c r="G268" i="16"/>
  <c r="G247" i="16"/>
  <c r="L267" i="16"/>
  <c r="F262" i="16"/>
  <c r="F307" i="16"/>
  <c r="K308" i="16"/>
  <c r="I306" i="16"/>
  <c r="J268" i="16"/>
  <c r="F265" i="16"/>
  <c r="M253" i="16"/>
  <c r="K267" i="16"/>
  <c r="H253" i="16"/>
  <c r="F267" i="16"/>
  <c r="I265" i="16"/>
  <c r="H303" i="16"/>
  <c r="M309" i="16"/>
  <c r="F285" i="16"/>
  <c r="F302" i="16"/>
  <c r="H268" i="16"/>
  <c r="G252" i="16"/>
  <c r="K252" i="16"/>
  <c r="M252" i="16"/>
  <c r="F263" i="16"/>
  <c r="M268" i="16"/>
  <c r="J307" i="16"/>
  <c r="I307" i="16"/>
  <c r="I290" i="16"/>
  <c r="K290" i="16"/>
  <c r="F252" i="16"/>
  <c r="F245" i="16"/>
  <c r="I266" i="16"/>
  <c r="J265" i="16"/>
  <c r="G250" i="16"/>
  <c r="F253" i="16"/>
  <c r="G305" i="16"/>
  <c r="G304" i="16"/>
  <c r="F303" i="16"/>
  <c r="H309" i="16"/>
  <c r="I249" i="16"/>
  <c r="J251" i="16"/>
  <c r="H248" i="16"/>
  <c r="I250" i="16"/>
  <c r="H251" i="16"/>
  <c r="G249" i="16"/>
  <c r="J267" i="16"/>
  <c r="H263" i="16"/>
  <c r="I308" i="16"/>
  <c r="G306" i="16"/>
  <c r="J305" i="16"/>
  <c r="N309" i="16"/>
  <c r="N311" i="16" s="1"/>
  <c r="H250" i="16"/>
  <c r="H247" i="16"/>
  <c r="N269" i="16"/>
  <c r="N271" i="16" s="1"/>
  <c r="G266" i="16"/>
  <c r="L269" i="16"/>
  <c r="I248" i="16"/>
  <c r="K268" i="16"/>
  <c r="J269" i="16"/>
  <c r="H308" i="16"/>
  <c r="F301" i="16"/>
  <c r="G291" i="16"/>
  <c r="I304" i="16"/>
  <c r="H289" i="16"/>
  <c r="G267" i="16"/>
  <c r="F269" i="16"/>
  <c r="N253" i="16"/>
  <c r="N255" i="16" s="1"/>
  <c r="J252" i="16"/>
  <c r="H252" i="16"/>
  <c r="G251" i="16"/>
  <c r="I252" i="16"/>
  <c r="G303" i="16"/>
  <c r="L307" i="16"/>
  <c r="H304" i="16"/>
  <c r="F246" i="16"/>
  <c r="J291" i="16"/>
  <c r="G253" i="16"/>
  <c r="J253" i="16"/>
  <c r="L251" i="16"/>
  <c r="J249" i="16"/>
  <c r="F249" i="16"/>
  <c r="K250" i="16"/>
  <c r="H305" i="16"/>
  <c r="H307" i="16"/>
  <c r="I289" i="16"/>
  <c r="J289" i="16"/>
  <c r="H291" i="16"/>
  <c r="F289" i="16"/>
  <c r="G289" i="16"/>
  <c r="G287" i="16"/>
  <c r="G286" i="16"/>
  <c r="L291" i="16"/>
  <c r="G292" i="16"/>
  <c r="F293" i="16"/>
  <c r="F287" i="16"/>
  <c r="I291" i="16"/>
  <c r="K291" i="16"/>
  <c r="F291" i="16"/>
  <c r="H121" i="5"/>
  <c r="H134" i="5" s="1"/>
  <c r="F286" i="16"/>
  <c r="K105" i="5"/>
  <c r="K107" i="5" s="1"/>
  <c r="B121" i="5"/>
  <c r="B127" i="5" s="1"/>
  <c r="I288" i="16"/>
  <c r="G288" i="16"/>
  <c r="H288" i="16"/>
  <c r="M293" i="16"/>
  <c r="I292" i="16"/>
  <c r="J292" i="16"/>
  <c r="M292" i="16"/>
  <c r="L293" i="16"/>
  <c r="L292" i="16"/>
  <c r="K293" i="16"/>
  <c r="I293" i="16"/>
  <c r="J293" i="16"/>
  <c r="F292" i="16"/>
  <c r="N293" i="16"/>
  <c r="N295" i="16" s="1"/>
  <c r="H293" i="16"/>
  <c r="G293" i="16"/>
  <c r="H292" i="16"/>
  <c r="K292" i="16"/>
  <c r="J105" i="5"/>
  <c r="J118" i="5" s="1"/>
  <c r="C77" i="5"/>
  <c r="C103" i="5" s="1"/>
  <c r="E134" i="16"/>
  <c r="E294" i="16"/>
  <c r="C98" i="5"/>
  <c r="C99" i="5"/>
  <c r="B68" i="16" s="1"/>
  <c r="M375" i="16"/>
  <c r="F6" i="16"/>
  <c r="F111" i="16"/>
  <c r="M95" i="16"/>
  <c r="M391" i="16"/>
  <c r="I391" i="16"/>
  <c r="H175" i="16"/>
  <c r="L95" i="16"/>
  <c r="J95" i="16"/>
  <c r="G175" i="16"/>
  <c r="B118" i="5"/>
  <c r="B111" i="5"/>
  <c r="B106" i="5"/>
  <c r="B107" i="5"/>
  <c r="B110" i="5"/>
  <c r="G375" i="16"/>
  <c r="I111" i="16"/>
  <c r="H391" i="16"/>
  <c r="G111" i="16"/>
  <c r="F375" i="16"/>
  <c r="J391" i="16"/>
  <c r="J375" i="16"/>
  <c r="J111" i="16"/>
  <c r="G126" i="16"/>
  <c r="L127" i="5"/>
  <c r="L126" i="5"/>
  <c r="H127" i="16"/>
  <c r="I130" i="16"/>
  <c r="M149" i="16"/>
  <c r="J131" i="16"/>
  <c r="I145" i="16"/>
  <c r="K132" i="16"/>
  <c r="K148" i="16"/>
  <c r="J130" i="16"/>
  <c r="M132" i="16"/>
  <c r="F143" i="16"/>
  <c r="G142" i="16"/>
  <c r="H143" i="16"/>
  <c r="J147" i="16"/>
  <c r="G132" i="16"/>
  <c r="I133" i="16"/>
  <c r="I129" i="16"/>
  <c r="H147" i="16"/>
  <c r="I128" i="16"/>
  <c r="F144" i="16"/>
  <c r="N149" i="16"/>
  <c r="N151" i="16" s="1"/>
  <c r="H130" i="16"/>
  <c r="I149" i="16"/>
  <c r="F147" i="16"/>
  <c r="G146" i="16"/>
  <c r="I147" i="16"/>
  <c r="J145" i="16"/>
  <c r="M148" i="16"/>
  <c r="H146" i="16"/>
  <c r="F146" i="16"/>
  <c r="G127" i="16"/>
  <c r="F127" i="16"/>
  <c r="G130" i="16"/>
  <c r="K147" i="16"/>
  <c r="G128" i="16"/>
  <c r="L147" i="16"/>
  <c r="F141" i="16"/>
  <c r="F132" i="16"/>
  <c r="G144" i="16"/>
  <c r="H145" i="16"/>
  <c r="L131" i="16"/>
  <c r="H148" i="16"/>
  <c r="N133" i="16"/>
  <c r="N135" i="16" s="1"/>
  <c r="K130" i="16"/>
  <c r="F131" i="16"/>
  <c r="H128" i="16"/>
  <c r="H132" i="16"/>
  <c r="I148" i="16"/>
  <c r="G131" i="16"/>
  <c r="F128" i="16"/>
  <c r="K149" i="16"/>
  <c r="J149" i="16"/>
  <c r="G143" i="16"/>
  <c r="F148" i="16"/>
  <c r="J148" i="16"/>
  <c r="H133" i="16"/>
  <c r="H129" i="16"/>
  <c r="F133" i="16"/>
  <c r="F145" i="16"/>
  <c r="F125" i="16"/>
  <c r="L133" i="16"/>
  <c r="I132" i="16"/>
  <c r="H144" i="16"/>
  <c r="K146" i="16"/>
  <c r="M133" i="16"/>
  <c r="G145" i="16"/>
  <c r="I144" i="16"/>
  <c r="G129" i="16"/>
  <c r="F129" i="16"/>
  <c r="G148" i="16"/>
  <c r="L132" i="16"/>
  <c r="F142" i="16"/>
  <c r="I146" i="16"/>
  <c r="F130" i="16"/>
  <c r="L149" i="16"/>
  <c r="G147" i="16"/>
  <c r="J132" i="16"/>
  <c r="F149" i="16"/>
  <c r="K131" i="16"/>
  <c r="J133" i="16"/>
  <c r="J129" i="16"/>
  <c r="J146" i="16"/>
  <c r="I131" i="16"/>
  <c r="L148" i="16"/>
  <c r="K133" i="16"/>
  <c r="H131" i="16"/>
  <c r="H149" i="16"/>
  <c r="G133" i="16"/>
  <c r="G149" i="16"/>
  <c r="H375" i="16"/>
  <c r="K95" i="16"/>
  <c r="J134" i="5"/>
  <c r="J126" i="5"/>
  <c r="J123" i="5"/>
  <c r="J127" i="5"/>
  <c r="J122" i="5"/>
  <c r="F391" i="16"/>
  <c r="L111" i="16"/>
  <c r="K111" i="16"/>
  <c r="I375" i="16"/>
  <c r="F95" i="16"/>
  <c r="H111" i="16"/>
  <c r="H95" i="16"/>
  <c r="G391" i="16"/>
  <c r="I95" i="16"/>
  <c r="L375" i="16"/>
  <c r="M106" i="5"/>
  <c r="M118" i="5"/>
  <c r="M111" i="5"/>
  <c r="M107" i="5"/>
  <c r="M110" i="5"/>
  <c r="Y370" i="18"/>
  <c r="Y33" i="18"/>
  <c r="Y254" i="18"/>
  <c r="Y303" i="18"/>
  <c r="Y258" i="18"/>
  <c r="Y489" i="18"/>
  <c r="Y177" i="18"/>
  <c r="Y279" i="18"/>
  <c r="Y425" i="18"/>
  <c r="Y335" i="18"/>
  <c r="Y227" i="18"/>
  <c r="Y111" i="18"/>
  <c r="Y350" i="18"/>
  <c r="Y184" i="18"/>
  <c r="Y346" i="18"/>
  <c r="Y334" i="18"/>
  <c r="Y268" i="18"/>
  <c r="Y197" i="18"/>
  <c r="Y70" i="18"/>
  <c r="Y217" i="18"/>
  <c r="Y351" i="18"/>
  <c r="Y78" i="18"/>
  <c r="Y24" i="18"/>
  <c r="Y492" i="18"/>
  <c r="Y231" i="18"/>
  <c r="Y392" i="18"/>
  <c r="Y239" i="18"/>
  <c r="Y294" i="18"/>
  <c r="Y104" i="18"/>
  <c r="Y495" i="18"/>
  <c r="Y174" i="18"/>
  <c r="Y433" i="18"/>
  <c r="Y520" i="18"/>
  <c r="Y54" i="18"/>
  <c r="Y175" i="18"/>
  <c r="Y124" i="18"/>
  <c r="Y89" i="18"/>
  <c r="Y461" i="18"/>
  <c r="Y55" i="18"/>
  <c r="Y450" i="18"/>
  <c r="Y288" i="18"/>
  <c r="Y144" i="18"/>
  <c r="Y81" i="18"/>
  <c r="Y185" i="18"/>
  <c r="Y405" i="18"/>
  <c r="Y206" i="18"/>
  <c r="Y123" i="18"/>
  <c r="Y233" i="18"/>
  <c r="Y266" i="18"/>
  <c r="Y502" i="18"/>
  <c r="Y313" i="18"/>
  <c r="Y394" i="18"/>
  <c r="Y347" i="18"/>
  <c r="Y142" i="18"/>
  <c r="K375" i="16"/>
  <c r="L391" i="16"/>
  <c r="M111" i="16"/>
  <c r="K391" i="16"/>
  <c r="F127" i="5"/>
  <c r="F126" i="5"/>
  <c r="F122" i="5"/>
  <c r="F123" i="5"/>
  <c r="F134" i="5"/>
  <c r="H106" i="5"/>
  <c r="H111" i="5"/>
  <c r="H118" i="5"/>
  <c r="H107" i="5"/>
  <c r="H110" i="5"/>
  <c r="I28" i="16"/>
  <c r="G29" i="16"/>
  <c r="K26" i="16"/>
  <c r="I8" i="16"/>
  <c r="F25" i="16"/>
  <c r="J26" i="16"/>
  <c r="M13" i="16"/>
  <c r="F22" i="16"/>
  <c r="G23" i="16"/>
  <c r="J28" i="16"/>
  <c r="I10" i="16"/>
  <c r="I12" i="16"/>
  <c r="F21" i="16"/>
  <c r="I26" i="16"/>
  <c r="G24" i="16"/>
  <c r="J9" i="16"/>
  <c r="K28" i="16"/>
  <c r="H13" i="16"/>
  <c r="J13" i="16"/>
  <c r="G10" i="16"/>
  <c r="H7" i="16"/>
  <c r="F26" i="16"/>
  <c r="H10" i="16"/>
  <c r="N29" i="16"/>
  <c r="N31" i="16" s="1"/>
  <c r="F8" i="16"/>
  <c r="F29" i="16"/>
  <c r="G9" i="16"/>
  <c r="K29" i="16"/>
  <c r="G11" i="16"/>
  <c r="H26" i="16"/>
  <c r="L13" i="16"/>
  <c r="F12" i="16"/>
  <c r="H27" i="16"/>
  <c r="H28" i="16"/>
  <c r="K10" i="16"/>
  <c r="F7" i="16"/>
  <c r="L28" i="16"/>
  <c r="F28" i="16"/>
  <c r="H11" i="16"/>
  <c r="F11" i="16"/>
  <c r="F10" i="16"/>
  <c r="M28" i="16"/>
  <c r="J25" i="16"/>
  <c r="G27" i="16"/>
  <c r="G22" i="16"/>
  <c r="M12" i="16"/>
  <c r="H29" i="16"/>
  <c r="G7" i="16"/>
  <c r="I11" i="16"/>
  <c r="G26" i="16"/>
  <c r="H12" i="16"/>
  <c r="H25" i="16"/>
  <c r="F23" i="16"/>
  <c r="H9" i="16"/>
  <c r="I25" i="16"/>
  <c r="K13" i="16"/>
  <c r="L11" i="16"/>
  <c r="I24" i="16"/>
  <c r="J11" i="16"/>
  <c r="H24" i="16"/>
  <c r="K11" i="16"/>
  <c r="L29" i="16"/>
  <c r="G28" i="16"/>
  <c r="K27" i="16"/>
  <c r="J27" i="16"/>
  <c r="G12" i="16"/>
  <c r="I29" i="16"/>
  <c r="N13" i="16"/>
  <c r="N15" i="16" s="1"/>
  <c r="M29" i="16"/>
  <c r="G13" i="16"/>
  <c r="G8" i="16"/>
  <c r="H23" i="16"/>
  <c r="K12" i="16"/>
  <c r="J29" i="16"/>
  <c r="I27" i="16"/>
  <c r="F24" i="16"/>
  <c r="F9" i="16"/>
  <c r="J12" i="16"/>
  <c r="G25" i="16"/>
  <c r="F13" i="16"/>
  <c r="L27" i="16"/>
  <c r="H8" i="16"/>
  <c r="F5" i="16"/>
  <c r="F27" i="16"/>
  <c r="I9" i="16"/>
  <c r="L12" i="16"/>
  <c r="J10" i="16"/>
  <c r="I13" i="16"/>
  <c r="L111" i="5"/>
  <c r="L106" i="5"/>
  <c r="L118" i="5"/>
  <c r="L110" i="5"/>
  <c r="L107" i="5"/>
  <c r="G105" i="5"/>
  <c r="G121" i="5"/>
  <c r="K1064" i="18"/>
  <c r="K122" i="5"/>
  <c r="K127" i="5"/>
  <c r="K126" i="5"/>
  <c r="K123" i="5"/>
  <c r="K134" i="5"/>
  <c r="Y253" i="18"/>
  <c r="Y371" i="18"/>
  <c r="Y462" i="18"/>
  <c r="Y71" i="18"/>
  <c r="Y324" i="18"/>
  <c r="Y97" i="18"/>
  <c r="Y409" i="18"/>
  <c r="Y22" i="18"/>
  <c r="K531" i="18"/>
  <c r="Y367" i="18"/>
  <c r="Y501" i="18"/>
  <c r="Y87" i="18"/>
  <c r="Y511" i="18"/>
  <c r="Y369" i="18"/>
  <c r="Y165" i="18"/>
  <c r="Y312" i="18"/>
  <c r="Y137" i="18"/>
  <c r="Y331" i="18"/>
  <c r="Y121" i="18"/>
  <c r="Y140" i="18"/>
  <c r="Y457" i="18"/>
  <c r="Y422" i="18"/>
  <c r="Y529" i="18"/>
  <c r="Y524" i="18"/>
  <c r="Y328" i="18"/>
  <c r="Y360" i="18"/>
  <c r="Y496" i="18"/>
  <c r="Y48" i="18"/>
  <c r="Y364" i="18"/>
  <c r="Y459" i="18"/>
  <c r="Y316" i="18"/>
  <c r="Y188" i="18"/>
  <c r="Y284" i="18"/>
  <c r="Y340" i="18"/>
  <c r="Y222" i="18"/>
  <c r="Y236" i="18"/>
  <c r="Y508" i="18"/>
  <c r="Y180" i="18"/>
  <c r="Y150" i="18"/>
  <c r="Y57" i="18"/>
  <c r="Y151" i="18"/>
  <c r="Y375" i="18"/>
  <c r="Y115" i="18"/>
  <c r="Y135" i="18"/>
  <c r="Y250" i="18"/>
  <c r="Y212" i="18"/>
  <c r="Y363" i="18"/>
  <c r="Y47" i="18"/>
  <c r="Y497" i="18"/>
  <c r="Y295" i="18"/>
  <c r="Y198" i="18"/>
  <c r="Y473" i="18"/>
  <c r="Y125" i="18"/>
  <c r="Y522" i="18"/>
  <c r="Y408" i="18"/>
  <c r="Y478" i="18"/>
  <c r="Y133" i="18"/>
  <c r="Y341" i="18"/>
  <c r="Y223" i="18"/>
  <c r="Y77" i="18"/>
  <c r="Y373" i="18"/>
  <c r="Y465" i="18"/>
  <c r="Y474" i="18"/>
  <c r="Y359" i="18"/>
  <c r="Y421" i="18"/>
  <c r="Y41" i="18"/>
  <c r="Y110" i="18"/>
  <c r="Y476" i="18"/>
  <c r="Y220" i="18"/>
  <c r="Y247" i="18"/>
  <c r="Y211" i="18"/>
  <c r="Y504" i="18"/>
  <c r="Y452" i="18"/>
  <c r="Y119" i="18"/>
  <c r="Y463" i="18"/>
  <c r="Y309" i="18"/>
  <c r="Y192" i="18"/>
  <c r="Y494" i="18"/>
  <c r="Y276" i="18"/>
  <c r="Y378" i="18"/>
  <c r="Y289" i="18"/>
  <c r="Y349" i="18"/>
  <c r="M175" i="16"/>
  <c r="Y85" i="18"/>
  <c r="Y53" i="18"/>
  <c r="Y467" i="18"/>
  <c r="Y526" i="18"/>
  <c r="Y355" i="18"/>
  <c r="Y319" i="18"/>
  <c r="Y395" i="18"/>
  <c r="Y152" i="18"/>
  <c r="Y423" i="18"/>
  <c r="Y396" i="18"/>
  <c r="Y228" i="18"/>
  <c r="Y221" i="18"/>
  <c r="Y278" i="18"/>
  <c r="Y469" i="18"/>
  <c r="Y183" i="18"/>
  <c r="Y242" i="18"/>
  <c r="Y438" i="18"/>
  <c r="Y484" i="18"/>
  <c r="Y343" i="18"/>
  <c r="Y287" i="18"/>
  <c r="Y424" i="18"/>
  <c r="Y129" i="18"/>
  <c r="Y73" i="18"/>
  <c r="Y214" i="18"/>
  <c r="Y401" i="18"/>
  <c r="Y256" i="18"/>
  <c r="Y317" i="18"/>
  <c r="M191" i="16"/>
  <c r="L191" i="16"/>
  <c r="Y168" i="18"/>
  <c r="Y63" i="18"/>
  <c r="Y480" i="18"/>
  <c r="Y503" i="18"/>
  <c r="Y261" i="18"/>
  <c r="Y389" i="18"/>
  <c r="Y69" i="18"/>
  <c r="Y443" i="18"/>
  <c r="Y255" i="18"/>
  <c r="Y444" i="18"/>
  <c r="Y139" i="18"/>
  <c r="Y485" i="18"/>
  <c r="Y329" i="18"/>
  <c r="Y472" i="18"/>
  <c r="Y182" i="18"/>
  <c r="Y446" i="18"/>
  <c r="Y431" i="18"/>
  <c r="Y393" i="18"/>
  <c r="Y204" i="18"/>
  <c r="Y49" i="18"/>
  <c r="Y159" i="18"/>
  <c r="Y308" i="18"/>
  <c r="Y160" i="18"/>
  <c r="Y267" i="18"/>
  <c r="Y208" i="18"/>
  <c r="Y216" i="18"/>
  <c r="Y300" i="18"/>
  <c r="Y514" i="18"/>
  <c r="Y96" i="18"/>
  <c r="Y374" i="18"/>
  <c r="Y361" i="18"/>
  <c r="Y512" i="18"/>
  <c r="Y414" i="18"/>
  <c r="Y488" i="18"/>
  <c r="Y169" i="18"/>
  <c r="Y464" i="18"/>
  <c r="Y519" i="18"/>
  <c r="Y453" i="18"/>
  <c r="Y191" i="18"/>
  <c r="Y257" i="18"/>
  <c r="Y213" i="18"/>
  <c r="Y116" i="18"/>
  <c r="Y230" i="18"/>
  <c r="Y205" i="18"/>
  <c r="Y380" i="18"/>
  <c r="Y39" i="18"/>
  <c r="Y365" i="18"/>
  <c r="Y320" i="18"/>
  <c r="Y332" i="18"/>
  <c r="Y23" i="18"/>
  <c r="Y109" i="18"/>
  <c r="Y382" i="18"/>
  <c r="Y419" i="18"/>
  <c r="Y379" i="18"/>
  <c r="K191" i="16"/>
  <c r="I121" i="5"/>
  <c r="I105" i="5"/>
  <c r="Y260" i="18"/>
  <c r="Y157" i="18"/>
  <c r="Y189" i="18"/>
  <c r="Y190" i="18"/>
  <c r="Y336" i="18"/>
  <c r="Y326" i="18"/>
  <c r="Y353" i="18"/>
  <c r="Y166" i="18"/>
  <c r="Y456" i="18"/>
  <c r="Y200" i="18"/>
  <c r="Y454" i="18"/>
  <c r="Y235" i="18"/>
  <c r="Y327" i="18"/>
  <c r="Y25" i="18"/>
  <c r="Y310" i="18"/>
  <c r="Y30" i="18"/>
  <c r="Y270" i="18"/>
  <c r="Y246" i="18"/>
  <c r="Y338" i="18"/>
  <c r="Y103" i="18"/>
  <c r="Y240" i="18"/>
  <c r="Y251" i="18"/>
  <c r="Y475" i="18"/>
  <c r="Y387" i="18"/>
  <c r="Y264" i="18"/>
  <c r="Y321" i="18"/>
  <c r="Y527" i="18"/>
  <c r="Y273" i="18"/>
  <c r="Y65" i="18"/>
  <c r="Y161" i="18"/>
  <c r="Y297" i="18"/>
  <c r="Y366" i="18"/>
  <c r="Y95" i="18"/>
  <c r="Y434" i="18"/>
  <c r="Y215" i="18"/>
  <c r="Y432" i="18"/>
  <c r="Y509" i="18"/>
  <c r="Y141" i="18"/>
  <c r="Y516" i="18"/>
  <c r="Y132" i="18"/>
  <c r="Y439" i="18"/>
  <c r="Y417" i="18"/>
  <c r="Y412" i="18"/>
  <c r="Y339" i="18"/>
  <c r="Y281" i="18"/>
  <c r="Y219" i="18"/>
  <c r="Y143" i="18"/>
  <c r="Y86" i="18"/>
  <c r="Y46" i="18"/>
  <c r="Y62" i="18"/>
  <c r="Y241" i="18"/>
  <c r="Y229" i="18"/>
  <c r="Y249" i="18"/>
  <c r="Y399" i="18"/>
  <c r="I191" i="16"/>
  <c r="F191" i="16"/>
  <c r="Y302" i="18"/>
  <c r="Y416" i="18"/>
  <c r="Y383" i="18"/>
  <c r="Y305" i="18"/>
  <c r="Y385" i="18"/>
  <c r="Y430" i="18"/>
  <c r="Y449" i="18"/>
  <c r="Y128" i="18"/>
  <c r="Y292" i="18"/>
  <c r="Y429" i="18"/>
  <c r="Y100" i="18"/>
  <c r="Y348" i="18"/>
  <c r="Y388" i="18"/>
  <c r="Y105" i="18"/>
  <c r="Y112" i="18"/>
  <c r="Y390" i="18"/>
  <c r="Y499" i="18"/>
  <c r="Y225" i="18"/>
  <c r="Y448" i="18"/>
  <c r="Y490" i="18"/>
  <c r="Y441" i="18"/>
  <c r="Y173" i="18"/>
  <c r="Y145" i="18"/>
  <c r="Y515" i="18"/>
  <c r="Y482" i="18"/>
  <c r="Y176" i="18"/>
  <c r="Y193" i="18"/>
  <c r="L175" i="16"/>
  <c r="J175" i="16"/>
  <c r="J191" i="16"/>
  <c r="Y64" i="18"/>
  <c r="Y323" i="18"/>
  <c r="Y517" i="18"/>
  <c r="Y269" i="18"/>
  <c r="Y232" i="18"/>
  <c r="Y118" i="18"/>
  <c r="Y167" i="18"/>
  <c r="Y315" i="18"/>
  <c r="Y196" i="18"/>
  <c r="Y80" i="18"/>
  <c r="Y471" i="18"/>
  <c r="Y498" i="18"/>
  <c r="Y466" i="18"/>
  <c r="Y510" i="18"/>
  <c r="Y304" i="18"/>
  <c r="Y483" i="18"/>
  <c r="Y427" i="18"/>
  <c r="Y440" i="18"/>
  <c r="Y265" i="18"/>
  <c r="Y406" i="18"/>
  <c r="Y436" i="18"/>
  <c r="Y455" i="18"/>
  <c r="Y285" i="18"/>
  <c r="Y271" i="18"/>
  <c r="Y381" i="18"/>
  <c r="Y209" i="18"/>
  <c r="Y437" i="18"/>
  <c r="F175" i="16"/>
  <c r="Y386" i="18"/>
  <c r="Y301" i="18"/>
  <c r="Y102" i="18"/>
  <c r="Y126" i="18"/>
  <c r="Y120" i="18"/>
  <c r="Y342" i="18"/>
  <c r="Y149" i="18"/>
  <c r="Y38" i="18"/>
  <c r="Y93" i="18"/>
  <c r="Y442" i="18"/>
  <c r="Y94" i="18"/>
  <c r="Y528" i="18"/>
  <c r="Y377" i="18"/>
  <c r="Y391" i="18"/>
  <c r="Y40" i="18"/>
  <c r="Y101" i="18"/>
  <c r="Y108" i="18"/>
  <c r="Y88" i="18"/>
  <c r="Y397" i="18"/>
  <c r="Y521" i="18"/>
  <c r="Y523" i="18"/>
  <c r="Y481" i="18"/>
  <c r="Y243" i="18"/>
  <c r="Y199" i="18"/>
  <c r="Y445" i="18"/>
  <c r="Y293" i="18"/>
  <c r="Y113" i="18"/>
  <c r="K175" i="16"/>
  <c r="Y357" i="18"/>
  <c r="Y127" i="18"/>
  <c r="Y398" i="18"/>
  <c r="Y153" i="18"/>
  <c r="Y263" i="18"/>
  <c r="Y470" i="18"/>
  <c r="Y356" i="18"/>
  <c r="Y207" i="18"/>
  <c r="Y244" i="18"/>
  <c r="Y32" i="18"/>
  <c r="Y460" i="18"/>
  <c r="Y487" i="18"/>
  <c r="Y280" i="18"/>
  <c r="Y447" i="18"/>
  <c r="Y238" i="18"/>
  <c r="Y500" i="18"/>
  <c r="Y491" i="18"/>
  <c r="Y458" i="18"/>
  <c r="Y354" i="18"/>
  <c r="Y368" i="18"/>
  <c r="Y259" i="18"/>
  <c r="Y400" i="18"/>
  <c r="Y286" i="18"/>
  <c r="Y428" i="18"/>
  <c r="Y413" i="18"/>
  <c r="Y272" i="18"/>
  <c r="Y337" i="18"/>
  <c r="G191" i="16"/>
  <c r="Y415" i="18"/>
  <c r="Y384" i="18"/>
  <c r="Y407" i="18"/>
  <c r="Y486" i="18"/>
  <c r="Y79" i="18"/>
  <c r="Y493" i="18"/>
  <c r="Y362" i="18"/>
  <c r="Y307" i="18"/>
  <c r="Y134" i="18"/>
  <c r="Y518" i="18"/>
  <c r="Y117" i="18"/>
  <c r="Y507" i="18"/>
  <c r="Y262" i="18"/>
  <c r="Y201" i="18"/>
  <c r="Y237" i="18"/>
  <c r="Y506" i="18"/>
  <c r="Y277" i="18"/>
  <c r="Y72" i="18"/>
  <c r="Y224" i="18"/>
  <c r="Y372" i="18"/>
  <c r="Y344" i="18"/>
  <c r="Y435" i="18"/>
  <c r="Y325" i="18"/>
  <c r="Y56" i="18"/>
  <c r="Y296" i="18"/>
  <c r="Y252" i="18"/>
  <c r="Y505" i="18"/>
  <c r="Y245" i="18"/>
  <c r="Y477" i="18"/>
  <c r="Y61" i="18"/>
  <c r="Y376" i="18"/>
  <c r="Y158" i="18"/>
  <c r="Y420" i="18"/>
  <c r="Y84" i="18"/>
  <c r="Y31" i="18"/>
  <c r="Y358" i="18"/>
  <c r="Y468" i="18"/>
  <c r="Y345" i="18"/>
  <c r="Y411" i="18"/>
  <c r="Y404" i="18"/>
  <c r="Y352" i="18"/>
  <c r="Y181" i="18"/>
  <c r="Y403" i="18"/>
  <c r="Y311" i="18"/>
  <c r="Y248" i="18"/>
  <c r="Y479" i="18"/>
  <c r="Y92" i="18"/>
  <c r="Y131" i="18"/>
  <c r="Y136" i="18"/>
  <c r="Y451" i="18"/>
  <c r="Y525" i="18"/>
  <c r="Y333" i="18"/>
  <c r="Y513" i="18"/>
  <c r="Y318" i="18"/>
  <c r="H191" i="16"/>
  <c r="I175" i="16"/>
  <c r="G231" i="16" l="1"/>
  <c r="K231" i="16"/>
  <c r="M351" i="16"/>
  <c r="M215" i="16"/>
  <c r="L122" i="5"/>
  <c r="L123" i="5"/>
  <c r="L125" i="5" s="1"/>
  <c r="F231" i="16"/>
  <c r="J231" i="16"/>
  <c r="I231" i="16"/>
  <c r="H231" i="16"/>
  <c r="F110" i="5"/>
  <c r="F113" i="5" s="1"/>
  <c r="F118" i="5"/>
  <c r="F106" i="5"/>
  <c r="F107" i="5"/>
  <c r="L215" i="16"/>
  <c r="K335" i="16"/>
  <c r="I351" i="16"/>
  <c r="K351" i="16"/>
  <c r="L351" i="16"/>
  <c r="G335" i="16"/>
  <c r="M335" i="16"/>
  <c r="L335" i="16"/>
  <c r="H351" i="16"/>
  <c r="M134" i="5"/>
  <c r="M122" i="5"/>
  <c r="M125" i="5" s="1"/>
  <c r="M127" i="5"/>
  <c r="M126" i="5"/>
  <c r="I335" i="16"/>
  <c r="J351" i="16"/>
  <c r="G351" i="16"/>
  <c r="J335" i="16"/>
  <c r="F351" i="16"/>
  <c r="F335" i="16"/>
  <c r="H335" i="16"/>
  <c r="K111" i="5"/>
  <c r="I215" i="16"/>
  <c r="G215" i="16"/>
  <c r="F215" i="16"/>
  <c r="M311" i="16"/>
  <c r="J215" i="16"/>
  <c r="K215" i="16"/>
  <c r="H215" i="16"/>
  <c r="K110" i="5"/>
  <c r="L311" i="16"/>
  <c r="K118" i="5"/>
  <c r="K106" i="5"/>
  <c r="K108" i="5" s="1"/>
  <c r="K116" i="5" s="1"/>
  <c r="K311" i="16"/>
  <c r="M255" i="16"/>
  <c r="J311" i="16"/>
  <c r="L271" i="16"/>
  <c r="H127" i="5"/>
  <c r="F311" i="16"/>
  <c r="K255" i="16"/>
  <c r="H311" i="16"/>
  <c r="K271" i="16"/>
  <c r="L255" i="16"/>
  <c r="I271" i="16"/>
  <c r="J255" i="16"/>
  <c r="J271" i="16"/>
  <c r="F271" i="16"/>
  <c r="G271" i="16"/>
  <c r="M295" i="16"/>
  <c r="G255" i="16"/>
  <c r="H255" i="16"/>
  <c r="M271" i="16"/>
  <c r="I311" i="16"/>
  <c r="H271" i="16"/>
  <c r="F255" i="16"/>
  <c r="G311" i="16"/>
  <c r="I255" i="16"/>
  <c r="H122" i="5"/>
  <c r="H123" i="5"/>
  <c r="I295" i="16"/>
  <c r="H126" i="5"/>
  <c r="J107" i="5"/>
  <c r="J106" i="5"/>
  <c r="G295" i="16"/>
  <c r="L295" i="16"/>
  <c r="J111" i="5"/>
  <c r="J110" i="5"/>
  <c r="B122" i="5"/>
  <c r="B134" i="5"/>
  <c r="B123" i="5"/>
  <c r="B126" i="5"/>
  <c r="B129" i="5" s="1"/>
  <c r="F295" i="16"/>
  <c r="J295" i="16"/>
  <c r="K295" i="16"/>
  <c r="H295" i="16"/>
  <c r="C161" i="5"/>
  <c r="C159" i="5"/>
  <c r="B43" i="16"/>
  <c r="C121" i="5"/>
  <c r="C105" i="5"/>
  <c r="F151" i="16"/>
  <c r="I151" i="16"/>
  <c r="H135" i="16"/>
  <c r="L31" i="16"/>
  <c r="G15" i="16"/>
  <c r="J15" i="16"/>
  <c r="M15" i="16"/>
  <c r="F31" i="16"/>
  <c r="K124" i="5"/>
  <c r="K132" i="5" s="1"/>
  <c r="K125" i="5"/>
  <c r="G107" i="5"/>
  <c r="G110" i="5"/>
  <c r="G118" i="5"/>
  <c r="G106" i="5"/>
  <c r="G111" i="5"/>
  <c r="F129" i="5"/>
  <c r="F128" i="5"/>
  <c r="O175" i="16"/>
  <c r="M197" i="16"/>
  <c r="H197" i="16"/>
  <c r="F197" i="16"/>
  <c r="K197" i="16"/>
  <c r="E197" i="16"/>
  <c r="L197" i="16"/>
  <c r="J197" i="16"/>
  <c r="G197" i="16"/>
  <c r="F176" i="16"/>
  <c r="I197" i="16"/>
  <c r="F192" i="16"/>
  <c r="O191" i="16"/>
  <c r="O111" i="16"/>
  <c r="F112" i="16"/>
  <c r="M109" i="5"/>
  <c r="M108" i="5"/>
  <c r="M116" i="5" s="1"/>
  <c r="G117" i="16"/>
  <c r="J117" i="16"/>
  <c r="O95" i="16"/>
  <c r="E117" i="16"/>
  <c r="F117" i="16"/>
  <c r="M117" i="16"/>
  <c r="I117" i="16"/>
  <c r="F96" i="16"/>
  <c r="L117" i="16"/>
  <c r="H117" i="16"/>
  <c r="K117" i="16"/>
  <c r="L151" i="16"/>
  <c r="L112" i="5"/>
  <c r="L113" i="5"/>
  <c r="O391" i="16"/>
  <c r="F392" i="16"/>
  <c r="I135" i="16"/>
  <c r="G135" i="16"/>
  <c r="H109" i="5"/>
  <c r="H108" i="5"/>
  <c r="H116" i="5" s="1"/>
  <c r="B113" i="5"/>
  <c r="B112" i="5"/>
  <c r="L108" i="5"/>
  <c r="L116" i="5" s="1"/>
  <c r="L109" i="5"/>
  <c r="G31" i="16"/>
  <c r="J135" i="16"/>
  <c r="K151" i="16"/>
  <c r="L129" i="5"/>
  <c r="L128" i="5"/>
  <c r="B109" i="5"/>
  <c r="B108" i="5"/>
  <c r="Y531" i="18"/>
  <c r="J31" i="16"/>
  <c r="I31" i="16"/>
  <c r="M31" i="16"/>
  <c r="L15" i="16"/>
  <c r="H151" i="16"/>
  <c r="H31" i="16"/>
  <c r="F135" i="16"/>
  <c r="K135" i="16"/>
  <c r="M151" i="16"/>
  <c r="G151" i="16"/>
  <c r="J151" i="16"/>
  <c r="M135" i="16"/>
  <c r="H15" i="16"/>
  <c r="J125" i="5"/>
  <c r="J124" i="5"/>
  <c r="J132" i="5" s="1"/>
  <c r="L135" i="16"/>
  <c r="I111" i="5"/>
  <c r="I110" i="5"/>
  <c r="I106" i="5"/>
  <c r="I118" i="5"/>
  <c r="I107" i="5"/>
  <c r="I15" i="16"/>
  <c r="M113" i="5"/>
  <c r="M112" i="5"/>
  <c r="I122" i="5"/>
  <c r="I127" i="5"/>
  <c r="I123" i="5"/>
  <c r="I134" i="5"/>
  <c r="I126" i="5"/>
  <c r="K129" i="5"/>
  <c r="K128" i="5"/>
  <c r="F15" i="16"/>
  <c r="K15" i="16"/>
  <c r="K31" i="16"/>
  <c r="M397" i="16"/>
  <c r="F397" i="16"/>
  <c r="O375" i="16"/>
  <c r="I397" i="16"/>
  <c r="K397" i="16"/>
  <c r="G397" i="16"/>
  <c r="H397" i="16"/>
  <c r="F376" i="16"/>
  <c r="L397" i="16"/>
  <c r="J397" i="16"/>
  <c r="E397" i="16"/>
  <c r="G134" i="5"/>
  <c r="G127" i="5"/>
  <c r="G122" i="5"/>
  <c r="G126" i="5"/>
  <c r="G123" i="5"/>
  <c r="H112" i="5"/>
  <c r="H113" i="5"/>
  <c r="F125" i="5"/>
  <c r="F124" i="5"/>
  <c r="F132" i="5" s="1"/>
  <c r="J129" i="5"/>
  <c r="J128" i="5"/>
  <c r="M124" i="5" l="1"/>
  <c r="M132" i="5" s="1"/>
  <c r="F108" i="5"/>
  <c r="F116" i="5" s="1"/>
  <c r="F109" i="5"/>
  <c r="E237" i="16"/>
  <c r="L124" i="5"/>
  <c r="L132" i="5" s="1"/>
  <c r="F112" i="5"/>
  <c r="F114" i="5" s="1"/>
  <c r="O231" i="16"/>
  <c r="M129" i="5"/>
  <c r="M131" i="5" s="1"/>
  <c r="F232" i="16"/>
  <c r="M128" i="5"/>
  <c r="M130" i="5" s="1"/>
  <c r="O351" i="16"/>
  <c r="K112" i="5"/>
  <c r="K114" i="5" s="1"/>
  <c r="E357" i="16"/>
  <c r="K113" i="5"/>
  <c r="F357" i="16"/>
  <c r="G357" i="16"/>
  <c r="F352" i="16"/>
  <c r="J357" i="16"/>
  <c r="M357" i="16"/>
  <c r="H357" i="16"/>
  <c r="F336" i="16"/>
  <c r="K357" i="16"/>
  <c r="L357" i="16"/>
  <c r="O335" i="16"/>
  <c r="I357" i="16"/>
  <c r="F237" i="16"/>
  <c r="B125" i="5"/>
  <c r="B131" i="5" s="1"/>
  <c r="H128" i="5"/>
  <c r="J237" i="16"/>
  <c r="G237" i="16"/>
  <c r="I237" i="16"/>
  <c r="H237" i="16"/>
  <c r="K109" i="5"/>
  <c r="B124" i="5"/>
  <c r="B132" i="5" s="1"/>
  <c r="O215" i="16"/>
  <c r="L237" i="16"/>
  <c r="H124" i="5"/>
  <c r="H132" i="5" s="1"/>
  <c r="F216" i="16"/>
  <c r="K237" i="16"/>
  <c r="M237" i="16"/>
  <c r="H129" i="5"/>
  <c r="E277" i="16"/>
  <c r="H125" i="5"/>
  <c r="O311" i="16"/>
  <c r="J112" i="5"/>
  <c r="I277" i="16"/>
  <c r="J108" i="5"/>
  <c r="J116" i="5" s="1"/>
  <c r="O271" i="16"/>
  <c r="F277" i="16"/>
  <c r="K277" i="16"/>
  <c r="J277" i="16"/>
  <c r="F272" i="16"/>
  <c r="M277" i="16"/>
  <c r="H277" i="16"/>
  <c r="J109" i="5"/>
  <c r="L277" i="16"/>
  <c r="O255" i="16"/>
  <c r="G277" i="16"/>
  <c r="B128" i="5"/>
  <c r="F256" i="16"/>
  <c r="L317" i="16"/>
  <c r="F312" i="16"/>
  <c r="F317" i="16"/>
  <c r="E317" i="16"/>
  <c r="G317" i="16"/>
  <c r="J317" i="16"/>
  <c r="J113" i="5"/>
  <c r="H317" i="16"/>
  <c r="K317" i="16"/>
  <c r="O295" i="16"/>
  <c r="I317" i="16"/>
  <c r="M317" i="16"/>
  <c r="F296" i="16"/>
  <c r="C106" i="5"/>
  <c r="C111" i="5"/>
  <c r="C118" i="5"/>
  <c r="C110" i="5"/>
  <c r="C107" i="5"/>
  <c r="C134" i="5"/>
  <c r="C126" i="5"/>
  <c r="C122" i="5"/>
  <c r="C123" i="5"/>
  <c r="C127" i="5"/>
  <c r="G46" i="16"/>
  <c r="L68" i="16"/>
  <c r="F68" i="16"/>
  <c r="I50" i="16"/>
  <c r="K53" i="16"/>
  <c r="M53" i="16"/>
  <c r="H67" i="16"/>
  <c r="I51" i="16"/>
  <c r="J50" i="16"/>
  <c r="J65" i="16"/>
  <c r="K50" i="16"/>
  <c r="F66" i="16"/>
  <c r="G48" i="16"/>
  <c r="J52" i="16"/>
  <c r="I68" i="16"/>
  <c r="G63" i="16"/>
  <c r="J67" i="16"/>
  <c r="H68" i="16"/>
  <c r="F48" i="16"/>
  <c r="J69" i="16"/>
  <c r="F50" i="16"/>
  <c r="F63" i="16"/>
  <c r="G53" i="16"/>
  <c r="K51" i="16"/>
  <c r="F62" i="16"/>
  <c r="I64" i="16"/>
  <c r="M69" i="16"/>
  <c r="H69" i="16"/>
  <c r="F49" i="16"/>
  <c r="M52" i="16"/>
  <c r="F52" i="16"/>
  <c r="L67" i="16"/>
  <c r="F46" i="16"/>
  <c r="J53" i="16"/>
  <c r="F69" i="16"/>
  <c r="N53" i="16"/>
  <c r="N55" i="16" s="1"/>
  <c r="G66" i="16"/>
  <c r="I66" i="16"/>
  <c r="F45" i="16"/>
  <c r="I48" i="16"/>
  <c r="J68" i="16"/>
  <c r="H52" i="16"/>
  <c r="H47" i="16"/>
  <c r="H49" i="16"/>
  <c r="I69" i="16"/>
  <c r="K68" i="16"/>
  <c r="I67" i="16"/>
  <c r="G62" i="16"/>
  <c r="J51" i="16"/>
  <c r="I65" i="16"/>
  <c r="G69" i="16"/>
  <c r="K66" i="16"/>
  <c r="G47" i="16"/>
  <c r="I49" i="16"/>
  <c r="H65" i="16"/>
  <c r="I52" i="16"/>
  <c r="I53" i="16"/>
  <c r="G67" i="16"/>
  <c r="G68" i="16"/>
  <c r="L69" i="16"/>
  <c r="G52" i="16"/>
  <c r="G65" i="16"/>
  <c r="H48" i="16"/>
  <c r="F64" i="16"/>
  <c r="F65" i="16"/>
  <c r="F61" i="16"/>
  <c r="K69" i="16"/>
  <c r="F51" i="16"/>
  <c r="J66" i="16"/>
  <c r="G64" i="16"/>
  <c r="H50" i="16"/>
  <c r="F67" i="16"/>
  <c r="G49" i="16"/>
  <c r="F53" i="16"/>
  <c r="H51" i="16"/>
  <c r="N69" i="16"/>
  <c r="N71" i="16" s="1"/>
  <c r="G51" i="16"/>
  <c r="L51" i="16"/>
  <c r="F47" i="16"/>
  <c r="J49" i="16"/>
  <c r="L53" i="16"/>
  <c r="H63" i="16"/>
  <c r="L52" i="16"/>
  <c r="K67" i="16"/>
  <c r="H64" i="16"/>
  <c r="H66" i="16"/>
  <c r="H53" i="16"/>
  <c r="G50" i="16"/>
  <c r="M68" i="16"/>
  <c r="K52" i="16"/>
  <c r="K131" i="5"/>
  <c r="H114" i="5"/>
  <c r="H115" i="5"/>
  <c r="B115" i="5"/>
  <c r="M115" i="5"/>
  <c r="O151" i="16"/>
  <c r="L131" i="5"/>
  <c r="M114" i="5"/>
  <c r="F32" i="16"/>
  <c r="O31" i="16"/>
  <c r="F152" i="16"/>
  <c r="I128" i="5"/>
  <c r="I129" i="5"/>
  <c r="F130" i="5"/>
  <c r="J130" i="5"/>
  <c r="I125" i="5"/>
  <c r="I124" i="5"/>
  <c r="I132" i="5" s="1"/>
  <c r="F131" i="5"/>
  <c r="G109" i="5"/>
  <c r="G108" i="5"/>
  <c r="G116" i="5" s="1"/>
  <c r="J131" i="5"/>
  <c r="E118" i="16"/>
  <c r="F155" i="5" s="1"/>
  <c r="N117" i="16"/>
  <c r="G129" i="5"/>
  <c r="G128" i="5"/>
  <c r="G113" i="5"/>
  <c r="G112" i="5"/>
  <c r="I108" i="5"/>
  <c r="I116" i="5" s="1"/>
  <c r="I109" i="5"/>
  <c r="F16" i="16"/>
  <c r="L37" i="16"/>
  <c r="J37" i="16"/>
  <c r="G37" i="16"/>
  <c r="O15" i="16"/>
  <c r="M37" i="16"/>
  <c r="F37" i="16"/>
  <c r="H37" i="16"/>
  <c r="I37" i="16"/>
  <c r="K37" i="16"/>
  <c r="E37" i="16"/>
  <c r="I113" i="5"/>
  <c r="I112" i="5"/>
  <c r="G157" i="16"/>
  <c r="F136" i="16"/>
  <c r="E157" i="16"/>
  <c r="O135" i="16"/>
  <c r="L157" i="16"/>
  <c r="H157" i="16"/>
  <c r="I157" i="16"/>
  <c r="J157" i="16"/>
  <c r="F157" i="16"/>
  <c r="M157" i="16"/>
  <c r="K157" i="16"/>
  <c r="G125" i="5"/>
  <c r="G124" i="5"/>
  <c r="G132" i="5" s="1"/>
  <c r="N397" i="16"/>
  <c r="E398" i="16"/>
  <c r="M155" i="5" s="1"/>
  <c r="M173" i="5" s="1"/>
  <c r="K130" i="5"/>
  <c r="K133" i="5" s="1"/>
  <c r="K135" i="5" s="1"/>
  <c r="L115" i="5"/>
  <c r="L114" i="5"/>
  <c r="E198" i="16"/>
  <c r="H155" i="5" s="1"/>
  <c r="H173" i="5" s="1"/>
  <c r="N197" i="16"/>
  <c r="F115" i="5"/>
  <c r="B114" i="5"/>
  <c r="B116" i="5" s="1"/>
  <c r="L130" i="5" l="1"/>
  <c r="K115" i="5"/>
  <c r="K117" i="5"/>
  <c r="K119" i="5" s="1"/>
  <c r="K154" i="5" s="1"/>
  <c r="H130" i="5"/>
  <c r="E358" i="16"/>
  <c r="L155" i="5" s="1"/>
  <c r="L173" i="5" s="1"/>
  <c r="N357" i="16"/>
  <c r="B130" i="5"/>
  <c r="N237" i="16"/>
  <c r="H131" i="5"/>
  <c r="E238" i="16"/>
  <c r="I155" i="5" s="1"/>
  <c r="I173" i="5" s="1"/>
  <c r="J114" i="5"/>
  <c r="J117" i="5" s="1"/>
  <c r="J119" i="5" s="1"/>
  <c r="J115" i="5"/>
  <c r="N277" i="16"/>
  <c r="E278" i="16"/>
  <c r="J155" i="5" s="1"/>
  <c r="J173" i="5" s="1"/>
  <c r="M71" i="16"/>
  <c r="N317" i="16"/>
  <c r="E318" i="16"/>
  <c r="K71" i="16"/>
  <c r="H71" i="16"/>
  <c r="F71" i="16"/>
  <c r="G55" i="16"/>
  <c r="J55" i="16"/>
  <c r="G71" i="16"/>
  <c r="L71" i="16"/>
  <c r="L55" i="16"/>
  <c r="M55" i="16"/>
  <c r="C125" i="5"/>
  <c r="C124" i="5"/>
  <c r="C132" i="5" s="1"/>
  <c r="C129" i="5"/>
  <c r="C128" i="5"/>
  <c r="H55" i="16"/>
  <c r="K55" i="16"/>
  <c r="I71" i="16"/>
  <c r="J71" i="16"/>
  <c r="C113" i="5"/>
  <c r="C112" i="5"/>
  <c r="C117" i="5" s="1"/>
  <c r="I55" i="16"/>
  <c r="F55" i="16"/>
  <c r="C108" i="5"/>
  <c r="C116" i="5" s="1"/>
  <c r="C109" i="5"/>
  <c r="L133" i="5"/>
  <c r="L135" i="5" s="1"/>
  <c r="H117" i="5"/>
  <c r="H119" i="5" s="1"/>
  <c r="M133" i="5"/>
  <c r="M135" i="5" s="1"/>
  <c r="H133" i="5"/>
  <c r="H135" i="5" s="1"/>
  <c r="B133" i="5"/>
  <c r="B135" i="5" s="1"/>
  <c r="F117" i="5"/>
  <c r="F119" i="5" s="1"/>
  <c r="M117" i="5"/>
  <c r="M119" i="5" s="1"/>
  <c r="B117" i="5"/>
  <c r="B119" i="5" s="1"/>
  <c r="G114" i="5"/>
  <c r="J133" i="5"/>
  <c r="J135" i="5" s="1"/>
  <c r="L117" i="5"/>
  <c r="L119" i="5" s="1"/>
  <c r="I114" i="5"/>
  <c r="E38" i="16"/>
  <c r="B155" i="5" s="1"/>
  <c r="N37" i="16"/>
  <c r="G115" i="5"/>
  <c r="G130" i="5"/>
  <c r="G131" i="5"/>
  <c r="N157" i="16"/>
  <c r="E158" i="16"/>
  <c r="G155" i="5" s="1"/>
  <c r="R13" i="16"/>
  <c r="R14" i="16" s="1"/>
  <c r="F133" i="5"/>
  <c r="F135" i="5" s="1"/>
  <c r="I115" i="5"/>
  <c r="F173" i="5"/>
  <c r="I131" i="5"/>
  <c r="I130" i="5"/>
  <c r="J154" i="5" l="1"/>
  <c r="J163" i="5" s="1"/>
  <c r="C119" i="5"/>
  <c r="C131" i="5"/>
  <c r="C130" i="5"/>
  <c r="I77" i="16"/>
  <c r="F56" i="16"/>
  <c r="H77" i="16"/>
  <c r="O55" i="16"/>
  <c r="F77" i="16"/>
  <c r="L77" i="16"/>
  <c r="M77" i="16"/>
  <c r="K77" i="16"/>
  <c r="G77" i="16"/>
  <c r="E77" i="16"/>
  <c r="J77" i="16"/>
  <c r="C133" i="5"/>
  <c r="C135" i="5" s="1"/>
  <c r="C114" i="5"/>
  <c r="F72" i="16"/>
  <c r="O71" i="16"/>
  <c r="C115" i="5"/>
  <c r="M154" i="5"/>
  <c r="M163" i="5" s="1"/>
  <c r="W47" i="4" s="1"/>
  <c r="L154" i="5"/>
  <c r="L163" i="5" s="1"/>
  <c r="L171" i="5" s="1"/>
  <c r="H154" i="5"/>
  <c r="I133" i="5"/>
  <c r="I135" i="5" s="1"/>
  <c r="F154" i="5"/>
  <c r="B22" i="3" s="1"/>
  <c r="B154" i="5"/>
  <c r="B157" i="5" s="1"/>
  <c r="G117" i="5"/>
  <c r="G119" i="5" s="1"/>
  <c r="I117" i="5"/>
  <c r="I119" i="5" s="1"/>
  <c r="W22" i="4"/>
  <c r="K163" i="5"/>
  <c r="G173" i="5"/>
  <c r="R15" i="16"/>
  <c r="P306" i="18" s="1"/>
  <c r="G133" i="5"/>
  <c r="G135" i="5" s="1"/>
  <c r="B22" i="4" l="1"/>
  <c r="C154" i="5"/>
  <c r="C157" i="5" s="1"/>
  <c r="N77" i="16"/>
  <c r="E78" i="16"/>
  <c r="C155" i="5" s="1"/>
  <c r="U13" i="16"/>
  <c r="U14" i="16" s="1"/>
  <c r="U15" i="16" s="1"/>
  <c r="P615" i="18" s="1"/>
  <c r="F163" i="5"/>
  <c r="O213" i="18"/>
  <c r="I154" i="5"/>
  <c r="W46" i="4"/>
  <c r="G154" i="5"/>
  <c r="B47" i="4"/>
  <c r="B50" i="1"/>
  <c r="Q466" i="18"/>
  <c r="O149" i="18"/>
  <c r="O371" i="18"/>
  <c r="O338" i="18"/>
  <c r="O306" i="18"/>
  <c r="Q83" i="18"/>
  <c r="Q342" i="18"/>
  <c r="O53" i="18"/>
  <c r="O245" i="18"/>
  <c r="P307" i="18"/>
  <c r="O147" i="18"/>
  <c r="O341" i="18"/>
  <c r="Q467" i="18"/>
  <c r="O498" i="18"/>
  <c r="O467" i="18"/>
  <c r="O211" i="18"/>
  <c r="Q404" i="18"/>
  <c r="P341" i="18"/>
  <c r="O19" i="18"/>
  <c r="O18" i="18"/>
  <c r="Q210" i="18"/>
  <c r="Q182" i="18"/>
  <c r="Q275" i="18"/>
  <c r="O114" i="18"/>
  <c r="O243" i="18"/>
  <c r="P83" i="18"/>
  <c r="Q370" i="18"/>
  <c r="O181" i="18"/>
  <c r="O117" i="18"/>
  <c r="O146" i="18"/>
  <c r="O274" i="18"/>
  <c r="O340" i="18"/>
  <c r="O402" i="18"/>
  <c r="O179" i="18"/>
  <c r="O309" i="18"/>
  <c r="O83" i="18"/>
  <c r="O275" i="18"/>
  <c r="P117" i="18"/>
  <c r="O21" i="18"/>
  <c r="O84" i="18"/>
  <c r="O404" i="18"/>
  <c r="O501" i="18"/>
  <c r="O52" i="18"/>
  <c r="O437" i="18"/>
  <c r="O242" i="18"/>
  <c r="O403" i="18"/>
  <c r="O148" i="18"/>
  <c r="Q310" i="18"/>
  <c r="Q403" i="18"/>
  <c r="O82" i="18"/>
  <c r="O435" i="18"/>
  <c r="O469" i="18"/>
  <c r="P405" i="18"/>
  <c r="P1002" i="18"/>
  <c r="O405" i="18"/>
  <c r="O212" i="18"/>
  <c r="O50" i="18"/>
  <c r="O307" i="18"/>
  <c r="O115" i="18"/>
  <c r="P404" i="18"/>
  <c r="P370" i="18"/>
  <c r="Q277" i="18"/>
  <c r="O276" i="18"/>
  <c r="O244" i="18"/>
  <c r="O434" i="18"/>
  <c r="P436" i="18"/>
  <c r="O500" i="18"/>
  <c r="O436" i="18"/>
  <c r="O468" i="18"/>
  <c r="O466" i="18"/>
  <c r="O372" i="18"/>
  <c r="O370" i="18"/>
  <c r="Q436" i="18"/>
  <c r="Q115" i="18"/>
  <c r="O51" i="18"/>
  <c r="O178" i="18"/>
  <c r="P20" i="18"/>
  <c r="P53" i="18"/>
  <c r="Q274" i="18"/>
  <c r="Q179" i="18"/>
  <c r="P147" i="18"/>
  <c r="Q52" i="18"/>
  <c r="P469" i="18"/>
  <c r="P338" i="18"/>
  <c r="Q51" i="18"/>
  <c r="P245" i="18"/>
  <c r="P213" i="18"/>
  <c r="Q338" i="18"/>
  <c r="Q306" i="18"/>
  <c r="R306" i="18" s="1"/>
  <c r="P372" i="18"/>
  <c r="Q372" i="18"/>
  <c r="Q211" i="18"/>
  <c r="Q84" i="18"/>
  <c r="P115" i="18"/>
  <c r="Q19" i="18"/>
  <c r="O116" i="18"/>
  <c r="P179" i="18"/>
  <c r="P309" i="18"/>
  <c r="Q309" i="18"/>
  <c r="Q212" i="18"/>
  <c r="Q213" i="18"/>
  <c r="Q438" i="18"/>
  <c r="O180" i="18"/>
  <c r="O499" i="18"/>
  <c r="O85" i="18"/>
  <c r="P210" i="18"/>
  <c r="Q148" i="18"/>
  <c r="P211" i="18"/>
  <c r="Q149" i="18"/>
  <c r="Q50" i="18"/>
  <c r="Q18" i="18"/>
  <c r="O20" i="18"/>
  <c r="O277" i="18"/>
  <c r="O210" i="18"/>
  <c r="O308" i="18"/>
  <c r="O339" i="18"/>
  <c r="O373" i="18"/>
  <c r="P50" i="18"/>
  <c r="P434" i="18"/>
  <c r="P21" i="18"/>
  <c r="P51" i="18"/>
  <c r="P148" i="18"/>
  <c r="P467" i="18"/>
  <c r="Q146" i="18"/>
  <c r="Q468" i="18"/>
  <c r="P499" i="18"/>
  <c r="Q469" i="18"/>
  <c r="Q437" i="18"/>
  <c r="Q406" i="18"/>
  <c r="P149" i="18"/>
  <c r="Q21" i="18"/>
  <c r="P274" i="18"/>
  <c r="Q147" i="18"/>
  <c r="P468" i="18"/>
  <c r="Q405" i="18"/>
  <c r="P501" i="18"/>
  <c r="Q54" i="18"/>
  <c r="Q117" i="18"/>
  <c r="P308" i="18"/>
  <c r="P146" i="18"/>
  <c r="P52" i="18"/>
  <c r="P339" i="18"/>
  <c r="P212" i="18"/>
  <c r="Q371" i="18"/>
  <c r="Q150" i="18"/>
  <c r="P84" i="18"/>
  <c r="Q245" i="18"/>
  <c r="Q242" i="18"/>
  <c r="Q244" i="18"/>
  <c r="Q617" i="18"/>
  <c r="P403" i="18"/>
  <c r="Q118" i="18"/>
  <c r="P437" i="18"/>
  <c r="P340" i="18"/>
  <c r="Q307" i="18"/>
  <c r="Q86" i="18"/>
  <c r="P181" i="18"/>
  <c r="Q114" i="18"/>
  <c r="P82" i="18"/>
  <c r="Q501" i="18"/>
  <c r="Q243" i="18"/>
  <c r="P18" i="18"/>
  <c r="P116" i="18"/>
  <c r="Q373" i="18"/>
  <c r="Q53" i="18"/>
  <c r="Q246" i="18"/>
  <c r="Q502" i="18"/>
  <c r="P277" i="18"/>
  <c r="Q498" i="18"/>
  <c r="P498" i="18"/>
  <c r="P276" i="18"/>
  <c r="Q470" i="18"/>
  <c r="Q374" i="18"/>
  <c r="Q178" i="18"/>
  <c r="P500" i="18"/>
  <c r="P466" i="18"/>
  <c r="Q339" i="18"/>
  <c r="P114" i="18"/>
  <c r="Q20" i="18"/>
  <c r="Q434" i="18"/>
  <c r="P373" i="18"/>
  <c r="Q500" i="18"/>
  <c r="P435" i="18"/>
  <c r="Q181" i="18"/>
  <c r="Q341" i="18"/>
  <c r="Q85" i="18"/>
  <c r="Q278" i="18"/>
  <c r="P244" i="18"/>
  <c r="P180" i="18"/>
  <c r="Q499" i="18"/>
  <c r="Q22" i="18"/>
  <c r="P402" i="18"/>
  <c r="P242" i="18"/>
  <c r="P371" i="18"/>
  <c r="Q435" i="18"/>
  <c r="Q276" i="18"/>
  <c r="Q340" i="18"/>
  <c r="Q116" i="18"/>
  <c r="P85" i="18"/>
  <c r="P19" i="18"/>
  <c r="Q308" i="18"/>
  <c r="Q402" i="18"/>
  <c r="P275" i="18"/>
  <c r="P243" i="18"/>
  <c r="Q214" i="18"/>
  <c r="P178" i="18"/>
  <c r="Q180" i="18"/>
  <c r="Q82" i="18"/>
  <c r="C50" i="1"/>
  <c r="B46" i="4"/>
  <c r="B46" i="3"/>
  <c r="H163" i="5"/>
  <c r="M171" i="5"/>
  <c r="B163" i="5"/>
  <c r="G163" i="5"/>
  <c r="W22" i="3"/>
  <c r="I163" i="5"/>
  <c r="W46" i="3"/>
  <c r="W23" i="4"/>
  <c r="K171" i="5"/>
  <c r="U16" i="16"/>
  <c r="Q781" i="18" s="1"/>
  <c r="B23" i="4"/>
  <c r="J171" i="5"/>
  <c r="F171" i="5"/>
  <c r="B23" i="3"/>
  <c r="R16" i="16"/>
  <c r="O282" i="18" s="1"/>
  <c r="P554" i="18" l="1"/>
  <c r="O649" i="18"/>
  <c r="O969" i="18"/>
  <c r="P647" i="18"/>
  <c r="O746" i="18"/>
  <c r="Q905" i="18"/>
  <c r="O554" i="18"/>
  <c r="Q841" i="18"/>
  <c r="O1001" i="18"/>
  <c r="O583" i="18"/>
  <c r="O615" i="18"/>
  <c r="Q1033" i="18"/>
  <c r="O906" i="18"/>
  <c r="Q903" i="18"/>
  <c r="P936" i="18"/>
  <c r="P711" i="18"/>
  <c r="Q1034" i="18"/>
  <c r="Q583" i="18"/>
  <c r="P871" i="18"/>
  <c r="O968" i="18"/>
  <c r="Q807" i="18"/>
  <c r="Q649" i="18"/>
  <c r="Q872" i="18"/>
  <c r="P1034" i="18"/>
  <c r="Q744" i="18"/>
  <c r="O904" i="18"/>
  <c r="O839" i="18"/>
  <c r="Q967" i="18"/>
  <c r="Q778" i="18"/>
  <c r="P904" i="18"/>
  <c r="Q906" i="18"/>
  <c r="P584" i="18"/>
  <c r="O874" i="18"/>
  <c r="P648" i="18"/>
  <c r="P585" i="18"/>
  <c r="Q553" i="18"/>
  <c r="Q873" i="18"/>
  <c r="P617" i="18"/>
  <c r="R617" i="18" s="1"/>
  <c r="P553" i="18"/>
  <c r="P905" i="18"/>
  <c r="R905" i="18" s="1"/>
  <c r="P744" i="18"/>
  <c r="R744" i="18" s="1"/>
  <c r="O936" i="18"/>
  <c r="P906" i="18"/>
  <c r="P968" i="18"/>
  <c r="O1032" i="18"/>
  <c r="O871" i="18"/>
  <c r="Q1000" i="18"/>
  <c r="O999" i="18"/>
  <c r="P712" i="18"/>
  <c r="O807" i="18"/>
  <c r="Q1002" i="18"/>
  <c r="P809" i="18"/>
  <c r="Q839" i="18"/>
  <c r="Q840" i="18"/>
  <c r="Q618" i="18"/>
  <c r="P682" i="18"/>
  <c r="P937" i="18"/>
  <c r="O585" i="18"/>
  <c r="Q775" i="18"/>
  <c r="Q970" i="18"/>
  <c r="O970" i="18"/>
  <c r="P842" i="18"/>
  <c r="O618" i="18"/>
  <c r="O680" i="18"/>
  <c r="Q650" i="18"/>
  <c r="Q871" i="18"/>
  <c r="O648" i="18"/>
  <c r="P1032" i="18"/>
  <c r="O682" i="18"/>
  <c r="O650" i="18"/>
  <c r="O1034" i="18"/>
  <c r="O776" i="18"/>
  <c r="Q712" i="18"/>
  <c r="P616" i="18"/>
  <c r="O905" i="18"/>
  <c r="O841" i="18"/>
  <c r="O712" i="18"/>
  <c r="O744" i="18"/>
  <c r="Q584" i="18"/>
  <c r="P840" i="18"/>
  <c r="P680" i="18"/>
  <c r="Q616" i="18"/>
  <c r="Q647" i="18"/>
  <c r="O1033" i="18"/>
  <c r="O711" i="18"/>
  <c r="O714" i="18"/>
  <c r="O1002" i="18"/>
  <c r="Q809" i="18"/>
  <c r="Q810" i="18"/>
  <c r="O681" i="18"/>
  <c r="O810" i="18"/>
  <c r="O842" i="18"/>
  <c r="O551" i="18"/>
  <c r="Q999" i="18"/>
  <c r="P743" i="18"/>
  <c r="P808" i="18"/>
  <c r="Q937" i="18"/>
  <c r="P999" i="18"/>
  <c r="Q808" i="18"/>
  <c r="P714" i="18"/>
  <c r="Q874" i="18"/>
  <c r="Q586" i="18"/>
  <c r="P935" i="18"/>
  <c r="O743" i="18"/>
  <c r="O872" i="18"/>
  <c r="Q648" i="18"/>
  <c r="P873" i="18"/>
  <c r="P775" i="18"/>
  <c r="Q585" i="18"/>
  <c r="R585" i="18" s="1"/>
  <c r="S585" i="18" s="1"/>
  <c r="U585" i="18" s="1"/>
  <c r="V585" i="18" s="1"/>
  <c r="P1001" i="18"/>
  <c r="Q938" i="18"/>
  <c r="Q936" i="18"/>
  <c r="O903" i="18"/>
  <c r="O967" i="18"/>
  <c r="Q1001" i="18"/>
  <c r="P618" i="18"/>
  <c r="Q1032" i="18"/>
  <c r="Q554" i="18"/>
  <c r="R554" i="18" s="1"/>
  <c r="S554" i="18" s="1"/>
  <c r="T554" i="18" s="1"/>
  <c r="P583" i="18"/>
  <c r="R583" i="18" s="1"/>
  <c r="S583" i="18" s="1"/>
  <c r="T583" i="18" s="1"/>
  <c r="O778" i="18"/>
  <c r="O777" i="18"/>
  <c r="Q746" i="18"/>
  <c r="P778" i="18"/>
  <c r="P777" i="18"/>
  <c r="Q776" i="18"/>
  <c r="O616" i="18"/>
  <c r="O809" i="18"/>
  <c r="O808" i="18"/>
  <c r="P1033" i="18"/>
  <c r="Q552" i="18"/>
  <c r="O586" i="18"/>
  <c r="P872" i="18"/>
  <c r="R872" i="18" s="1"/>
  <c r="P967" i="18"/>
  <c r="O935" i="18"/>
  <c r="Q842" i="18"/>
  <c r="R842" i="18" s="1"/>
  <c r="O1031" i="18"/>
  <c r="O775" i="18"/>
  <c r="Q743" i="18"/>
  <c r="Q551" i="18"/>
  <c r="O713" i="18"/>
  <c r="P649" i="18"/>
  <c r="R649" i="18" s="1"/>
  <c r="S649" i="18" s="1"/>
  <c r="T649" i="18" s="1"/>
  <c r="Q681" i="18"/>
  <c r="P969" i="18"/>
  <c r="P839" i="18"/>
  <c r="O938" i="18"/>
  <c r="Q711" i="18"/>
  <c r="O552" i="18"/>
  <c r="Q713" i="18"/>
  <c r="P810" i="18"/>
  <c r="Q969" i="18"/>
  <c r="P903" i="18"/>
  <c r="R903" i="18" s="1"/>
  <c r="O584" i="18"/>
  <c r="P874" i="18"/>
  <c r="P745" i="18"/>
  <c r="Q679" i="18"/>
  <c r="P679" i="18"/>
  <c r="P552" i="18"/>
  <c r="O1000" i="18"/>
  <c r="O679" i="18"/>
  <c r="Q904" i="18"/>
  <c r="R904" i="18" s="1"/>
  <c r="S904" i="18" s="1"/>
  <c r="U904" i="18" s="1"/>
  <c r="V904" i="18" s="1"/>
  <c r="Q714" i="18"/>
  <c r="Q1031" i="18"/>
  <c r="Q615" i="18"/>
  <c r="R615" i="18" s="1"/>
  <c r="O937" i="18"/>
  <c r="Q682" i="18"/>
  <c r="P807" i="18"/>
  <c r="Q968" i="18"/>
  <c r="Q935" i="18"/>
  <c r="P970" i="18"/>
  <c r="O873" i="18"/>
  <c r="P841" i="18"/>
  <c r="R841" i="18" s="1"/>
  <c r="O647" i="18"/>
  <c r="P713" i="18"/>
  <c r="P681" i="18"/>
  <c r="P586" i="18"/>
  <c r="Q680" i="18"/>
  <c r="O617" i="18"/>
  <c r="Q777" i="18"/>
  <c r="P650" i="18"/>
  <c r="P776" i="18"/>
  <c r="P1031" i="18"/>
  <c r="P551" i="18"/>
  <c r="O553" i="18"/>
  <c r="Q745" i="18"/>
  <c r="O745" i="18"/>
  <c r="C163" i="5"/>
  <c r="P1000" i="18"/>
  <c r="O840" i="18"/>
  <c r="P746" i="18"/>
  <c r="R746" i="18" s="1"/>
  <c r="S746" i="18" s="1"/>
  <c r="R466" i="18"/>
  <c r="S466" i="18" s="1"/>
  <c r="U466" i="18" s="1"/>
  <c r="V466" i="18" s="1"/>
  <c r="P938" i="18"/>
  <c r="Q619" i="18"/>
  <c r="Q747" i="18"/>
  <c r="Q1003" i="18"/>
  <c r="Q555" i="18"/>
  <c r="Q843" i="18"/>
  <c r="Q587" i="18"/>
  <c r="Q939" i="18"/>
  <c r="Q907" i="18"/>
  <c r="Q971" i="18"/>
  <c r="Q1035" i="18"/>
  <c r="Q779" i="18"/>
  <c r="Q715" i="18"/>
  <c r="Q683" i="18"/>
  <c r="Q875" i="18"/>
  <c r="Q811" i="18"/>
  <c r="Q651" i="18"/>
  <c r="Q684" i="18"/>
  <c r="O716" i="18"/>
  <c r="P1003" i="18"/>
  <c r="O555" i="18"/>
  <c r="P651" i="18"/>
  <c r="P652" i="18"/>
  <c r="O588" i="18"/>
  <c r="Q556" i="18"/>
  <c r="Q877" i="18"/>
  <c r="O939" i="18"/>
  <c r="Q621" i="18"/>
  <c r="Q717" i="18"/>
  <c r="O844" i="18"/>
  <c r="Q685" i="18"/>
  <c r="P811" i="18"/>
  <c r="R811" i="18" s="1"/>
  <c r="O587" i="18"/>
  <c r="Q749" i="18"/>
  <c r="P587" i="18"/>
  <c r="P684" i="18"/>
  <c r="O556" i="18"/>
  <c r="P812" i="18"/>
  <c r="O876" i="18"/>
  <c r="P780" i="18"/>
  <c r="P588" i="18"/>
  <c r="Q589" i="18"/>
  <c r="P556" i="18"/>
  <c r="P844" i="18"/>
  <c r="Q620" i="18"/>
  <c r="O971" i="18"/>
  <c r="Q940" i="18"/>
  <c r="P843" i="18"/>
  <c r="Q588" i="18"/>
  <c r="O779" i="18"/>
  <c r="O907" i="18"/>
  <c r="Q1005" i="18"/>
  <c r="Q876" i="18"/>
  <c r="O748" i="18"/>
  <c r="Q1037" i="18"/>
  <c r="Q845" i="18"/>
  <c r="O1003" i="18"/>
  <c r="P939" i="18"/>
  <c r="Q748" i="18"/>
  <c r="O908" i="18"/>
  <c r="Q1004" i="18"/>
  <c r="P747" i="18"/>
  <c r="O910" i="18"/>
  <c r="O1035" i="18"/>
  <c r="Q908" i="18"/>
  <c r="P683" i="18"/>
  <c r="O780" i="18"/>
  <c r="Q813" i="18"/>
  <c r="O940" i="18"/>
  <c r="Q973" i="18"/>
  <c r="P908" i="18"/>
  <c r="P876" i="18"/>
  <c r="O1036" i="18"/>
  <c r="Q844" i="18"/>
  <c r="P940" i="18"/>
  <c r="Q780" i="18"/>
  <c r="Q716" i="18"/>
  <c r="O620" i="18"/>
  <c r="O684" i="18"/>
  <c r="Q812" i="18"/>
  <c r="O619" i="18"/>
  <c r="P620" i="18"/>
  <c r="P971" i="18"/>
  <c r="O972" i="18"/>
  <c r="P907" i="18"/>
  <c r="Q909" i="18"/>
  <c r="P972" i="18"/>
  <c r="P716" i="18"/>
  <c r="O683" i="18"/>
  <c r="P1004" i="18"/>
  <c r="Q652" i="18"/>
  <c r="Q941" i="18"/>
  <c r="Q653" i="18"/>
  <c r="P715" i="18"/>
  <c r="O715" i="18"/>
  <c r="O843" i="18"/>
  <c r="Q557" i="18"/>
  <c r="P875" i="18"/>
  <c r="O651" i="18"/>
  <c r="O875" i="18"/>
  <c r="Q972" i="18"/>
  <c r="P748" i="18"/>
  <c r="P1036" i="18"/>
  <c r="P1035" i="18"/>
  <c r="O812" i="18"/>
  <c r="O652" i="18"/>
  <c r="P779" i="18"/>
  <c r="O1004" i="18"/>
  <c r="O811" i="18"/>
  <c r="P619" i="18"/>
  <c r="O747" i="18"/>
  <c r="P555" i="18"/>
  <c r="Q1036" i="18"/>
  <c r="S306" i="18"/>
  <c r="U306" i="18" s="1"/>
  <c r="V306" i="18" s="1"/>
  <c r="P973" i="18"/>
  <c r="P685" i="18"/>
  <c r="P877" i="18"/>
  <c r="P589" i="18"/>
  <c r="P845" i="18"/>
  <c r="P621" i="18"/>
  <c r="P1005" i="18"/>
  <c r="P1037" i="18"/>
  <c r="R83" i="18"/>
  <c r="S83" i="18" s="1"/>
  <c r="T83" i="18" s="1"/>
  <c r="P909" i="18"/>
  <c r="P781" i="18"/>
  <c r="R781" i="18" s="1"/>
  <c r="P653" i="18"/>
  <c r="P941" i="18"/>
  <c r="P749" i="18"/>
  <c r="P557" i="18"/>
  <c r="P717" i="18"/>
  <c r="P813" i="18"/>
  <c r="R681" i="18"/>
  <c r="O621" i="18"/>
  <c r="R404" i="18"/>
  <c r="S404" i="18" s="1"/>
  <c r="U404" i="18" s="1"/>
  <c r="V404" i="18" s="1"/>
  <c r="Q910" i="18"/>
  <c r="O909" i="18"/>
  <c r="Q1038" i="18"/>
  <c r="O557" i="18"/>
  <c r="O942" i="18"/>
  <c r="P846" i="18"/>
  <c r="O941" i="18"/>
  <c r="Q974" i="18"/>
  <c r="O973" i="18"/>
  <c r="Q878" i="18"/>
  <c r="O589" i="18"/>
  <c r="Q622" i="18"/>
  <c r="O717" i="18"/>
  <c r="Q846" i="18"/>
  <c r="O685" i="18"/>
  <c r="O653" i="18"/>
  <c r="O1037" i="18"/>
  <c r="O1005" i="18"/>
  <c r="O845" i="18"/>
  <c r="O781" i="18"/>
  <c r="P974" i="18"/>
  <c r="Q558" i="18"/>
  <c r="Q686" i="18"/>
  <c r="Q590" i="18"/>
  <c r="Q750" i="18"/>
  <c r="O813" i="18"/>
  <c r="Q654" i="18"/>
  <c r="O1038" i="18"/>
  <c r="Q1006" i="18"/>
  <c r="O749" i="18"/>
  <c r="Q942" i="18"/>
  <c r="Q782" i="18"/>
  <c r="Q814" i="18"/>
  <c r="Q718" i="18"/>
  <c r="O877" i="18"/>
  <c r="Q440" i="18"/>
  <c r="P878" i="18"/>
  <c r="P814" i="18"/>
  <c r="P23" i="18"/>
  <c r="Q281" i="18"/>
  <c r="P1038" i="18"/>
  <c r="O846" i="18"/>
  <c r="O1006" i="18"/>
  <c r="P622" i="18"/>
  <c r="O654" i="18"/>
  <c r="P558" i="18"/>
  <c r="O878" i="18"/>
  <c r="P910" i="18"/>
  <c r="O686" i="18"/>
  <c r="O718" i="18"/>
  <c r="O750" i="18"/>
  <c r="O622" i="18"/>
  <c r="O814" i="18"/>
  <c r="P686" i="18"/>
  <c r="O590" i="18"/>
  <c r="O558" i="18"/>
  <c r="R51" i="18"/>
  <c r="S51" i="18" s="1"/>
  <c r="T51" i="18" s="1"/>
  <c r="O974" i="18"/>
  <c r="P654" i="18"/>
  <c r="P718" i="18"/>
  <c r="O782" i="18"/>
  <c r="P590" i="18"/>
  <c r="P281" i="18"/>
  <c r="Q88" i="18"/>
  <c r="P782" i="18"/>
  <c r="P750" i="18"/>
  <c r="P1006" i="18"/>
  <c r="P942" i="18"/>
  <c r="Q120" i="18"/>
  <c r="P470" i="18"/>
  <c r="R470" i="18" s="1"/>
  <c r="R274" i="18"/>
  <c r="S274" i="18" s="1"/>
  <c r="T274" i="18" s="1"/>
  <c r="R339" i="18"/>
  <c r="S339" i="18" s="1"/>
  <c r="U339" i="18" s="1"/>
  <c r="V339" i="18" s="1"/>
  <c r="P407" i="18"/>
  <c r="P182" i="18"/>
  <c r="R182" i="18" s="1"/>
  <c r="P471" i="18"/>
  <c r="O216" i="18"/>
  <c r="O472" i="18"/>
  <c r="Q344" i="18"/>
  <c r="Q152" i="18"/>
  <c r="Q185" i="18"/>
  <c r="Q151" i="18"/>
  <c r="Q25" i="18"/>
  <c r="P24" i="18"/>
  <c r="Q504" i="18"/>
  <c r="P375" i="18"/>
  <c r="O120" i="18"/>
  <c r="Q216" i="18"/>
  <c r="Q375" i="18"/>
  <c r="P376" i="18"/>
  <c r="O215" i="18"/>
  <c r="P183" i="18"/>
  <c r="P151" i="18"/>
  <c r="P504" i="18"/>
  <c r="Q24" i="18"/>
  <c r="Q55" i="18"/>
  <c r="P248" i="18"/>
  <c r="O278" i="18"/>
  <c r="O344" i="18"/>
  <c r="O182" i="18"/>
  <c r="P246" i="18"/>
  <c r="R246" i="18" s="1"/>
  <c r="Q153" i="18"/>
  <c r="Q217" i="18"/>
  <c r="Q472" i="18"/>
  <c r="O118" i="18"/>
  <c r="Q503" i="18"/>
  <c r="Q345" i="18"/>
  <c r="O440" i="18"/>
  <c r="P310" i="18"/>
  <c r="R310" i="18" s="1"/>
  <c r="O342" i="18"/>
  <c r="Q441" i="18"/>
  <c r="O470" i="18"/>
  <c r="O310" i="18"/>
  <c r="P343" i="18"/>
  <c r="P118" i="18"/>
  <c r="R118" i="18" s="1"/>
  <c r="P22" i="18"/>
  <c r="R22" i="18" s="1"/>
  <c r="Q248" i="18"/>
  <c r="P216" i="18"/>
  <c r="Q471" i="18"/>
  <c r="O312" i="18"/>
  <c r="O24" i="18"/>
  <c r="O438" i="18"/>
  <c r="O151" i="18"/>
  <c r="P214" i="18"/>
  <c r="R214" i="18" s="1"/>
  <c r="Q473" i="18"/>
  <c r="O311" i="18"/>
  <c r="O503" i="18"/>
  <c r="O406" i="18"/>
  <c r="Q311" i="18"/>
  <c r="O54" i="18"/>
  <c r="P279" i="18"/>
  <c r="O184" i="18"/>
  <c r="P56" i="18"/>
  <c r="P215" i="18"/>
  <c r="P184" i="18"/>
  <c r="Q343" i="18"/>
  <c r="Q89" i="18"/>
  <c r="Q279" i="18"/>
  <c r="Q183" i="18"/>
  <c r="P88" i="18"/>
  <c r="O86" i="18"/>
  <c r="O248" i="18"/>
  <c r="P278" i="18"/>
  <c r="R278" i="18" s="1"/>
  <c r="O55" i="18"/>
  <c r="Q408" i="18"/>
  <c r="O247" i="18"/>
  <c r="Q23" i="18"/>
  <c r="P247" i="18"/>
  <c r="Q184" i="18"/>
  <c r="P55" i="18"/>
  <c r="P472" i="18"/>
  <c r="Q87" i="18"/>
  <c r="P502" i="18"/>
  <c r="R502" i="18" s="1"/>
  <c r="O407" i="18"/>
  <c r="O375" i="18"/>
  <c r="P120" i="18"/>
  <c r="P150" i="18"/>
  <c r="R150" i="18" s="1"/>
  <c r="Q409" i="18"/>
  <c r="P280" i="18"/>
  <c r="Q56" i="18"/>
  <c r="O88" i="18"/>
  <c r="Q57" i="18"/>
  <c r="P312" i="18"/>
  <c r="O246" i="18"/>
  <c r="Q439" i="18"/>
  <c r="O280" i="18"/>
  <c r="O87" i="18"/>
  <c r="Q280" i="18"/>
  <c r="P86" i="18"/>
  <c r="R86" i="18" s="1"/>
  <c r="P119" i="18"/>
  <c r="O408" i="18"/>
  <c r="P408" i="18"/>
  <c r="Q376" i="18"/>
  <c r="P439" i="18"/>
  <c r="P342" i="18"/>
  <c r="R342" i="18" s="1"/>
  <c r="O439" i="18"/>
  <c r="O22" i="18"/>
  <c r="O56" i="18"/>
  <c r="O374" i="18"/>
  <c r="O504" i="18"/>
  <c r="P374" i="18"/>
  <c r="R374" i="18" s="1"/>
  <c r="P440" i="18"/>
  <c r="Q312" i="18"/>
  <c r="Q407" i="18"/>
  <c r="P344" i="18"/>
  <c r="O502" i="18"/>
  <c r="O183" i="18"/>
  <c r="O119" i="18"/>
  <c r="P54" i="18"/>
  <c r="R54" i="18" s="1"/>
  <c r="O471" i="18"/>
  <c r="Q215" i="18"/>
  <c r="Q247" i="18"/>
  <c r="Q121" i="18"/>
  <c r="O152" i="18"/>
  <c r="O343" i="18"/>
  <c r="Q377" i="18"/>
  <c r="P503" i="18"/>
  <c r="Q505" i="18"/>
  <c r="P438" i="18"/>
  <c r="R438" i="18" s="1"/>
  <c r="O23" i="18"/>
  <c r="Q119" i="18"/>
  <c r="Q249" i="18"/>
  <c r="P152" i="18"/>
  <c r="Q313" i="18"/>
  <c r="O214" i="18"/>
  <c r="P87" i="18"/>
  <c r="P311" i="18"/>
  <c r="O279" i="18"/>
  <c r="O376" i="18"/>
  <c r="P406" i="18"/>
  <c r="R406" i="18" s="1"/>
  <c r="O150" i="18"/>
  <c r="P409" i="18"/>
  <c r="O409" i="18"/>
  <c r="O25" i="18"/>
  <c r="P217" i="18"/>
  <c r="P153" i="18"/>
  <c r="O345" i="18"/>
  <c r="P89" i="18"/>
  <c r="P57" i="18"/>
  <c r="P345" i="18"/>
  <c r="O185" i="18"/>
  <c r="O377" i="18"/>
  <c r="O57" i="18"/>
  <c r="P377" i="18"/>
  <c r="O217" i="18"/>
  <c r="P313" i="18"/>
  <c r="O121" i="18"/>
  <c r="O441" i="18"/>
  <c r="O505" i="18"/>
  <c r="P121" i="18"/>
  <c r="O89" i="18"/>
  <c r="P185" i="18"/>
  <c r="O473" i="18"/>
  <c r="O281" i="18"/>
  <c r="P249" i="18"/>
  <c r="P505" i="18"/>
  <c r="P473" i="18"/>
  <c r="O313" i="18"/>
  <c r="P25" i="18"/>
  <c r="P441" i="18"/>
  <c r="O153" i="18"/>
  <c r="O249" i="18"/>
  <c r="R501" i="18"/>
  <c r="S501" i="18" s="1"/>
  <c r="U501" i="18" s="1"/>
  <c r="V501" i="18" s="1"/>
  <c r="Q443" i="18"/>
  <c r="P314" i="18"/>
  <c r="P482" i="18"/>
  <c r="Q514" i="18"/>
  <c r="Q59" i="18"/>
  <c r="Q347" i="18"/>
  <c r="R53" i="18"/>
  <c r="S53" i="18" s="1"/>
  <c r="U53" i="18" s="1"/>
  <c r="V53" i="18" s="1"/>
  <c r="R436" i="18"/>
  <c r="S436" i="18" s="1"/>
  <c r="U436" i="18" s="1"/>
  <c r="V436" i="18" s="1"/>
  <c r="R210" i="18"/>
  <c r="S210" i="18" s="1"/>
  <c r="T210" i="18" s="1"/>
  <c r="O414" i="18"/>
  <c r="O262" i="18"/>
  <c r="P518" i="18"/>
  <c r="P446" i="18"/>
  <c r="P326" i="18"/>
  <c r="P358" i="18"/>
  <c r="P262" i="18"/>
  <c r="Q823" i="18"/>
  <c r="Q695" i="18"/>
  <c r="Q293" i="18"/>
  <c r="Q60" i="18"/>
  <c r="Q63" i="18"/>
  <c r="R437" i="18"/>
  <c r="S437" i="18" s="1"/>
  <c r="U437" i="18" s="1"/>
  <c r="V437" i="18" s="1"/>
  <c r="Q199" i="18"/>
  <c r="P294" i="18"/>
  <c r="P350" i="18"/>
  <c r="Q479" i="18"/>
  <c r="Q511" i="18"/>
  <c r="O230" i="18"/>
  <c r="R498" i="18"/>
  <c r="S498" i="18" s="1"/>
  <c r="U498" i="18" s="1"/>
  <c r="V498" i="18" s="1"/>
  <c r="Q983" i="18"/>
  <c r="Q1039" i="18"/>
  <c r="Q719" i="18"/>
  <c r="Q751" i="18"/>
  <c r="Q887" i="18"/>
  <c r="Q943" i="18"/>
  <c r="Q791" i="18"/>
  <c r="Q591" i="18"/>
  <c r="Q975" i="18"/>
  <c r="R341" i="18"/>
  <c r="S341" i="18" s="1"/>
  <c r="U341" i="18" s="1"/>
  <c r="V341" i="18" s="1"/>
  <c r="Q855" i="18"/>
  <c r="Q623" i="18"/>
  <c r="Q919" i="18"/>
  <c r="Q911" i="18"/>
  <c r="Q663" i="18"/>
  <c r="Q759" i="18"/>
  <c r="Q847" i="18"/>
  <c r="Q727" i="18"/>
  <c r="R403" i="18"/>
  <c r="S403" i="18" s="1"/>
  <c r="Q687" i="18"/>
  <c r="Q879" i="18"/>
  <c r="O510" i="18"/>
  <c r="O390" i="18"/>
  <c r="Q1015" i="18"/>
  <c r="Q951" i="18"/>
  <c r="Q783" i="18"/>
  <c r="Q1007" i="18"/>
  <c r="O286" i="18"/>
  <c r="R340" i="18"/>
  <c r="S340" i="18" s="1"/>
  <c r="U340" i="18" s="1"/>
  <c r="V340" i="18" s="1"/>
  <c r="Q631" i="18"/>
  <c r="Q1047" i="18"/>
  <c r="Q567" i="18"/>
  <c r="Q559" i="18"/>
  <c r="Q655" i="18"/>
  <c r="Q599" i="18"/>
  <c r="Q815" i="18"/>
  <c r="P751" i="18"/>
  <c r="O446" i="18"/>
  <c r="P510" i="18"/>
  <c r="P318" i="18"/>
  <c r="Q452" i="18"/>
  <c r="P156" i="18"/>
  <c r="O30" i="18"/>
  <c r="P124" i="18"/>
  <c r="P134" i="18"/>
  <c r="O38" i="18"/>
  <c r="Q285" i="18"/>
  <c r="P382" i="18"/>
  <c r="Q95" i="18"/>
  <c r="Q351" i="18"/>
  <c r="P390" i="18"/>
  <c r="O318" i="18"/>
  <c r="P70" i="18"/>
  <c r="O486" i="18"/>
  <c r="Q135" i="18"/>
  <c r="P284" i="18"/>
  <c r="P198" i="18"/>
  <c r="P414" i="18"/>
  <c r="O70" i="18"/>
  <c r="Q191" i="18"/>
  <c r="O102" i="18"/>
  <c r="Q391" i="18"/>
  <c r="Q103" i="18"/>
  <c r="Q127" i="18"/>
  <c r="O350" i="18"/>
  <c r="Q519" i="18"/>
  <c r="O326" i="18"/>
  <c r="P222" i="18"/>
  <c r="Q455" i="18"/>
  <c r="P221" i="18"/>
  <c r="O454" i="18"/>
  <c r="O126" i="18"/>
  <c r="P386" i="18"/>
  <c r="Q386" i="18"/>
  <c r="O516" i="18"/>
  <c r="P719" i="18"/>
  <c r="Q720" i="18"/>
  <c r="P1016" i="18"/>
  <c r="P759" i="18"/>
  <c r="Q624" i="18"/>
  <c r="P944" i="18"/>
  <c r="O387" i="18"/>
  <c r="O688" i="18"/>
  <c r="P687" i="18"/>
  <c r="O560" i="18"/>
  <c r="Q126" i="18"/>
  <c r="Q1016" i="18"/>
  <c r="P62" i="18"/>
  <c r="P324" i="18"/>
  <c r="P190" i="18"/>
  <c r="O190" i="18"/>
  <c r="P286" i="18"/>
  <c r="Q319" i="18"/>
  <c r="P229" i="18"/>
  <c r="Q66" i="18"/>
  <c r="O35" i="18"/>
  <c r="P624" i="18"/>
  <c r="Q322" i="18"/>
  <c r="Q728" i="18"/>
  <c r="O952" i="18"/>
  <c r="Q888" i="18"/>
  <c r="P792" i="18"/>
  <c r="O195" i="18"/>
  <c r="O226" i="18"/>
  <c r="O664" i="18"/>
  <c r="O314" i="18"/>
  <c r="P1015" i="18"/>
  <c r="Q483" i="18"/>
  <c r="P38" i="18"/>
  <c r="Q71" i="18"/>
  <c r="O518" i="18"/>
  <c r="Q295" i="18"/>
  <c r="Q327" i="18"/>
  <c r="P452" i="18"/>
  <c r="P68" i="18"/>
  <c r="O663" i="18"/>
  <c r="O943" i="18"/>
  <c r="P823" i="18"/>
  <c r="O911" i="18"/>
  <c r="P912" i="18"/>
  <c r="O591" i="18"/>
  <c r="P623" i="18"/>
  <c r="Q856" i="18"/>
  <c r="O687" i="18"/>
  <c r="P847" i="18"/>
  <c r="Q760" i="18"/>
  <c r="O815" i="18"/>
  <c r="P984" i="18"/>
  <c r="P1039" i="18"/>
  <c r="O1008" i="18"/>
  <c r="P911" i="18"/>
  <c r="O482" i="18"/>
  <c r="O944" i="18"/>
  <c r="O156" i="18"/>
  <c r="O824" i="18"/>
  <c r="O720" i="18"/>
  <c r="Q721" i="18"/>
  <c r="O631" i="18"/>
  <c r="Q154" i="18"/>
  <c r="P445" i="18"/>
  <c r="Q792" i="18"/>
  <c r="O823" i="18"/>
  <c r="O880" i="18"/>
  <c r="O888" i="18"/>
  <c r="Q697" i="18"/>
  <c r="O751" i="18"/>
  <c r="Q689" i="18"/>
  <c r="O656" i="18"/>
  <c r="Q592" i="18"/>
  <c r="P879" i="18"/>
  <c r="O783" i="18"/>
  <c r="Q1041" i="18"/>
  <c r="O951" i="18"/>
  <c r="Q849" i="18"/>
  <c r="P559" i="18"/>
  <c r="P783" i="18"/>
  <c r="O791" i="18"/>
  <c r="P815" i="18"/>
  <c r="Q753" i="18"/>
  <c r="P951" i="18"/>
  <c r="O600" i="18"/>
  <c r="Q752" i="18"/>
  <c r="O568" i="18"/>
  <c r="O483" i="18"/>
  <c r="P952" i="18"/>
  <c r="Q664" i="18"/>
  <c r="O382" i="18"/>
  <c r="Q447" i="18"/>
  <c r="P30" i="18"/>
  <c r="Q354" i="18"/>
  <c r="Q314" i="18"/>
  <c r="Q292" i="18"/>
  <c r="Q221" i="18"/>
  <c r="Q163" i="18"/>
  <c r="Q98" i="18"/>
  <c r="O60" i="18"/>
  <c r="P655" i="18"/>
  <c r="Q633" i="18"/>
  <c r="O515" i="18"/>
  <c r="P688" i="18"/>
  <c r="P560" i="18"/>
  <c r="R370" i="18"/>
  <c r="S370" i="18" s="1"/>
  <c r="O792" i="18"/>
  <c r="Q761" i="18"/>
  <c r="Q1048" i="18"/>
  <c r="Q857" i="18"/>
  <c r="O759" i="18"/>
  <c r="P920" i="18"/>
  <c r="O592" i="18"/>
  <c r="Q976" i="18"/>
  <c r="O696" i="18"/>
  <c r="Q125" i="18"/>
  <c r="P848" i="18"/>
  <c r="Q953" i="18"/>
  <c r="Q912" i="18"/>
  <c r="O567" i="18"/>
  <c r="Q569" i="18"/>
  <c r="Q889" i="18"/>
  <c r="P784" i="18"/>
  <c r="P663" i="18"/>
  <c r="P887" i="18"/>
  <c r="Q921" i="18"/>
  <c r="O784" i="18"/>
  <c r="Q1049" i="18"/>
  <c r="O1048" i="18"/>
  <c r="P728" i="18"/>
  <c r="Q880" i="18"/>
  <c r="P163" i="18"/>
  <c r="Q600" i="18"/>
  <c r="Q952" i="18"/>
  <c r="P664" i="18"/>
  <c r="O632" i="18"/>
  <c r="P567" i="18"/>
  <c r="O976" i="18"/>
  <c r="Q945" i="18"/>
  <c r="P976" i="18"/>
  <c r="O624" i="18"/>
  <c r="Q1040" i="18"/>
  <c r="O855" i="18"/>
  <c r="Q848" i="18"/>
  <c r="O719" i="18"/>
  <c r="P919" i="18"/>
  <c r="Q123" i="18"/>
  <c r="Q816" i="18"/>
  <c r="P162" i="18"/>
  <c r="O984" i="18"/>
  <c r="O655" i="18"/>
  <c r="P888" i="18"/>
  <c r="P975" i="18"/>
  <c r="P1040" i="18"/>
  <c r="O1007" i="18"/>
  <c r="Q817" i="18"/>
  <c r="O1039" i="18"/>
  <c r="O816" i="18"/>
  <c r="Q913" i="18"/>
  <c r="O695" i="18"/>
  <c r="P600" i="18"/>
  <c r="Q560" i="18"/>
  <c r="Q984" i="18"/>
  <c r="P791" i="18"/>
  <c r="Q516" i="18"/>
  <c r="Q568" i="18"/>
  <c r="O599" i="18"/>
  <c r="Q632" i="18"/>
  <c r="P880" i="18"/>
  <c r="Q657" i="18"/>
  <c r="O1015" i="18"/>
  <c r="O252" i="18"/>
  <c r="O919" i="18"/>
  <c r="Q561" i="18"/>
  <c r="Q380" i="18"/>
  <c r="P632" i="18"/>
  <c r="P720" i="18"/>
  <c r="O1016" i="18"/>
  <c r="P568" i="18"/>
  <c r="O848" i="18"/>
  <c r="P696" i="18"/>
  <c r="P591" i="18"/>
  <c r="O485" i="18"/>
  <c r="O887" i="18"/>
  <c r="Q665" i="18"/>
  <c r="P983" i="18"/>
  <c r="O975" i="18"/>
  <c r="P228" i="18"/>
  <c r="P816" i="18"/>
  <c r="P631" i="18"/>
  <c r="P1007" i="18"/>
  <c r="Q881" i="18"/>
  <c r="Q226" i="18"/>
  <c r="Q920" i="18"/>
  <c r="Q625" i="18"/>
  <c r="Q482" i="18"/>
  <c r="P93" i="18"/>
  <c r="Q476" i="18"/>
  <c r="P1047" i="18"/>
  <c r="Q688" i="18"/>
  <c r="O879" i="18"/>
  <c r="P855" i="18"/>
  <c r="O920" i="18"/>
  <c r="Q985" i="18"/>
  <c r="Q593" i="18"/>
  <c r="P379" i="18"/>
  <c r="P856" i="18"/>
  <c r="O727" i="18"/>
  <c r="Q944" i="18"/>
  <c r="O559" i="18"/>
  <c r="Q824" i="18"/>
  <c r="O1040" i="18"/>
  <c r="O728" i="18"/>
  <c r="Q27" i="18"/>
  <c r="Q696" i="18"/>
  <c r="P656" i="18"/>
  <c r="Q784" i="18"/>
  <c r="O36" i="18"/>
  <c r="P727" i="18"/>
  <c r="O912" i="18"/>
  <c r="O983" i="18"/>
  <c r="O91" i="18"/>
  <c r="O623" i="18"/>
  <c r="O1047" i="18"/>
  <c r="P1008" i="18"/>
  <c r="Q484" i="18"/>
  <c r="Q197" i="18"/>
  <c r="Q793" i="18"/>
  <c r="P824" i="18"/>
  <c r="Q325" i="18"/>
  <c r="Q656" i="18"/>
  <c r="P592" i="18"/>
  <c r="O847" i="18"/>
  <c r="Q1017" i="18"/>
  <c r="P325" i="18"/>
  <c r="P695" i="18"/>
  <c r="Q729" i="18"/>
  <c r="R308" i="18"/>
  <c r="S308" i="18" s="1"/>
  <c r="U308" i="18" s="1"/>
  <c r="V308" i="18" s="1"/>
  <c r="Q219" i="18"/>
  <c r="P34" i="18"/>
  <c r="Q58" i="18"/>
  <c r="Q509" i="18"/>
  <c r="Q977" i="18"/>
  <c r="P599" i="18"/>
  <c r="Q601" i="18"/>
  <c r="Q1008" i="18"/>
  <c r="P1048" i="18"/>
  <c r="Q1009" i="18"/>
  <c r="Q785" i="18"/>
  <c r="P760" i="18"/>
  <c r="O856" i="18"/>
  <c r="P752" i="18"/>
  <c r="O752" i="18"/>
  <c r="Q825" i="18"/>
  <c r="O760" i="18"/>
  <c r="P943" i="18"/>
  <c r="P122" i="18"/>
  <c r="Q453" i="18"/>
  <c r="P453" i="18"/>
  <c r="Q188" i="18"/>
  <c r="Q486" i="18"/>
  <c r="Q122" i="18"/>
  <c r="P378" i="18"/>
  <c r="P322" i="18"/>
  <c r="P27" i="18"/>
  <c r="Q253" i="18"/>
  <c r="Q218" i="18"/>
  <c r="Q358" i="18"/>
  <c r="O290" i="18"/>
  <c r="O450" i="18"/>
  <c r="Q90" i="18"/>
  <c r="O131" i="18"/>
  <c r="Q508" i="18"/>
  <c r="P317" i="18"/>
  <c r="O228" i="18"/>
  <c r="O165" i="18"/>
  <c r="O411" i="18"/>
  <c r="Q259" i="18"/>
  <c r="O261" i="18"/>
  <c r="O254" i="18"/>
  <c r="O134" i="18"/>
  <c r="P94" i="18"/>
  <c r="P254" i="18"/>
  <c r="Q263" i="18"/>
  <c r="Q223" i="18"/>
  <c r="Q378" i="18"/>
  <c r="P477" i="18"/>
  <c r="Q195" i="18"/>
  <c r="Q260" i="18"/>
  <c r="Q26" i="18"/>
  <c r="Q229" i="18"/>
  <c r="Q454" i="18"/>
  <c r="Q349" i="18"/>
  <c r="P101" i="18"/>
  <c r="P507" i="18"/>
  <c r="P165" i="18"/>
  <c r="Q414" i="18"/>
  <c r="P252" i="18"/>
  <c r="Q100" i="18"/>
  <c r="O324" i="18"/>
  <c r="Q252" i="18"/>
  <c r="Q133" i="18"/>
  <c r="Q251" i="18"/>
  <c r="O293" i="18"/>
  <c r="O99" i="18"/>
  <c r="O187" i="18"/>
  <c r="O27" i="18"/>
  <c r="Q388" i="18"/>
  <c r="O445" i="18"/>
  <c r="P98" i="18"/>
  <c r="O380" i="18"/>
  <c r="P421" i="18"/>
  <c r="P220" i="18"/>
  <c r="Q165" i="18"/>
  <c r="Q510" i="18"/>
  <c r="O197" i="18"/>
  <c r="O258" i="18"/>
  <c r="P380" i="18"/>
  <c r="Q445" i="18"/>
  <c r="P125" i="18"/>
  <c r="O130" i="18"/>
  <c r="Q283" i="18"/>
  <c r="O162" i="18"/>
  <c r="O229" i="18"/>
  <c r="O453" i="18"/>
  <c r="P100" i="18"/>
  <c r="O155" i="18"/>
  <c r="O66" i="18"/>
  <c r="Q390" i="18"/>
  <c r="Q222" i="18"/>
  <c r="O123" i="18"/>
  <c r="O378" i="18"/>
  <c r="Q68" i="18"/>
  <c r="O163" i="18"/>
  <c r="O98" i="18"/>
  <c r="O198" i="18"/>
  <c r="Q159" i="18"/>
  <c r="P227" i="18"/>
  <c r="P36" i="18"/>
  <c r="P195" i="18"/>
  <c r="P484" i="18"/>
  <c r="Q477" i="18"/>
  <c r="R52" i="18"/>
  <c r="S52" i="18" s="1"/>
  <c r="T52" i="18" s="1"/>
  <c r="P506" i="18"/>
  <c r="P442" i="18"/>
  <c r="O260" i="18"/>
  <c r="P130" i="18"/>
  <c r="Q506" i="18"/>
  <c r="Q316" i="18"/>
  <c r="Q413" i="18"/>
  <c r="O188" i="18"/>
  <c r="P516" i="18"/>
  <c r="Q99" i="18"/>
  <c r="O154" i="18"/>
  <c r="P474" i="18"/>
  <c r="P92" i="18"/>
  <c r="O67" i="18"/>
  <c r="Q69" i="18"/>
  <c r="O507" i="18"/>
  <c r="O478" i="18"/>
  <c r="P102" i="18"/>
  <c r="P126" i="18"/>
  <c r="P230" i="18"/>
  <c r="P291" i="18"/>
  <c r="P483" i="18"/>
  <c r="P29" i="18"/>
  <c r="P444" i="18"/>
  <c r="O94" i="18"/>
  <c r="O222" i="18"/>
  <c r="P422" i="18"/>
  <c r="Q231" i="18"/>
  <c r="P454" i="18"/>
  <c r="Q487" i="18"/>
  <c r="P354" i="18"/>
  <c r="P35" i="18"/>
  <c r="P131" i="18"/>
  <c r="Q230" i="18"/>
  <c r="R434" i="18"/>
  <c r="S434" i="18" s="1"/>
  <c r="P219" i="18"/>
  <c r="P132" i="18"/>
  <c r="Q412" i="18"/>
  <c r="P419" i="18"/>
  <c r="Q419" i="18"/>
  <c r="P517" i="18"/>
  <c r="Q346" i="18"/>
  <c r="P99" i="18"/>
  <c r="Q91" i="18"/>
  <c r="O348" i="18"/>
  <c r="P389" i="18"/>
  <c r="Q418" i="18"/>
  <c r="Q381" i="18"/>
  <c r="P411" i="18"/>
  <c r="Q94" i="18"/>
  <c r="O26" i="18"/>
  <c r="O315" i="18"/>
  <c r="O37" i="18"/>
  <c r="P226" i="18"/>
  <c r="P261" i="18"/>
  <c r="O514" i="18"/>
  <c r="O284" i="18"/>
  <c r="O386" i="18"/>
  <c r="P451" i="18"/>
  <c r="O517" i="18"/>
  <c r="O58" i="18"/>
  <c r="Q227" i="18"/>
  <c r="P347" i="18"/>
  <c r="Q442" i="18"/>
  <c r="P123" i="18"/>
  <c r="Q132" i="18"/>
  <c r="Q324" i="18"/>
  <c r="P196" i="18"/>
  <c r="Q228" i="18"/>
  <c r="Q518" i="18"/>
  <c r="O476" i="18"/>
  <c r="Q444" i="18"/>
  <c r="P283" i="18"/>
  <c r="P356" i="18"/>
  <c r="Q101" i="18"/>
  <c r="Q421" i="18"/>
  <c r="O323" i="18"/>
  <c r="Q290" i="18"/>
  <c r="O124" i="18"/>
  <c r="O388" i="18"/>
  <c r="Q189" i="18"/>
  <c r="O100" i="18"/>
  <c r="P251" i="18"/>
  <c r="O421" i="18"/>
  <c r="Q382" i="18"/>
  <c r="O349" i="18"/>
  <c r="P388" i="18"/>
  <c r="P259" i="18"/>
  <c r="Q474" i="18"/>
  <c r="Q158" i="18"/>
  <c r="P514" i="18"/>
  <c r="R514" i="18" s="1"/>
  <c r="O316" i="18"/>
  <c r="Q485" i="18"/>
  <c r="Q102" i="18"/>
  <c r="Q475" i="18"/>
  <c r="O322" i="18"/>
  <c r="Q517" i="18"/>
  <c r="O186" i="18"/>
  <c r="P157" i="18"/>
  <c r="O419" i="18"/>
  <c r="O355" i="18"/>
  <c r="P250" i="18"/>
  <c r="O451" i="18"/>
  <c r="O506" i="18"/>
  <c r="O189" i="18"/>
  <c r="Q326" i="18"/>
  <c r="O196" i="18"/>
  <c r="R277" i="18"/>
  <c r="S277" i="18" s="1"/>
  <c r="T277" i="18" s="1"/>
  <c r="P292" i="18"/>
  <c r="P515" i="18"/>
  <c r="P410" i="18"/>
  <c r="P357" i="18"/>
  <c r="Q155" i="18"/>
  <c r="O34" i="18"/>
  <c r="P420" i="18"/>
  <c r="P67" i="18"/>
  <c r="Q92" i="18"/>
  <c r="O69" i="18"/>
  <c r="P475" i="18"/>
  <c r="O442" i="18"/>
  <c r="Q387" i="18"/>
  <c r="O317" i="18"/>
  <c r="O291" i="18"/>
  <c r="O410" i="18"/>
  <c r="O381" i="18"/>
  <c r="O357" i="18"/>
  <c r="O158" i="18"/>
  <c r="O166" i="18"/>
  <c r="Q31" i="18"/>
  <c r="Q415" i="18"/>
  <c r="P166" i="18"/>
  <c r="Q287" i="18"/>
  <c r="Q350" i="18"/>
  <c r="Q357" i="18"/>
  <c r="P285" i="18"/>
  <c r="P253" i="18"/>
  <c r="P509" i="18"/>
  <c r="Q317" i="18"/>
  <c r="P450" i="18"/>
  <c r="P282" i="18"/>
  <c r="O29" i="18"/>
  <c r="P349" i="18"/>
  <c r="Q450" i="18"/>
  <c r="Q355" i="18"/>
  <c r="Q379" i="18"/>
  <c r="P60" i="18"/>
  <c r="Q250" i="18"/>
  <c r="P485" i="18"/>
  <c r="O253" i="18"/>
  <c r="Q62" i="18"/>
  <c r="O354" i="18"/>
  <c r="O413" i="18"/>
  <c r="O259" i="18"/>
  <c r="Q70" i="18"/>
  <c r="O122" i="18"/>
  <c r="Q515" i="18"/>
  <c r="O219" i="18"/>
  <c r="O220" i="18"/>
  <c r="P443" i="18"/>
  <c r="Q166" i="18"/>
  <c r="P316" i="18"/>
  <c r="P412" i="18"/>
  <c r="P133" i="18"/>
  <c r="Q451" i="18"/>
  <c r="Q35" i="18"/>
  <c r="Q286" i="18"/>
  <c r="P61" i="18"/>
  <c r="Q130" i="18"/>
  <c r="P66" i="18"/>
  <c r="Q61" i="18"/>
  <c r="O412" i="18"/>
  <c r="P348" i="18"/>
  <c r="Q157" i="18"/>
  <c r="O389" i="18"/>
  <c r="O443" i="18"/>
  <c r="O164" i="18"/>
  <c r="Q28" i="18"/>
  <c r="O101" i="18"/>
  <c r="O68" i="18"/>
  <c r="P187" i="18"/>
  <c r="P290" i="18"/>
  <c r="O92" i="18"/>
  <c r="O227" i="18"/>
  <c r="Q196" i="18"/>
  <c r="P476" i="18"/>
  <c r="P59" i="18"/>
  <c r="P197" i="18"/>
  <c r="Q186" i="18"/>
  <c r="Q258" i="18"/>
  <c r="Q254" i="18"/>
  <c r="Q190" i="18"/>
  <c r="P355" i="18"/>
  <c r="Q134" i="18"/>
  <c r="P37" i="18"/>
  <c r="O157" i="18"/>
  <c r="P189" i="18"/>
  <c r="O379" i="18"/>
  <c r="Q198" i="18"/>
  <c r="O356" i="18"/>
  <c r="O509" i="18"/>
  <c r="Q315" i="18"/>
  <c r="O444" i="18"/>
  <c r="P508" i="18"/>
  <c r="O452" i="18"/>
  <c r="Q29" i="18"/>
  <c r="Q131" i="18"/>
  <c r="P186" i="18"/>
  <c r="Q410" i="18"/>
  <c r="P58" i="18"/>
  <c r="P218" i="18"/>
  <c r="Q124" i="18"/>
  <c r="Q356" i="18"/>
  <c r="Q291" i="18"/>
  <c r="Q478" i="18"/>
  <c r="Q389" i="18"/>
  <c r="Q164" i="18"/>
  <c r="P194" i="18"/>
  <c r="Q38" i="18"/>
  <c r="O133" i="18"/>
  <c r="O283" i="18"/>
  <c r="O420" i="18"/>
  <c r="O285" i="18"/>
  <c r="Q411" i="18"/>
  <c r="O61" i="18"/>
  <c r="O418" i="18"/>
  <c r="O474" i="18"/>
  <c r="P164" i="18"/>
  <c r="Q261" i="18"/>
  <c r="O194" i="18"/>
  <c r="O251" i="18"/>
  <c r="O346" i="18"/>
  <c r="O422" i="18"/>
  <c r="P478" i="18"/>
  <c r="P323" i="18"/>
  <c r="P260" i="18"/>
  <c r="Q318" i="18"/>
  <c r="P293" i="18"/>
  <c r="Q30" i="18"/>
  <c r="P26" i="18"/>
  <c r="Q34" i="18"/>
  <c r="Q420" i="18"/>
  <c r="P90" i="18"/>
  <c r="P418" i="18"/>
  <c r="Q282" i="18"/>
  <c r="O477" i="18"/>
  <c r="P258" i="18"/>
  <c r="Q93" i="18"/>
  <c r="Q422" i="18"/>
  <c r="Q262" i="18"/>
  <c r="O325" i="18"/>
  <c r="P28" i="18"/>
  <c r="O250" i="18"/>
  <c r="O292" i="18"/>
  <c r="O508" i="18"/>
  <c r="P155" i="18"/>
  <c r="O132" i="18"/>
  <c r="P387" i="18"/>
  <c r="O218" i="18"/>
  <c r="O59" i="18"/>
  <c r="O347" i="18"/>
  <c r="Q383" i="18"/>
  <c r="O294" i="18"/>
  <c r="Q39" i="18"/>
  <c r="Q255" i="18"/>
  <c r="P486" i="18"/>
  <c r="O358" i="18"/>
  <c r="O62" i="18"/>
  <c r="Q359" i="18"/>
  <c r="Q167" i="18"/>
  <c r="P158" i="18"/>
  <c r="Q423" i="18"/>
  <c r="Q36" i="18"/>
  <c r="P188" i="18"/>
  <c r="Q220" i="18"/>
  <c r="Q446" i="18"/>
  <c r="Q156" i="18"/>
  <c r="Q37" i="18"/>
  <c r="P154" i="18"/>
  <c r="Q294" i="18"/>
  <c r="P413" i="18"/>
  <c r="Q323" i="18"/>
  <c r="Q284" i="18"/>
  <c r="Q162" i="18"/>
  <c r="Q507" i="18"/>
  <c r="Q348" i="18"/>
  <c r="Q67" i="18"/>
  <c r="Q194" i="18"/>
  <c r="O90" i="18"/>
  <c r="P91" i="18"/>
  <c r="O125" i="18"/>
  <c r="P69" i="18"/>
  <c r="P346" i="18"/>
  <c r="P315" i="18"/>
  <c r="R405" i="18"/>
  <c r="S405" i="18" s="1"/>
  <c r="U405" i="18" s="1"/>
  <c r="V405" i="18" s="1"/>
  <c r="O484" i="18"/>
  <c r="P381" i="18"/>
  <c r="O28" i="18"/>
  <c r="O93" i="18"/>
  <c r="O475" i="18"/>
  <c r="O221" i="18"/>
  <c r="Q187" i="18"/>
  <c r="R373" i="18"/>
  <c r="S373" i="18" s="1"/>
  <c r="U373" i="18" s="1"/>
  <c r="V373" i="18" s="1"/>
  <c r="P788" i="18"/>
  <c r="O690" i="18"/>
  <c r="O733" i="18"/>
  <c r="O698" i="18"/>
  <c r="R372" i="18"/>
  <c r="S372" i="18" s="1"/>
  <c r="T372" i="18" s="1"/>
  <c r="O787" i="18"/>
  <c r="P818" i="18"/>
  <c r="R307" i="18"/>
  <c r="S307" i="18" s="1"/>
  <c r="O565" i="18"/>
  <c r="O979" i="18"/>
  <c r="O754" i="18"/>
  <c r="P573" i="18"/>
  <c r="O605" i="18"/>
  <c r="O923" i="18"/>
  <c r="O635" i="18"/>
  <c r="O786" i="18"/>
  <c r="R213" i="18"/>
  <c r="S213" i="18" s="1"/>
  <c r="T213" i="18" s="1"/>
  <c r="R338" i="18"/>
  <c r="S338" i="18" s="1"/>
  <c r="U338" i="18" s="1"/>
  <c r="V338" i="18" s="1"/>
  <c r="R117" i="18"/>
  <c r="S117" i="18" s="1"/>
  <c r="U117" i="18" s="1"/>
  <c r="V117" i="18" s="1"/>
  <c r="O660" i="18"/>
  <c r="O701" i="18"/>
  <c r="O914" i="18"/>
  <c r="R18" i="18"/>
  <c r="S18" i="18" s="1"/>
  <c r="T18" i="18" s="1"/>
  <c r="O828" i="18"/>
  <c r="Q917" i="18"/>
  <c r="Q797" i="18"/>
  <c r="O757" i="18"/>
  <c r="O891" i="18"/>
  <c r="Q915" i="18"/>
  <c r="P893" i="18"/>
  <c r="O1042" i="18"/>
  <c r="O978" i="18"/>
  <c r="O789" i="18"/>
  <c r="Q699" i="18"/>
  <c r="R85" i="18"/>
  <c r="S85" i="18" s="1"/>
  <c r="T85" i="18" s="1"/>
  <c r="R149" i="18"/>
  <c r="S149" i="18" s="1"/>
  <c r="O762" i="18"/>
  <c r="Q659" i="18"/>
  <c r="P890" i="18"/>
  <c r="R468" i="18"/>
  <c r="S468" i="18" s="1"/>
  <c r="U468" i="18" s="1"/>
  <c r="V468" i="18" s="1"/>
  <c r="O627" i="18"/>
  <c r="P595" i="18"/>
  <c r="O893" i="18"/>
  <c r="P819" i="18"/>
  <c r="P1051" i="18"/>
  <c r="Q662" i="18"/>
  <c r="O955" i="18"/>
  <c r="Q660" i="18"/>
  <c r="Q948" i="18"/>
  <c r="R371" i="18"/>
  <c r="S371" i="18" s="1"/>
  <c r="U371" i="18" s="1"/>
  <c r="V371" i="18" s="1"/>
  <c r="R19" i="18"/>
  <c r="S19" i="18" s="1"/>
  <c r="T19" i="18" s="1"/>
  <c r="R146" i="18"/>
  <c r="S146" i="18" s="1"/>
  <c r="T146" i="18" s="1"/>
  <c r="R115" i="18"/>
  <c r="S115" i="18" s="1"/>
  <c r="T115" i="18" s="1"/>
  <c r="O1013" i="18"/>
  <c r="P722" i="18"/>
  <c r="O637" i="18"/>
  <c r="O892" i="18"/>
  <c r="O821" i="18"/>
  <c r="P762" i="18"/>
  <c r="O596" i="18"/>
  <c r="O819" i="18"/>
  <c r="O956" i="18"/>
  <c r="Q980" i="18"/>
  <c r="Q885" i="18"/>
  <c r="O957" i="18"/>
  <c r="O949" i="18"/>
  <c r="O1052" i="18"/>
  <c r="R245" i="18"/>
  <c r="S245" i="18" s="1"/>
  <c r="U245" i="18" s="1"/>
  <c r="V245" i="18" s="1"/>
  <c r="P917" i="18"/>
  <c r="P63" i="18"/>
  <c r="O763" i="18"/>
  <c r="O851" i="18"/>
  <c r="O723" i="18"/>
  <c r="O853" i="18"/>
  <c r="O634" i="18"/>
  <c r="P915" i="18"/>
  <c r="P603" i="18"/>
  <c r="Q788" i="18"/>
  <c r="Q979" i="18"/>
  <c r="Q572" i="18"/>
  <c r="O795" i="18"/>
  <c r="O570" i="18"/>
  <c r="O658" i="18"/>
  <c r="O916" i="18"/>
  <c r="O885" i="18"/>
  <c r="O756" i="18"/>
  <c r="O861" i="18"/>
  <c r="O731" i="18"/>
  <c r="Q886" i="18"/>
  <c r="Q819" i="18"/>
  <c r="Q701" i="18"/>
  <c r="O820" i="18"/>
  <c r="O860" i="18"/>
  <c r="O597" i="18"/>
  <c r="O1053" i="18"/>
  <c r="O852" i="18"/>
  <c r="O724" i="18"/>
  <c r="O700" i="18"/>
  <c r="Q894" i="18"/>
  <c r="Q1020" i="18"/>
  <c r="P1011" i="18"/>
  <c r="Q828" i="18"/>
  <c r="O668" i="18"/>
  <c r="O981" i="18"/>
  <c r="O1010" i="18"/>
  <c r="O827" i="18"/>
  <c r="Q1022" i="18"/>
  <c r="P861" i="18"/>
  <c r="Q1052" i="18"/>
  <c r="P757" i="18"/>
  <c r="O415" i="18"/>
  <c r="O667" i="18"/>
  <c r="O858" i="18"/>
  <c r="O1051" i="18"/>
  <c r="O829" i="18"/>
  <c r="O980" i="18"/>
  <c r="O661" i="18"/>
  <c r="Q787" i="18"/>
  <c r="P635" i="18"/>
  <c r="O725" i="18"/>
  <c r="O666" i="18"/>
  <c r="O572" i="18"/>
  <c r="O884" i="18"/>
  <c r="O730" i="18"/>
  <c r="O989" i="18"/>
  <c r="P851" i="18"/>
  <c r="P660" i="18"/>
  <c r="O691" i="18"/>
  <c r="O946" i="18"/>
  <c r="Q603" i="18"/>
  <c r="Q595" i="18"/>
  <c r="Q766" i="18"/>
  <c r="P693" i="18"/>
  <c r="R179" i="18"/>
  <c r="S179" i="18" s="1"/>
  <c r="T179" i="18" s="1"/>
  <c r="R20" i="18"/>
  <c r="S20" i="18" s="1"/>
  <c r="T20" i="18" s="1"/>
  <c r="R1002" i="18"/>
  <c r="S1002" i="18" s="1"/>
  <c r="U1002" i="18" s="1"/>
  <c r="V1002" i="18" s="1"/>
  <c r="R871" i="18"/>
  <c r="S871" i="18" s="1"/>
  <c r="T871" i="18" s="1"/>
  <c r="R21" i="18"/>
  <c r="S21" i="18" s="1"/>
  <c r="O1018" i="18"/>
  <c r="O1050" i="18"/>
  <c r="O571" i="18"/>
  <c r="O594" i="18"/>
  <c r="O755" i="18"/>
  <c r="O915" i="18"/>
  <c r="P891" i="18"/>
  <c r="Q726" i="18"/>
  <c r="Q955" i="18"/>
  <c r="P989" i="18"/>
  <c r="R276" i="18"/>
  <c r="S276" i="18" s="1"/>
  <c r="T276" i="18" s="1"/>
  <c r="Q384" i="18"/>
  <c r="O573" i="18"/>
  <c r="O693" i="18"/>
  <c r="O563" i="18"/>
  <c r="P1020" i="18"/>
  <c r="Q636" i="18"/>
  <c r="Q755" i="18"/>
  <c r="R181" i="18"/>
  <c r="S181" i="18" s="1"/>
  <c r="U181" i="18" s="1"/>
  <c r="V181" i="18" s="1"/>
  <c r="R212" i="18"/>
  <c r="S212" i="18" s="1"/>
  <c r="U212" i="18" s="1"/>
  <c r="V212" i="18" s="1"/>
  <c r="R467" i="18"/>
  <c r="S467" i="18" s="1"/>
  <c r="U467" i="18" s="1"/>
  <c r="V467" i="18" s="1"/>
  <c r="R243" i="18"/>
  <c r="S243" i="18" s="1"/>
  <c r="U243" i="18" s="1"/>
  <c r="V243" i="18" s="1"/>
  <c r="O1019" i="18"/>
  <c r="O1043" i="18"/>
  <c r="O954" i="18"/>
  <c r="O604" i="18"/>
  <c r="P852" i="18"/>
  <c r="Q1043" i="18"/>
  <c r="Q756" i="18"/>
  <c r="Q566" i="18"/>
  <c r="R178" i="18"/>
  <c r="S178" i="18" s="1"/>
  <c r="T178" i="18" s="1"/>
  <c r="R148" i="18"/>
  <c r="S148" i="18" s="1"/>
  <c r="T148" i="18" s="1"/>
  <c r="R147" i="18"/>
  <c r="S147" i="18" s="1"/>
  <c r="T147" i="18" s="1"/>
  <c r="R244" i="18"/>
  <c r="S244" i="18" s="1"/>
  <c r="U244" i="18" s="1"/>
  <c r="V244" i="18" s="1"/>
  <c r="Q72" i="18"/>
  <c r="R435" i="18"/>
  <c r="S435" i="18" s="1"/>
  <c r="U435" i="18" s="1"/>
  <c r="V435" i="18" s="1"/>
  <c r="R211" i="18"/>
  <c r="S211" i="18" s="1"/>
  <c r="T211" i="18" s="1"/>
  <c r="Q265" i="18"/>
  <c r="R116" i="18"/>
  <c r="S116" i="18" s="1"/>
  <c r="U116" i="18" s="1"/>
  <c r="V116" i="18" s="1"/>
  <c r="P392" i="18"/>
  <c r="O1045" i="18"/>
  <c r="O603" i="18"/>
  <c r="O796" i="18"/>
  <c r="O564" i="18"/>
  <c r="P667" i="18"/>
  <c r="P794" i="18"/>
  <c r="Q822" i="18"/>
  <c r="Q1012" i="18"/>
  <c r="R500" i="18"/>
  <c r="S500" i="18" s="1"/>
  <c r="T500" i="18" s="1"/>
  <c r="O328" i="18"/>
  <c r="P424" i="18"/>
  <c r="P447" i="18"/>
  <c r="O626" i="18"/>
  <c r="O890" i="18"/>
  <c r="O636" i="18"/>
  <c r="O917" i="18"/>
  <c r="O850" i="18"/>
  <c r="O924" i="18"/>
  <c r="Q988" i="18"/>
  <c r="Q1013" i="18"/>
  <c r="Q1021" i="18"/>
  <c r="P827" i="18"/>
  <c r="Q723" i="18"/>
  <c r="P127" i="18"/>
  <c r="R82" i="18"/>
  <c r="S82" i="18" s="1"/>
  <c r="U82" i="18" s="1"/>
  <c r="V82" i="18" s="1"/>
  <c r="O1044" i="18"/>
  <c r="O692" i="18"/>
  <c r="O922" i="18"/>
  <c r="O794" i="18"/>
  <c r="O788" i="18"/>
  <c r="Q630" i="18"/>
  <c r="P661" i="18"/>
  <c r="P629" i="18"/>
  <c r="P946" i="18"/>
  <c r="P725" i="18"/>
  <c r="Q565" i="18"/>
  <c r="P95" i="18"/>
  <c r="O765" i="18"/>
  <c r="O732" i="18"/>
  <c r="O1020" i="18"/>
  <c r="O882" i="18"/>
  <c r="O659" i="18"/>
  <c r="O1011" i="18"/>
  <c r="O818" i="18"/>
  <c r="Q661" i="18"/>
  <c r="P987" i="18"/>
  <c r="Q987" i="18"/>
  <c r="Q1051" i="18"/>
  <c r="Q1046" i="18"/>
  <c r="P690" i="18"/>
  <c r="R84" i="18"/>
  <c r="S84" i="18" s="1"/>
  <c r="U84" i="18" s="1"/>
  <c r="V84" i="18" s="1"/>
  <c r="O987" i="18"/>
  <c r="P978" i="18"/>
  <c r="Q852" i="18"/>
  <c r="Q990" i="18"/>
  <c r="Q225" i="18"/>
  <c r="O925" i="18"/>
  <c r="O988" i="18"/>
  <c r="Q891" i="18"/>
  <c r="Q851" i="18"/>
  <c r="P988" i="18"/>
  <c r="P885" i="18"/>
  <c r="Q734" i="18"/>
  <c r="P925" i="18"/>
  <c r="Q860" i="18"/>
  <c r="P1018" i="18"/>
  <c r="Q65" i="18"/>
  <c r="O883" i="18"/>
  <c r="O826" i="18"/>
  <c r="O669" i="18"/>
  <c r="O986" i="18"/>
  <c r="O628" i="18"/>
  <c r="O1012" i="18"/>
  <c r="O1021" i="18"/>
  <c r="Q861" i="18"/>
  <c r="Q796" i="18"/>
  <c r="Q638" i="18"/>
  <c r="P922" i="18"/>
  <c r="Q637" i="18"/>
  <c r="P1043" i="18"/>
  <c r="P755" i="18"/>
  <c r="Q1054" i="18"/>
  <c r="O128" i="18"/>
  <c r="P480" i="18"/>
  <c r="Q169" i="18"/>
  <c r="O288" i="18"/>
  <c r="Q289" i="18"/>
  <c r="P231" i="18"/>
  <c r="O351" i="18"/>
  <c r="O296" i="18"/>
  <c r="O167" i="18"/>
  <c r="O39" i="18"/>
  <c r="P135" i="18"/>
  <c r="P295" i="18"/>
  <c r="Q328" i="18"/>
  <c r="Q104" i="18"/>
  <c r="Q232" i="18"/>
  <c r="P351" i="18"/>
  <c r="P264" i="18"/>
  <c r="Q489" i="18"/>
  <c r="Q224" i="18"/>
  <c r="O136" i="18"/>
  <c r="O224" i="18"/>
  <c r="O287" i="18"/>
  <c r="O359" i="18"/>
  <c r="O223" i="18"/>
  <c r="P191" i="18"/>
  <c r="Q520" i="18"/>
  <c r="P32" i="18"/>
  <c r="Q168" i="18"/>
  <c r="P455" i="18"/>
  <c r="Q481" i="18"/>
  <c r="P448" i="18"/>
  <c r="O159" i="18"/>
  <c r="O383" i="18"/>
  <c r="P512" i="18"/>
  <c r="Q161" i="18"/>
  <c r="Q393" i="18"/>
  <c r="Q33" i="18"/>
  <c r="Q457" i="18"/>
  <c r="Q488" i="18"/>
  <c r="O127" i="18"/>
  <c r="O295" i="18"/>
  <c r="O103" i="18"/>
  <c r="O63" i="18"/>
  <c r="O448" i="18"/>
  <c r="O32" i="18"/>
  <c r="O191" i="18"/>
  <c r="P320" i="18"/>
  <c r="Q449" i="18"/>
  <c r="Q73" i="18"/>
  <c r="P383" i="18"/>
  <c r="O519" i="18"/>
  <c r="O95" i="18"/>
  <c r="O255" i="18"/>
  <c r="O512" i="18"/>
  <c r="P160" i="18"/>
  <c r="P103" i="18"/>
  <c r="Q137" i="18"/>
  <c r="P167" i="18"/>
  <c r="Q513" i="18"/>
  <c r="R17" i="16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Q361" i="18"/>
  <c r="P71" i="18"/>
  <c r="Q201" i="18"/>
  <c r="P384" i="18"/>
  <c r="P520" i="18"/>
  <c r="Q320" i="18"/>
  <c r="P199" i="18"/>
  <c r="Q424" i="18"/>
  <c r="P479" i="18"/>
  <c r="Q352" i="18"/>
  <c r="Q257" i="18"/>
  <c r="P40" i="18"/>
  <c r="P200" i="18"/>
  <c r="O64" i="18"/>
  <c r="P31" i="18"/>
  <c r="Q264" i="18"/>
  <c r="P232" i="18"/>
  <c r="O168" i="18"/>
  <c r="O392" i="18"/>
  <c r="O135" i="18"/>
  <c r="O424" i="18"/>
  <c r="O160" i="18"/>
  <c r="Q521" i="18"/>
  <c r="P352" i="18"/>
  <c r="Q480" i="18"/>
  <c r="Q425" i="18"/>
  <c r="Q385" i="18"/>
  <c r="O360" i="18"/>
  <c r="O384" i="18"/>
  <c r="O423" i="18"/>
  <c r="O456" i="18"/>
  <c r="Q288" i="18"/>
  <c r="P488" i="18"/>
  <c r="Q360" i="18"/>
  <c r="P296" i="18"/>
  <c r="P328" i="18"/>
  <c r="P224" i="18"/>
  <c r="P104" i="18"/>
  <c r="O391" i="18"/>
  <c r="P64" i="18"/>
  <c r="O479" i="18"/>
  <c r="Q456" i="18"/>
  <c r="P168" i="18"/>
  <c r="Q128" i="18"/>
  <c r="Q321" i="18"/>
  <c r="O71" i="18"/>
  <c r="O40" i="18"/>
  <c r="P456" i="18"/>
  <c r="O352" i="18"/>
  <c r="O231" i="18"/>
  <c r="O192" i="18"/>
  <c r="O416" i="18"/>
  <c r="O199" i="18"/>
  <c r="O104" i="18"/>
  <c r="O72" i="18"/>
  <c r="O263" i="18"/>
  <c r="Q417" i="18"/>
  <c r="P72" i="18"/>
  <c r="Q512" i="18"/>
  <c r="P255" i="18"/>
  <c r="P519" i="18"/>
  <c r="P287" i="18"/>
  <c r="P288" i="18"/>
  <c r="Q64" i="18"/>
  <c r="O31" i="18"/>
  <c r="O232" i="18"/>
  <c r="O256" i="18"/>
  <c r="Q193" i="18"/>
  <c r="O96" i="18"/>
  <c r="O264" i="18"/>
  <c r="O487" i="18"/>
  <c r="O327" i="18"/>
  <c r="O447" i="18"/>
  <c r="Q32" i="18"/>
  <c r="P96" i="18"/>
  <c r="Q129" i="18"/>
  <c r="Q448" i="18"/>
  <c r="P319" i="18"/>
  <c r="Q41" i="18"/>
  <c r="O511" i="18"/>
  <c r="O488" i="18"/>
  <c r="O319" i="18"/>
  <c r="O455" i="18"/>
  <c r="P359" i="18"/>
  <c r="Q97" i="18"/>
  <c r="P256" i="18"/>
  <c r="Q40" i="18"/>
  <c r="P263" i="18"/>
  <c r="P980" i="18"/>
  <c r="Q989" i="18"/>
  <c r="P723" i="18"/>
  <c r="P572" i="18"/>
  <c r="P956" i="18"/>
  <c r="P858" i="18"/>
  <c r="Q820" i="18"/>
  <c r="R275" i="18"/>
  <c r="S275" i="18" s="1"/>
  <c r="T275" i="18" s="1"/>
  <c r="R242" i="18"/>
  <c r="S242" i="18" s="1"/>
  <c r="U242" i="18" s="1"/>
  <c r="V242" i="18" s="1"/>
  <c r="R469" i="18"/>
  <c r="S469" i="18" s="1"/>
  <c r="U469" i="18" s="1"/>
  <c r="V469" i="18" s="1"/>
  <c r="R553" i="18"/>
  <c r="S553" i="18" s="1"/>
  <c r="T553" i="18" s="1"/>
  <c r="Q982" i="18"/>
  <c r="P659" i="18"/>
  <c r="P1013" i="18"/>
  <c r="P979" i="18"/>
  <c r="Q1045" i="18"/>
  <c r="O602" i="18"/>
  <c r="O764" i="18"/>
  <c r="O595" i="18"/>
  <c r="O947" i="18"/>
  <c r="O562" i="18"/>
  <c r="O859" i="18"/>
  <c r="P882" i="18"/>
  <c r="Q854" i="18"/>
  <c r="Q1053" i="18"/>
  <c r="P658" i="18"/>
  <c r="P596" i="18"/>
  <c r="Q606" i="18"/>
  <c r="Q924" i="18"/>
  <c r="R114" i="18"/>
  <c r="S114" i="18" s="1"/>
  <c r="U114" i="18" s="1"/>
  <c r="V114" i="18" s="1"/>
  <c r="R50" i="18"/>
  <c r="S50" i="18" s="1"/>
  <c r="T50" i="18" s="1"/>
  <c r="Q691" i="18"/>
  <c r="Q1014" i="18"/>
  <c r="Q758" i="18"/>
  <c r="P892" i="18"/>
  <c r="Q635" i="18"/>
  <c r="P924" i="18"/>
  <c r="O722" i="18"/>
  <c r="O948" i="18"/>
  <c r="O629" i="18"/>
  <c r="O699" i="18"/>
  <c r="P1021" i="18"/>
  <c r="P914" i="18"/>
  <c r="Q790" i="18"/>
  <c r="Q1011" i="18"/>
  <c r="Q670" i="18"/>
  <c r="P637" i="18"/>
  <c r="Q627" i="18"/>
  <c r="P1042" i="18"/>
  <c r="Q949" i="18"/>
  <c r="Q829" i="18"/>
  <c r="P850" i="18"/>
  <c r="Q668" i="18"/>
  <c r="P947" i="18"/>
  <c r="P981" i="18"/>
  <c r="P627" i="18"/>
  <c r="P797" i="18"/>
  <c r="P691" i="18"/>
  <c r="Q892" i="18"/>
  <c r="Q733" i="18"/>
  <c r="Q950" i="18"/>
  <c r="P604" i="18"/>
  <c r="P564" i="18"/>
  <c r="P1019" i="18"/>
  <c r="Q1044" i="18"/>
  <c r="P1052" i="18"/>
  <c r="Q956" i="18"/>
  <c r="Q598" i="18"/>
  <c r="P628" i="18"/>
  <c r="P732" i="18"/>
  <c r="P570" i="18"/>
  <c r="P699" i="18"/>
  <c r="R309" i="18"/>
  <c r="S309" i="18" s="1"/>
  <c r="U309" i="18" s="1"/>
  <c r="V309" i="18" s="1"/>
  <c r="Q947" i="18"/>
  <c r="Q798" i="18"/>
  <c r="P692" i="18"/>
  <c r="Q830" i="18"/>
  <c r="Q764" i="18"/>
  <c r="P626" i="18"/>
  <c r="Q923" i="18"/>
  <c r="P597" i="18"/>
  <c r="P594" i="18"/>
  <c r="Q702" i="18"/>
  <c r="P562" i="18"/>
  <c r="P955" i="18"/>
  <c r="Q763" i="18"/>
  <c r="Q862" i="18"/>
  <c r="Q853" i="18"/>
  <c r="P821" i="18"/>
  <c r="P668" i="18"/>
  <c r="P957" i="18"/>
  <c r="P1010" i="18"/>
  <c r="P859" i="18"/>
  <c r="Q597" i="18"/>
  <c r="Q981" i="18"/>
  <c r="Q724" i="18"/>
  <c r="P724" i="18"/>
  <c r="Q667" i="18"/>
  <c r="P730" i="18"/>
  <c r="Q916" i="18"/>
  <c r="P884" i="18"/>
  <c r="P763" i="18"/>
  <c r="P954" i="18"/>
  <c r="P786" i="18"/>
  <c r="Q1019" i="18"/>
  <c r="P754" i="18"/>
  <c r="P136" i="18"/>
  <c r="P192" i="18"/>
  <c r="P511" i="18"/>
  <c r="O797" i="18"/>
  <c r="Q859" i="18"/>
  <c r="P949" i="18"/>
  <c r="P733" i="18"/>
  <c r="Q893" i="18"/>
  <c r="Q884" i="18"/>
  <c r="Q958" i="18"/>
  <c r="P853" i="18"/>
  <c r="Q765" i="18"/>
  <c r="P1012" i="18"/>
  <c r="P923" i="18"/>
  <c r="P883" i="18"/>
  <c r="P916" i="18"/>
  <c r="Q731" i="18"/>
  <c r="P795" i="18"/>
  <c r="P565" i="18"/>
  <c r="P820" i="18"/>
  <c r="P986" i="18"/>
  <c r="P1053" i="18"/>
  <c r="Q669" i="18"/>
  <c r="P669" i="18"/>
  <c r="P731" i="18"/>
  <c r="Q692" i="18"/>
  <c r="Q564" i="18"/>
  <c r="Q732" i="18"/>
  <c r="Q392" i="18"/>
  <c r="Q571" i="18"/>
  <c r="Q918" i="18"/>
  <c r="Q574" i="18"/>
  <c r="P636" i="18"/>
  <c r="Q629" i="18"/>
  <c r="Q827" i="18"/>
  <c r="P700" i="18"/>
  <c r="Q628" i="18"/>
  <c r="Q821" i="18"/>
  <c r="Q883" i="18"/>
  <c r="P1050" i="18"/>
  <c r="R499" i="18"/>
  <c r="S499" i="18" s="1"/>
  <c r="U499" i="18" s="1"/>
  <c r="V499" i="18" s="1"/>
  <c r="P571" i="18"/>
  <c r="Q925" i="18"/>
  <c r="P828" i="18"/>
  <c r="P563" i="18"/>
  <c r="P756" i="18"/>
  <c r="P796" i="18"/>
  <c r="Q596" i="18"/>
  <c r="P787" i="18"/>
  <c r="Q693" i="18"/>
  <c r="Q700" i="18"/>
  <c r="P1045" i="18"/>
  <c r="P765" i="18"/>
  <c r="P666" i="18"/>
  <c r="P1044" i="18"/>
  <c r="Q957" i="18"/>
  <c r="P829" i="18"/>
  <c r="P602" i="18"/>
  <c r="Q926" i="18"/>
  <c r="P860" i="18"/>
  <c r="Q795" i="18"/>
  <c r="P789" i="18"/>
  <c r="P605" i="18"/>
  <c r="Q605" i="18"/>
  <c r="U17" i="16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P930" i="18" s="1"/>
  <c r="P953" i="18"/>
  <c r="Q570" i="18"/>
  <c r="Q658" i="18"/>
  <c r="Q730" i="18"/>
  <c r="P569" i="18"/>
  <c r="Q818" i="18"/>
  <c r="Q722" i="18"/>
  <c r="P985" i="18"/>
  <c r="Q978" i="18"/>
  <c r="O945" i="18"/>
  <c r="O633" i="18"/>
  <c r="Q986" i="18"/>
  <c r="P697" i="18"/>
  <c r="P889" i="18"/>
  <c r="Q562" i="18"/>
  <c r="O689" i="18"/>
  <c r="O721" i="18"/>
  <c r="P1049" i="18"/>
  <c r="Q1050" i="18"/>
  <c r="P721" i="18"/>
  <c r="Q698" i="18"/>
  <c r="P977" i="18"/>
  <c r="Q794" i="18"/>
  <c r="O889" i="18"/>
  <c r="O697" i="18"/>
  <c r="Q1018" i="18"/>
  <c r="Q858" i="18"/>
  <c r="P761" i="18"/>
  <c r="Q890" i="18"/>
  <c r="P913" i="18"/>
  <c r="Q666" i="18"/>
  <c r="Q850" i="18"/>
  <c r="P601" i="18"/>
  <c r="O1009" i="18"/>
  <c r="O817" i="18"/>
  <c r="Q954" i="18"/>
  <c r="P825" i="18"/>
  <c r="P1009" i="18"/>
  <c r="P857" i="18"/>
  <c r="P689" i="18"/>
  <c r="Q594" i="18"/>
  <c r="O1041" i="18"/>
  <c r="O857" i="18"/>
  <c r="O881" i="18"/>
  <c r="Q1042" i="18"/>
  <c r="Q826" i="18"/>
  <c r="P945" i="18"/>
  <c r="O761" i="18"/>
  <c r="O825" i="18"/>
  <c r="O729" i="18"/>
  <c r="O753" i="18"/>
  <c r="O1049" i="18"/>
  <c r="O593" i="18"/>
  <c r="Q786" i="18"/>
  <c r="P793" i="18"/>
  <c r="P625" i="18"/>
  <c r="Q1010" i="18"/>
  <c r="O785" i="18"/>
  <c r="O569" i="18"/>
  <c r="P633" i="18"/>
  <c r="Q626" i="18"/>
  <c r="P753" i="18"/>
  <c r="Q602" i="18"/>
  <c r="Q922" i="18"/>
  <c r="Q914" i="18"/>
  <c r="O921" i="18"/>
  <c r="O913" i="18"/>
  <c r="Q946" i="18"/>
  <c r="O953" i="18"/>
  <c r="O657" i="18"/>
  <c r="Q634" i="18"/>
  <c r="Q762" i="18"/>
  <c r="P665" i="18"/>
  <c r="P657" i="18"/>
  <c r="P593" i="18"/>
  <c r="P921" i="18"/>
  <c r="O665" i="18"/>
  <c r="Q754" i="18"/>
  <c r="P785" i="18"/>
  <c r="P817" i="18"/>
  <c r="P1041" i="18"/>
  <c r="P561" i="18"/>
  <c r="O561" i="18"/>
  <c r="O1017" i="18"/>
  <c r="O985" i="18"/>
  <c r="Q882" i="18"/>
  <c r="O977" i="18"/>
  <c r="Q690" i="18"/>
  <c r="P729" i="18"/>
  <c r="P1017" i="18"/>
  <c r="O601" i="18"/>
  <c r="O793" i="18"/>
  <c r="P881" i="18"/>
  <c r="O849" i="18"/>
  <c r="O625" i="18"/>
  <c r="P849" i="18"/>
  <c r="R402" i="18"/>
  <c r="S402" i="18" s="1"/>
  <c r="T402" i="18" s="1"/>
  <c r="R180" i="18"/>
  <c r="S180" i="18" s="1"/>
  <c r="U180" i="18" s="1"/>
  <c r="V180" i="18" s="1"/>
  <c r="P701" i="18"/>
  <c r="Q604" i="18"/>
  <c r="Q757" i="18"/>
  <c r="P826" i="18"/>
  <c r="O480" i="18"/>
  <c r="O520" i="18"/>
  <c r="O200" i="18"/>
  <c r="O320" i="18"/>
  <c r="Q160" i="18"/>
  <c r="P39" i="18"/>
  <c r="Q105" i="18"/>
  <c r="P415" i="18"/>
  <c r="Q329" i="18"/>
  <c r="Q256" i="18"/>
  <c r="Q200" i="18"/>
  <c r="P487" i="18"/>
  <c r="Q416" i="18"/>
  <c r="Q573" i="18"/>
  <c r="Q789" i="18"/>
  <c r="Q694" i="18"/>
  <c r="Q725" i="18"/>
  <c r="P360" i="18"/>
  <c r="Q296" i="18"/>
  <c r="Q96" i="18"/>
  <c r="P391" i="18"/>
  <c r="P128" i="18"/>
  <c r="P634" i="18"/>
  <c r="P698" i="18"/>
  <c r="Q563" i="18"/>
  <c r="P764" i="18"/>
  <c r="P948" i="18"/>
  <c r="P416" i="18"/>
  <c r="Q353" i="18"/>
  <c r="P327" i="18"/>
  <c r="Q136" i="18"/>
  <c r="P159" i="18"/>
  <c r="Q297" i="18"/>
  <c r="Q192" i="18"/>
  <c r="P423" i="18"/>
  <c r="P223" i="18"/>
  <c r="Q233" i="18"/>
  <c r="H171" i="5"/>
  <c r="D194" i="5" s="1"/>
  <c r="B47" i="3"/>
  <c r="B49" i="1"/>
  <c r="B41" i="1"/>
  <c r="B171" i="5"/>
  <c r="B42" i="1" s="1"/>
  <c r="W47" i="3"/>
  <c r="I171" i="5"/>
  <c r="C49" i="1"/>
  <c r="G171" i="5"/>
  <c r="W23" i="3"/>
  <c r="R552" i="18" l="1"/>
  <c r="R1032" i="18"/>
  <c r="S1032" i="18" s="1"/>
  <c r="R647" i="18"/>
  <c r="R1033" i="18"/>
  <c r="S1033" i="18" s="1"/>
  <c r="U1033" i="18" s="1"/>
  <c r="V1033" i="18" s="1"/>
  <c r="R711" i="18"/>
  <c r="R967" i="18"/>
  <c r="S615" i="18"/>
  <c r="U615" i="18" s="1"/>
  <c r="V615" i="18" s="1"/>
  <c r="R1034" i="18"/>
  <c r="R936" i="18"/>
  <c r="R1000" i="18"/>
  <c r="S1000" i="18" s="1"/>
  <c r="U1000" i="18" s="1"/>
  <c r="V1000" i="18" s="1"/>
  <c r="R778" i="18"/>
  <c r="R347" i="18"/>
  <c r="R839" i="18"/>
  <c r="S839" i="18" s="1"/>
  <c r="T839" i="18" s="1"/>
  <c r="R776" i="18"/>
  <c r="S776" i="18" s="1"/>
  <c r="R713" i="18"/>
  <c r="S713" i="18" s="1"/>
  <c r="T713" i="18" s="1"/>
  <c r="R680" i="18"/>
  <c r="S680" i="18" s="1"/>
  <c r="U680" i="18" s="1"/>
  <c r="V680" i="18" s="1"/>
  <c r="R650" i="18"/>
  <c r="S650" i="18" s="1"/>
  <c r="R584" i="18"/>
  <c r="S584" i="18" s="1"/>
  <c r="T584" i="18" s="1"/>
  <c r="R712" i="18"/>
  <c r="S712" i="18" s="1"/>
  <c r="U712" i="18" s="1"/>
  <c r="V712" i="18" s="1"/>
  <c r="S903" i="18"/>
  <c r="U903" i="18" s="1"/>
  <c r="V903" i="18" s="1"/>
  <c r="R807" i="18"/>
  <c r="S807" i="18" s="1"/>
  <c r="T807" i="18" s="1"/>
  <c r="R873" i="18"/>
  <c r="S873" i="18" s="1"/>
  <c r="U873" i="18" s="1"/>
  <c r="V873" i="18" s="1"/>
  <c r="R906" i="18"/>
  <c r="S906" i="18" s="1"/>
  <c r="R648" i="18"/>
  <c r="R809" i="18"/>
  <c r="S809" i="18" s="1"/>
  <c r="U809" i="18" s="1"/>
  <c r="V809" i="18" s="1"/>
  <c r="R840" i="18"/>
  <c r="S617" i="18"/>
  <c r="U617" i="18" s="1"/>
  <c r="V617" i="18" s="1"/>
  <c r="S778" i="18"/>
  <c r="U778" i="18" s="1"/>
  <c r="V778" i="18" s="1"/>
  <c r="R618" i="18"/>
  <c r="S618" i="18" s="1"/>
  <c r="S1034" i="18"/>
  <c r="T1034" i="18" s="1"/>
  <c r="R616" i="18"/>
  <c r="S616" i="18" s="1"/>
  <c r="T616" i="18" s="1"/>
  <c r="R970" i="18"/>
  <c r="S970" i="18" s="1"/>
  <c r="U970" i="18" s="1"/>
  <c r="V970" i="18" s="1"/>
  <c r="R935" i="18"/>
  <c r="S935" i="18" s="1"/>
  <c r="U935" i="18" s="1"/>
  <c r="V935" i="18" s="1"/>
  <c r="R1001" i="18"/>
  <c r="S1001" i="18" s="1"/>
  <c r="T1001" i="18" s="1"/>
  <c r="S936" i="18"/>
  <c r="U936" i="18" s="1"/>
  <c r="V936" i="18" s="1"/>
  <c r="R679" i="18"/>
  <c r="S679" i="18" s="1"/>
  <c r="U679" i="18" s="1"/>
  <c r="V679" i="18" s="1"/>
  <c r="R777" i="18"/>
  <c r="S777" i="18" s="1"/>
  <c r="U777" i="18" s="1"/>
  <c r="V777" i="18" s="1"/>
  <c r="R775" i="18"/>
  <c r="S775" i="18" s="1"/>
  <c r="U775" i="18" s="1"/>
  <c r="V775" i="18" s="1"/>
  <c r="R937" i="18"/>
  <c r="S937" i="18" s="1"/>
  <c r="S744" i="18"/>
  <c r="U744" i="18" s="1"/>
  <c r="V744" i="18" s="1"/>
  <c r="R745" i="18"/>
  <c r="S745" i="18" s="1"/>
  <c r="U745" i="18" s="1"/>
  <c r="V745" i="18" s="1"/>
  <c r="S905" i="18"/>
  <c r="T905" i="18" s="1"/>
  <c r="R551" i="18"/>
  <c r="S551" i="18" s="1"/>
  <c r="T551" i="18" s="1"/>
  <c r="S681" i="18"/>
  <c r="T681" i="18" s="1"/>
  <c r="R968" i="18"/>
  <c r="S968" i="18" s="1"/>
  <c r="U968" i="18" s="1"/>
  <c r="V968" i="18" s="1"/>
  <c r="R682" i="18"/>
  <c r="S682" i="18" s="1"/>
  <c r="U682" i="18" s="1"/>
  <c r="V682" i="18" s="1"/>
  <c r="R810" i="18"/>
  <c r="S810" i="18" s="1"/>
  <c r="U810" i="18" s="1"/>
  <c r="V810" i="18" s="1"/>
  <c r="S872" i="18"/>
  <c r="U872" i="18" s="1"/>
  <c r="V872" i="18" s="1"/>
  <c r="S841" i="18"/>
  <c r="U841" i="18" s="1"/>
  <c r="V841" i="18" s="1"/>
  <c r="S842" i="18"/>
  <c r="U842" i="18" s="1"/>
  <c r="V842" i="18" s="1"/>
  <c r="S840" i="18"/>
  <c r="U840" i="18" s="1"/>
  <c r="V840" i="18" s="1"/>
  <c r="R779" i="18"/>
  <c r="S779" i="18" s="1"/>
  <c r="T779" i="18" s="1"/>
  <c r="R1031" i="18"/>
  <c r="S1031" i="18" s="1"/>
  <c r="U1031" i="18" s="1"/>
  <c r="V1031" i="18" s="1"/>
  <c r="S967" i="18"/>
  <c r="U967" i="18" s="1"/>
  <c r="V967" i="18" s="1"/>
  <c r="R938" i="18"/>
  <c r="S938" i="18" s="1"/>
  <c r="U938" i="18" s="1"/>
  <c r="V938" i="18" s="1"/>
  <c r="R743" i="18"/>
  <c r="S743" i="18" s="1"/>
  <c r="T743" i="18" s="1"/>
  <c r="S552" i="18"/>
  <c r="U552" i="18" s="1"/>
  <c r="V552" i="18" s="1"/>
  <c r="R391" i="18"/>
  <c r="S391" i="18" s="1"/>
  <c r="T391" i="18" s="1"/>
  <c r="R39" i="18"/>
  <c r="S39" i="18" s="1"/>
  <c r="U39" i="18" s="1"/>
  <c r="V39" i="18" s="1"/>
  <c r="R714" i="18"/>
  <c r="S714" i="18" s="1"/>
  <c r="U714" i="18" s="1"/>
  <c r="V714" i="18" s="1"/>
  <c r="R874" i="18"/>
  <c r="S874" i="18" s="1"/>
  <c r="U874" i="18" s="1"/>
  <c r="V874" i="18" s="1"/>
  <c r="S647" i="18"/>
  <c r="T647" i="18" s="1"/>
  <c r="S648" i="18"/>
  <c r="T648" i="18" s="1"/>
  <c r="R969" i="18"/>
  <c r="S969" i="18" s="1"/>
  <c r="T969" i="18" s="1"/>
  <c r="R1003" i="18"/>
  <c r="S1003" i="18" s="1"/>
  <c r="T1003" i="18" s="1"/>
  <c r="R586" i="18"/>
  <c r="S586" i="18" s="1"/>
  <c r="U586" i="18" s="1"/>
  <c r="V586" i="18" s="1"/>
  <c r="R749" i="18"/>
  <c r="S749" i="18" s="1"/>
  <c r="T749" i="18" s="1"/>
  <c r="S711" i="18"/>
  <c r="T711" i="18" s="1"/>
  <c r="R808" i="18"/>
  <c r="S808" i="18" s="1"/>
  <c r="U808" i="18" s="1"/>
  <c r="V808" i="18" s="1"/>
  <c r="R999" i="18"/>
  <c r="S999" i="18" s="1"/>
  <c r="U999" i="18" s="1"/>
  <c r="V999" i="18" s="1"/>
  <c r="C171" i="5"/>
  <c r="C42" i="1" s="1"/>
  <c r="C41" i="1"/>
  <c r="R557" i="18"/>
  <c r="S557" i="18" s="1"/>
  <c r="U557" i="18" s="1"/>
  <c r="V557" i="18" s="1"/>
  <c r="R686" i="18"/>
  <c r="S686" i="18" s="1"/>
  <c r="R684" i="18"/>
  <c r="S684" i="18" s="1"/>
  <c r="U684" i="18" s="1"/>
  <c r="V684" i="18" s="1"/>
  <c r="R25" i="18"/>
  <c r="S25" i="18" s="1"/>
  <c r="U25" i="18" s="1"/>
  <c r="V25" i="18" s="1"/>
  <c r="R690" i="18"/>
  <c r="S690" i="18" s="1"/>
  <c r="U690" i="18" s="1"/>
  <c r="V690" i="18" s="1"/>
  <c r="T306" i="18"/>
  <c r="S470" i="18"/>
  <c r="T470" i="18" s="1"/>
  <c r="R750" i="18"/>
  <c r="S750" i="18" s="1"/>
  <c r="U750" i="18" s="1"/>
  <c r="V750" i="18" s="1"/>
  <c r="R1005" i="18"/>
  <c r="S1005" i="18" s="1"/>
  <c r="U1005" i="18" s="1"/>
  <c r="V1005" i="18" s="1"/>
  <c r="R878" i="18"/>
  <c r="S878" i="18" s="1"/>
  <c r="U878" i="18" s="1"/>
  <c r="V878" i="18" s="1"/>
  <c r="R1035" i="18"/>
  <c r="S1035" i="18" s="1"/>
  <c r="T373" i="18"/>
  <c r="R247" i="18"/>
  <c r="S247" i="18" s="1"/>
  <c r="U247" i="18" s="1"/>
  <c r="V247" i="18" s="1"/>
  <c r="R23" i="18"/>
  <c r="S23" i="18" s="1"/>
  <c r="U23" i="18" s="1"/>
  <c r="V23" i="18" s="1"/>
  <c r="U649" i="18"/>
  <c r="V649" i="18" s="1"/>
  <c r="R845" i="18"/>
  <c r="S845" i="18" s="1"/>
  <c r="U845" i="18" s="1"/>
  <c r="V845" i="18" s="1"/>
  <c r="R876" i="18"/>
  <c r="S876" i="18" s="1"/>
  <c r="U876" i="18" s="1"/>
  <c r="V876" i="18" s="1"/>
  <c r="R1036" i="18"/>
  <c r="S1036" i="18" s="1"/>
  <c r="U1036" i="18" s="1"/>
  <c r="V1036" i="18" s="1"/>
  <c r="R972" i="18"/>
  <c r="S972" i="18" s="1"/>
  <c r="U972" i="18" s="1"/>
  <c r="V972" i="18" s="1"/>
  <c r="R973" i="18"/>
  <c r="S973" i="18" s="1"/>
  <c r="T973" i="18" s="1"/>
  <c r="R587" i="18"/>
  <c r="S587" i="18" s="1"/>
  <c r="U587" i="18" s="1"/>
  <c r="V587" i="18" s="1"/>
  <c r="U274" i="18"/>
  <c r="V274" i="18" s="1"/>
  <c r="U500" i="18"/>
  <c r="V500" i="18" s="1"/>
  <c r="R939" i="18"/>
  <c r="S939" i="18" s="1"/>
  <c r="U939" i="18" s="1"/>
  <c r="V939" i="18" s="1"/>
  <c r="R588" i="18"/>
  <c r="S588" i="18" s="1"/>
  <c r="U588" i="18" s="1"/>
  <c r="V588" i="18" s="1"/>
  <c r="R907" i="18"/>
  <c r="S907" i="18" s="1"/>
  <c r="U907" i="18" s="1"/>
  <c r="V907" i="18" s="1"/>
  <c r="T114" i="18"/>
  <c r="R652" i="18"/>
  <c r="S652" i="18" s="1"/>
  <c r="U652" i="18" s="1"/>
  <c r="V652" i="18" s="1"/>
  <c r="O300" i="18"/>
  <c r="T339" i="18"/>
  <c r="R780" i="18"/>
  <c r="S780" i="18" s="1"/>
  <c r="P333" i="18"/>
  <c r="O105" i="18"/>
  <c r="R1006" i="18"/>
  <c r="S1006" i="18" s="1"/>
  <c r="T1006" i="18" s="1"/>
  <c r="P48" i="18"/>
  <c r="Q140" i="18"/>
  <c r="R318" i="18"/>
  <c r="S318" i="18" s="1"/>
  <c r="U318" i="18" s="1"/>
  <c r="V318" i="18" s="1"/>
  <c r="R589" i="18"/>
  <c r="S589" i="18" s="1"/>
  <c r="U589" i="18" s="1"/>
  <c r="V589" i="18" s="1"/>
  <c r="R877" i="18"/>
  <c r="S877" i="18" s="1"/>
  <c r="R971" i="18"/>
  <c r="S971" i="18" s="1"/>
  <c r="U971" i="18" s="1"/>
  <c r="V971" i="18" s="1"/>
  <c r="Q302" i="18"/>
  <c r="P44" i="18"/>
  <c r="P171" i="18"/>
  <c r="P494" i="18"/>
  <c r="R440" i="18"/>
  <c r="S440" i="18" s="1"/>
  <c r="T440" i="18" s="1"/>
  <c r="R63" i="18"/>
  <c r="S63" i="18" s="1"/>
  <c r="U63" i="18" s="1"/>
  <c r="V63" i="18" s="1"/>
  <c r="R818" i="18"/>
  <c r="S818" i="18" s="1"/>
  <c r="U818" i="18" s="1"/>
  <c r="V818" i="18" s="1"/>
  <c r="R356" i="18"/>
  <c r="S356" i="18" s="1"/>
  <c r="U356" i="18" s="1"/>
  <c r="V356" i="18" s="1"/>
  <c r="R482" i="18"/>
  <c r="S482" i="18" s="1"/>
  <c r="U482" i="18" s="1"/>
  <c r="V482" i="18" s="1"/>
  <c r="R343" i="18"/>
  <c r="S343" i="18" s="1"/>
  <c r="U343" i="18" s="1"/>
  <c r="V343" i="18" s="1"/>
  <c r="Q240" i="18"/>
  <c r="Q241" i="18"/>
  <c r="P425" i="18"/>
  <c r="R425" i="18" s="1"/>
  <c r="Q336" i="18"/>
  <c r="P265" i="18"/>
  <c r="R265" i="18" s="1"/>
  <c r="Q145" i="18"/>
  <c r="P49" i="18"/>
  <c r="Q496" i="18"/>
  <c r="P529" i="18"/>
  <c r="Q303" i="18"/>
  <c r="P528" i="18"/>
  <c r="P208" i="18"/>
  <c r="P236" i="18"/>
  <c r="P110" i="18"/>
  <c r="P233" i="18"/>
  <c r="R233" i="18" s="1"/>
  <c r="Q113" i="18"/>
  <c r="Q529" i="18"/>
  <c r="Q110" i="18"/>
  <c r="P399" i="18"/>
  <c r="O46" i="18"/>
  <c r="P140" i="18"/>
  <c r="Q301" i="18"/>
  <c r="Q433" i="18"/>
  <c r="Q270" i="18"/>
  <c r="P524" i="18"/>
  <c r="Q112" i="18"/>
  <c r="Q332" i="18"/>
  <c r="P46" i="18"/>
  <c r="O239" i="18"/>
  <c r="P353" i="18"/>
  <c r="R353" i="18" s="1"/>
  <c r="Q399" i="18"/>
  <c r="Q269" i="18"/>
  <c r="O266" i="18"/>
  <c r="P73" i="18"/>
  <c r="R73" i="18" s="1"/>
  <c r="Q397" i="18"/>
  <c r="P207" i="18"/>
  <c r="P337" i="18"/>
  <c r="O461" i="18"/>
  <c r="Q335" i="18"/>
  <c r="Q527" i="18"/>
  <c r="Q272" i="18"/>
  <c r="Q525" i="18"/>
  <c r="Q49" i="18"/>
  <c r="P335" i="18"/>
  <c r="Q523" i="18"/>
  <c r="Q395" i="18"/>
  <c r="O513" i="18"/>
  <c r="R844" i="18"/>
  <c r="S844" i="18" s="1"/>
  <c r="U844" i="18" s="1"/>
  <c r="V844" i="18" s="1"/>
  <c r="R717" i="18"/>
  <c r="S717" i="18" s="1"/>
  <c r="U717" i="18" s="1"/>
  <c r="V717" i="18" s="1"/>
  <c r="S54" i="18"/>
  <c r="U54" i="18" s="1"/>
  <c r="V54" i="18" s="1"/>
  <c r="R715" i="18"/>
  <c r="S715" i="18" s="1"/>
  <c r="T466" i="18"/>
  <c r="R1037" i="18"/>
  <c r="S1037" i="18" s="1"/>
  <c r="R748" i="18"/>
  <c r="S748" i="18" s="1"/>
  <c r="U748" i="18" s="1"/>
  <c r="V748" i="18" s="1"/>
  <c r="R621" i="18"/>
  <c r="S621" i="18" s="1"/>
  <c r="U621" i="18" s="1"/>
  <c r="V621" i="18" s="1"/>
  <c r="R619" i="18"/>
  <c r="S619" i="18" s="1"/>
  <c r="T619" i="18" s="1"/>
  <c r="R812" i="18"/>
  <c r="S812" i="18" s="1"/>
  <c r="T812" i="18" s="1"/>
  <c r="R843" i="18"/>
  <c r="S843" i="18" s="1"/>
  <c r="R747" i="18"/>
  <c r="S747" i="18" s="1"/>
  <c r="R685" i="18"/>
  <c r="S685" i="18" s="1"/>
  <c r="R875" i="18"/>
  <c r="S875" i="18" s="1"/>
  <c r="T875" i="18" s="1"/>
  <c r="S811" i="18"/>
  <c r="U811" i="18" s="1"/>
  <c r="V811" i="18" s="1"/>
  <c r="R375" i="18"/>
  <c r="S375" i="18" s="1"/>
  <c r="T375" i="18" s="1"/>
  <c r="R556" i="18"/>
  <c r="S556" i="18" s="1"/>
  <c r="T556" i="18" s="1"/>
  <c r="R183" i="18"/>
  <c r="S183" i="18" s="1"/>
  <c r="T183" i="18" s="1"/>
  <c r="R601" i="18"/>
  <c r="S601" i="18" s="1"/>
  <c r="P1046" i="18"/>
  <c r="R1046" i="18" s="1"/>
  <c r="R716" i="18"/>
  <c r="S716" i="18" s="1"/>
  <c r="U716" i="18" s="1"/>
  <c r="V716" i="18" s="1"/>
  <c r="R1004" i="18"/>
  <c r="S1004" i="18" s="1"/>
  <c r="U1004" i="18" s="1"/>
  <c r="V1004" i="18" s="1"/>
  <c r="R620" i="18"/>
  <c r="S620" i="18" s="1"/>
  <c r="U620" i="18" s="1"/>
  <c r="V620" i="18" s="1"/>
  <c r="R683" i="18"/>
  <c r="S683" i="18" s="1"/>
  <c r="T683" i="18" s="1"/>
  <c r="R327" i="18"/>
  <c r="S327" i="18" s="1"/>
  <c r="U327" i="18" s="1"/>
  <c r="V327" i="18" s="1"/>
  <c r="R162" i="18"/>
  <c r="S162" i="18" s="1"/>
  <c r="R120" i="18"/>
  <c r="S120" i="18" s="1"/>
  <c r="R555" i="18"/>
  <c r="S555" i="18" s="1"/>
  <c r="U555" i="18" s="1"/>
  <c r="V555" i="18" s="1"/>
  <c r="R472" i="18"/>
  <c r="S472" i="18" s="1"/>
  <c r="R813" i="18"/>
  <c r="S813" i="18" s="1"/>
  <c r="R1038" i="18"/>
  <c r="S1038" i="18" s="1"/>
  <c r="U1038" i="18" s="1"/>
  <c r="V1038" i="18" s="1"/>
  <c r="R653" i="18"/>
  <c r="S653" i="18" s="1"/>
  <c r="U653" i="18" s="1"/>
  <c r="V653" i="18" s="1"/>
  <c r="R651" i="18"/>
  <c r="S651" i="18" s="1"/>
  <c r="U651" i="18" s="1"/>
  <c r="V651" i="18" s="1"/>
  <c r="R390" i="18"/>
  <c r="S390" i="18" s="1"/>
  <c r="U390" i="18" s="1"/>
  <c r="V390" i="18" s="1"/>
  <c r="R311" i="18"/>
  <c r="S311" i="18" s="1"/>
  <c r="U51" i="18"/>
  <c r="V51" i="18" s="1"/>
  <c r="P830" i="18"/>
  <c r="R830" i="18" s="1"/>
  <c r="P1022" i="18"/>
  <c r="R1022" i="18" s="1"/>
  <c r="P694" i="18"/>
  <c r="R694" i="18" s="1"/>
  <c r="R255" i="18"/>
  <c r="S255" i="18" s="1"/>
  <c r="U255" i="18" s="1"/>
  <c r="V255" i="18" s="1"/>
  <c r="R91" i="18"/>
  <c r="S91" i="18" s="1"/>
  <c r="T91" i="18" s="1"/>
  <c r="R55" i="18"/>
  <c r="S55" i="18" s="1"/>
  <c r="T55" i="18" s="1"/>
  <c r="R1021" i="18"/>
  <c r="S1021" i="18" s="1"/>
  <c r="T1021" i="18" s="1"/>
  <c r="P662" i="18"/>
  <c r="R662" i="18" s="1"/>
  <c r="R558" i="18"/>
  <c r="S558" i="18" s="1"/>
  <c r="T558" i="18" s="1"/>
  <c r="R940" i="18"/>
  <c r="S940" i="18" s="1"/>
  <c r="U940" i="18" s="1"/>
  <c r="V940" i="18" s="1"/>
  <c r="O758" i="18"/>
  <c r="R909" i="18"/>
  <c r="S909" i="18" s="1"/>
  <c r="P990" i="18"/>
  <c r="R990" i="18" s="1"/>
  <c r="P950" i="18"/>
  <c r="R950" i="18" s="1"/>
  <c r="P798" i="18"/>
  <c r="R798" i="18" s="1"/>
  <c r="P1054" i="18"/>
  <c r="R1054" i="18" s="1"/>
  <c r="P926" i="18"/>
  <c r="R926" i="18" s="1"/>
  <c r="S406" i="18"/>
  <c r="U406" i="18" s="1"/>
  <c r="V406" i="18" s="1"/>
  <c r="O790" i="18"/>
  <c r="R908" i="18"/>
  <c r="S908" i="18" s="1"/>
  <c r="T908" i="18" s="1"/>
  <c r="P606" i="18"/>
  <c r="R606" i="18" s="1"/>
  <c r="P790" i="18"/>
  <c r="R790" i="18" s="1"/>
  <c r="O1046" i="18"/>
  <c r="O982" i="18"/>
  <c r="R87" i="18"/>
  <c r="S87" i="18" s="1"/>
  <c r="T87" i="18" s="1"/>
  <c r="P886" i="18"/>
  <c r="R886" i="18" s="1"/>
  <c r="P1014" i="18"/>
  <c r="R1014" i="18" s="1"/>
  <c r="P670" i="18"/>
  <c r="R670" i="18" s="1"/>
  <c r="P758" i="18"/>
  <c r="R758" i="18" s="1"/>
  <c r="P958" i="18"/>
  <c r="R958" i="18" s="1"/>
  <c r="P854" i="18"/>
  <c r="R854" i="18" s="1"/>
  <c r="P598" i="18"/>
  <c r="R598" i="18" s="1"/>
  <c r="O598" i="18"/>
  <c r="R446" i="18"/>
  <c r="S446" i="18" s="1"/>
  <c r="U446" i="18" s="1"/>
  <c r="V446" i="18" s="1"/>
  <c r="O638" i="18"/>
  <c r="O694" i="18"/>
  <c r="O830" i="18"/>
  <c r="O886" i="18"/>
  <c r="O854" i="18"/>
  <c r="O766" i="18"/>
  <c r="P574" i="18"/>
  <c r="R574" i="18" s="1"/>
  <c r="O894" i="18"/>
  <c r="P726" i="18"/>
  <c r="R726" i="18" s="1"/>
  <c r="O726" i="18"/>
  <c r="P734" i="18"/>
  <c r="R734" i="18" s="1"/>
  <c r="P862" i="18"/>
  <c r="R862" i="18" s="1"/>
  <c r="O918" i="18"/>
  <c r="P630" i="18"/>
  <c r="R630" i="18" s="1"/>
  <c r="O566" i="18"/>
  <c r="O574" i="18"/>
  <c r="O1022" i="18"/>
  <c r="O630" i="18"/>
  <c r="O1014" i="18"/>
  <c r="O798" i="18"/>
  <c r="P638" i="18"/>
  <c r="R638" i="18" s="1"/>
  <c r="P566" i="18"/>
  <c r="R566" i="18" s="1"/>
  <c r="O734" i="18"/>
  <c r="P822" i="18"/>
  <c r="R822" i="18" s="1"/>
  <c r="O662" i="18"/>
  <c r="O958" i="18"/>
  <c r="P894" i="18"/>
  <c r="R894" i="18" s="1"/>
  <c r="O1054" i="18"/>
  <c r="P702" i="18"/>
  <c r="R702" i="18" s="1"/>
  <c r="O822" i="18"/>
  <c r="O926" i="18"/>
  <c r="P918" i="18"/>
  <c r="R918" i="18" s="1"/>
  <c r="R504" i="18"/>
  <c r="S504" i="18" s="1"/>
  <c r="U504" i="18" s="1"/>
  <c r="V504" i="18" s="1"/>
  <c r="O606" i="18"/>
  <c r="P982" i="18"/>
  <c r="R982" i="18" s="1"/>
  <c r="O670" i="18"/>
  <c r="P766" i="18"/>
  <c r="R766" i="18" s="1"/>
  <c r="O950" i="18"/>
  <c r="O702" i="18"/>
  <c r="O990" i="18"/>
  <c r="R941" i="18"/>
  <c r="S941" i="18" s="1"/>
  <c r="O862" i="18"/>
  <c r="R324" i="18"/>
  <c r="S324" i="18" s="1"/>
  <c r="T324" i="18" s="1"/>
  <c r="R654" i="18"/>
  <c r="S654" i="18" s="1"/>
  <c r="U654" i="18" s="1"/>
  <c r="V654" i="18" s="1"/>
  <c r="Q109" i="18"/>
  <c r="S278" i="18"/>
  <c r="U278" i="18" s="1"/>
  <c r="V278" i="18" s="1"/>
  <c r="R1018" i="18"/>
  <c r="S1018" i="18" s="1"/>
  <c r="U1018" i="18" s="1"/>
  <c r="V1018" i="18" s="1"/>
  <c r="R153" i="18"/>
  <c r="S153" i="18" s="1"/>
  <c r="U153" i="18" s="1"/>
  <c r="V153" i="18" s="1"/>
  <c r="T1000" i="18"/>
  <c r="R782" i="18"/>
  <c r="S782" i="18" s="1"/>
  <c r="P334" i="18"/>
  <c r="R286" i="18"/>
  <c r="S286" i="18" s="1"/>
  <c r="S781" i="18"/>
  <c r="U781" i="18" s="1"/>
  <c r="V781" i="18" s="1"/>
  <c r="T53" i="18"/>
  <c r="R783" i="18"/>
  <c r="S783" i="18" s="1"/>
  <c r="U783" i="18" s="1"/>
  <c r="V783" i="18" s="1"/>
  <c r="R718" i="18"/>
  <c r="S718" i="18" s="1"/>
  <c r="R622" i="18"/>
  <c r="S622" i="18" s="1"/>
  <c r="P523" i="18"/>
  <c r="Q271" i="18"/>
  <c r="R215" i="18"/>
  <c r="S215" i="18" s="1"/>
  <c r="R24" i="18"/>
  <c r="S24" i="18" s="1"/>
  <c r="R942" i="18"/>
  <c r="S942" i="18" s="1"/>
  <c r="S150" i="18"/>
  <c r="T150" i="18" s="1"/>
  <c r="S310" i="18"/>
  <c r="T310" i="18" s="1"/>
  <c r="R151" i="18"/>
  <c r="S151" i="18" s="1"/>
  <c r="U151" i="18" s="1"/>
  <c r="V151" i="18" s="1"/>
  <c r="R354" i="18"/>
  <c r="S354" i="18" s="1"/>
  <c r="U354" i="18" s="1"/>
  <c r="V354" i="18" s="1"/>
  <c r="R511" i="18"/>
  <c r="S511" i="18" s="1"/>
  <c r="U511" i="18" s="1"/>
  <c r="V511" i="18" s="1"/>
  <c r="R849" i="18"/>
  <c r="S849" i="18" s="1"/>
  <c r="R121" i="18"/>
  <c r="S121" i="18" s="1"/>
  <c r="R408" i="18"/>
  <c r="S408" i="18" s="1"/>
  <c r="U408" i="18" s="1"/>
  <c r="V408" i="18" s="1"/>
  <c r="R974" i="18"/>
  <c r="S974" i="18" s="1"/>
  <c r="T974" i="18" s="1"/>
  <c r="R441" i="18"/>
  <c r="S441" i="18" s="1"/>
  <c r="R623" i="18"/>
  <c r="S623" i="18" s="1"/>
  <c r="T623" i="18" s="1"/>
  <c r="R57" i="18"/>
  <c r="S57" i="18" s="1"/>
  <c r="T57" i="18" s="1"/>
  <c r="R253" i="18"/>
  <c r="S253" i="18" s="1"/>
  <c r="U253" i="18" s="1"/>
  <c r="V253" i="18" s="1"/>
  <c r="R910" i="18"/>
  <c r="S910" i="18" s="1"/>
  <c r="U910" i="18" s="1"/>
  <c r="V910" i="18" s="1"/>
  <c r="R451" i="18"/>
  <c r="S451" i="18" s="1"/>
  <c r="T451" i="18" s="1"/>
  <c r="R312" i="18"/>
  <c r="S312" i="18" s="1"/>
  <c r="U312" i="18" s="1"/>
  <c r="V312" i="18" s="1"/>
  <c r="R217" i="18"/>
  <c r="S217" i="18" s="1"/>
  <c r="S374" i="18"/>
  <c r="U374" i="18" s="1"/>
  <c r="V374" i="18" s="1"/>
  <c r="R248" i="18"/>
  <c r="S248" i="18" s="1"/>
  <c r="O97" i="18"/>
  <c r="R505" i="18"/>
  <c r="S505" i="18" s="1"/>
  <c r="U505" i="18" s="1"/>
  <c r="V505" i="18" s="1"/>
  <c r="Q400" i="18"/>
  <c r="R59" i="18"/>
  <c r="S59" i="18" s="1"/>
  <c r="T59" i="18" s="1"/>
  <c r="R326" i="18"/>
  <c r="S326" i="18" s="1"/>
  <c r="U326" i="18" s="1"/>
  <c r="V326" i="18" s="1"/>
  <c r="O161" i="18"/>
  <c r="R313" i="18"/>
  <c r="S313" i="18" s="1"/>
  <c r="T313" i="18" s="1"/>
  <c r="R953" i="18"/>
  <c r="S953" i="18" s="1"/>
  <c r="P393" i="18"/>
  <c r="R393" i="18" s="1"/>
  <c r="R817" i="18"/>
  <c r="S817" i="18" s="1"/>
  <c r="S182" i="18"/>
  <c r="T182" i="18" s="1"/>
  <c r="R590" i="18"/>
  <c r="S590" i="18" s="1"/>
  <c r="R216" i="18"/>
  <c r="S216" i="18" s="1"/>
  <c r="T216" i="18" s="1"/>
  <c r="R814" i="18"/>
  <c r="S814" i="18" s="1"/>
  <c r="U814" i="18" s="1"/>
  <c r="V814" i="18" s="1"/>
  <c r="R439" i="18"/>
  <c r="S439" i="18" s="1"/>
  <c r="U439" i="18" s="1"/>
  <c r="V439" i="18" s="1"/>
  <c r="R184" i="18"/>
  <c r="S184" i="18" s="1"/>
  <c r="U184" i="18" s="1"/>
  <c r="V184" i="18" s="1"/>
  <c r="R285" i="18"/>
  <c r="S285" i="18" s="1"/>
  <c r="U285" i="18" s="1"/>
  <c r="V285" i="18" s="1"/>
  <c r="R846" i="18"/>
  <c r="S846" i="18" s="1"/>
  <c r="U846" i="18" s="1"/>
  <c r="V846" i="18" s="1"/>
  <c r="S86" i="18"/>
  <c r="U86" i="18" s="1"/>
  <c r="V86" i="18" s="1"/>
  <c r="R281" i="18"/>
  <c r="S281" i="18" s="1"/>
  <c r="T281" i="18" s="1"/>
  <c r="R379" i="18"/>
  <c r="S379" i="18" s="1"/>
  <c r="U379" i="18" s="1"/>
  <c r="V379" i="18" s="1"/>
  <c r="R407" i="18"/>
  <c r="S407" i="18" s="1"/>
  <c r="S118" i="18"/>
  <c r="U118" i="18" s="1"/>
  <c r="V118" i="18" s="1"/>
  <c r="R89" i="18"/>
  <c r="S89" i="18" s="1"/>
  <c r="R376" i="18"/>
  <c r="S376" i="18" s="1"/>
  <c r="U376" i="18" s="1"/>
  <c r="V376" i="18" s="1"/>
  <c r="O449" i="18"/>
  <c r="R503" i="18"/>
  <c r="S503" i="18" s="1"/>
  <c r="U503" i="18" s="1"/>
  <c r="V503" i="18" s="1"/>
  <c r="R471" i="18"/>
  <c r="S471" i="18" s="1"/>
  <c r="U471" i="18" s="1"/>
  <c r="V471" i="18" s="1"/>
  <c r="S438" i="18"/>
  <c r="U438" i="18" s="1"/>
  <c r="V438" i="18" s="1"/>
  <c r="R31" i="18"/>
  <c r="S31" i="18" s="1"/>
  <c r="U31" i="18" s="1"/>
  <c r="V31" i="18" s="1"/>
  <c r="U85" i="18"/>
  <c r="V85" i="18" s="1"/>
  <c r="P806" i="18"/>
  <c r="U583" i="18"/>
  <c r="V583" i="18" s="1"/>
  <c r="R881" i="18"/>
  <c r="S881" i="18" s="1"/>
  <c r="R344" i="18"/>
  <c r="S344" i="18" s="1"/>
  <c r="U344" i="18" s="1"/>
  <c r="V344" i="18" s="1"/>
  <c r="R88" i="18"/>
  <c r="S88" i="18" s="1"/>
  <c r="T88" i="18" s="1"/>
  <c r="R409" i="18"/>
  <c r="S409" i="18" s="1"/>
  <c r="U409" i="18" s="1"/>
  <c r="V409" i="18" s="1"/>
  <c r="R152" i="18"/>
  <c r="S152" i="18" s="1"/>
  <c r="U152" i="18" s="1"/>
  <c r="V152" i="18" s="1"/>
  <c r="R67" i="18"/>
  <c r="S67" i="18" s="1"/>
  <c r="T67" i="18" s="1"/>
  <c r="S342" i="18"/>
  <c r="R473" i="18"/>
  <c r="S473" i="18" s="1"/>
  <c r="U473" i="18" s="1"/>
  <c r="V473" i="18" s="1"/>
  <c r="R98" i="18"/>
  <c r="S98" i="18" s="1"/>
  <c r="T98" i="18" s="1"/>
  <c r="R602" i="18"/>
  <c r="S602" i="18" s="1"/>
  <c r="U602" i="18" s="1"/>
  <c r="V602" i="18" s="1"/>
  <c r="R753" i="18"/>
  <c r="S753" i="18" s="1"/>
  <c r="R249" i="18"/>
  <c r="S249" i="18" s="1"/>
  <c r="U249" i="18" s="1"/>
  <c r="V249" i="18" s="1"/>
  <c r="S22" i="18"/>
  <c r="T22" i="18" s="1"/>
  <c r="R256" i="18"/>
  <c r="S256" i="18" s="1"/>
  <c r="T256" i="18" s="1"/>
  <c r="S214" i="18"/>
  <c r="R295" i="18"/>
  <c r="S295" i="18" s="1"/>
  <c r="T295" i="18" s="1"/>
  <c r="O521" i="18"/>
  <c r="S246" i="18"/>
  <c r="U246" i="18" s="1"/>
  <c r="V246" i="18" s="1"/>
  <c r="P489" i="18"/>
  <c r="R489" i="18" s="1"/>
  <c r="R251" i="18"/>
  <c r="S251" i="18" s="1"/>
  <c r="O169" i="18"/>
  <c r="O41" i="18"/>
  <c r="R185" i="18"/>
  <c r="S185" i="18" s="1"/>
  <c r="T185" i="18" s="1"/>
  <c r="O768" i="18"/>
  <c r="O767" i="18"/>
  <c r="O960" i="18"/>
  <c r="P578" i="18"/>
  <c r="P895" i="18"/>
  <c r="P1027" i="18"/>
  <c r="O863" i="18"/>
  <c r="Q772" i="18"/>
  <c r="Q738" i="18"/>
  <c r="P609" i="18"/>
  <c r="O1030" i="18"/>
  <c r="P899" i="18"/>
  <c r="Q671" i="18"/>
  <c r="O137" i="18"/>
  <c r="O321" i="18"/>
  <c r="P41" i="18"/>
  <c r="R41" i="18" s="1"/>
  <c r="O65" i="18"/>
  <c r="O385" i="18"/>
  <c r="O1057" i="18"/>
  <c r="O805" i="18"/>
  <c r="Q966" i="18"/>
  <c r="O641" i="18"/>
  <c r="Q741" i="18"/>
  <c r="O576" i="18"/>
  <c r="O678" i="18"/>
  <c r="O899" i="18"/>
  <c r="O998" i="18"/>
  <c r="O897" i="18"/>
  <c r="O837" i="18"/>
  <c r="Q774" i="18"/>
  <c r="Q804" i="18"/>
  <c r="P576" i="18"/>
  <c r="Q831" i="18"/>
  <c r="O866" i="18"/>
  <c r="P928" i="18"/>
  <c r="P1028" i="18"/>
  <c r="Q579" i="18"/>
  <c r="Q677" i="18"/>
  <c r="Q642" i="18"/>
  <c r="P369" i="18"/>
  <c r="O329" i="18"/>
  <c r="P201" i="18"/>
  <c r="R201" i="18" s="1"/>
  <c r="O73" i="18"/>
  <c r="P961" i="18"/>
  <c r="P1061" i="18"/>
  <c r="O646" i="18"/>
  <c r="O896" i="18"/>
  <c r="Q708" i="18"/>
  <c r="O803" i="18"/>
  <c r="O739" i="18"/>
  <c r="Q1027" i="18"/>
  <c r="Q863" i="18"/>
  <c r="P607" i="18"/>
  <c r="O901" i="18"/>
  <c r="O929" i="18"/>
  <c r="P831" i="18"/>
  <c r="O703" i="18"/>
  <c r="P832" i="18"/>
  <c r="Q610" i="18"/>
  <c r="Q838" i="18"/>
  <c r="P703" i="18"/>
  <c r="Q676" i="18"/>
  <c r="Q929" i="18"/>
  <c r="O579" i="18"/>
  <c r="O33" i="18"/>
  <c r="Q673" i="18"/>
  <c r="P707" i="18"/>
  <c r="Q580" i="18"/>
  <c r="O642" i="18"/>
  <c r="O1060" i="18"/>
  <c r="Q767" i="18"/>
  <c r="Q614" i="18"/>
  <c r="O704" i="18"/>
  <c r="O1062" i="18"/>
  <c r="O963" i="18"/>
  <c r="Q901" i="18"/>
  <c r="P1055" i="18"/>
  <c r="P993" i="18"/>
  <c r="Q834" i="18"/>
  <c r="P994" i="18"/>
  <c r="Q703" i="18"/>
  <c r="Q932" i="18"/>
  <c r="P799" i="18"/>
  <c r="P742" i="18"/>
  <c r="Q993" i="18"/>
  <c r="Q1061" i="18"/>
  <c r="P838" i="18"/>
  <c r="P834" i="18"/>
  <c r="P804" i="18"/>
  <c r="Q1060" i="18"/>
  <c r="O994" i="18"/>
  <c r="Q835" i="18"/>
  <c r="O898" i="18"/>
  <c r="P76" i="18"/>
  <c r="Q207" i="18"/>
  <c r="P169" i="18"/>
  <c r="R169" i="18" s="1"/>
  <c r="O489" i="18"/>
  <c r="P161" i="18"/>
  <c r="R161" i="18" s="1"/>
  <c r="P897" i="18"/>
  <c r="O931" i="18"/>
  <c r="Q742" i="18"/>
  <c r="Q801" i="18"/>
  <c r="P931" i="18"/>
  <c r="P1023" i="18"/>
  <c r="O959" i="18"/>
  <c r="O836" i="18"/>
  <c r="P706" i="18"/>
  <c r="P575" i="18"/>
  <c r="O801" i="18"/>
  <c r="Q833" i="18"/>
  <c r="O735" i="18"/>
  <c r="O1024" i="18"/>
  <c r="O870" i="18"/>
  <c r="P735" i="18"/>
  <c r="O806" i="18"/>
  <c r="Q964" i="18"/>
  <c r="P642" i="18"/>
  <c r="Q897" i="18"/>
  <c r="O932" i="18"/>
  <c r="Q960" i="18"/>
  <c r="P644" i="18"/>
  <c r="P1026" i="18"/>
  <c r="O1025" i="18"/>
  <c r="O934" i="18"/>
  <c r="Q836" i="18"/>
  <c r="P770" i="18"/>
  <c r="O580" i="18"/>
  <c r="O640" i="18"/>
  <c r="P704" i="18"/>
  <c r="Q608" i="18"/>
  <c r="Q1057" i="18"/>
  <c r="P580" i="18"/>
  <c r="P767" i="18"/>
  <c r="Q740" i="18"/>
  <c r="P929" i="18"/>
  <c r="O867" i="18"/>
  <c r="O831" i="18"/>
  <c r="P129" i="18"/>
  <c r="R129" i="18" s="1"/>
  <c r="O297" i="18"/>
  <c r="P361" i="18"/>
  <c r="R361" i="18" s="1"/>
  <c r="P329" i="18"/>
  <c r="R329" i="18" s="1"/>
  <c r="P297" i="18"/>
  <c r="R297" i="18" s="1"/>
  <c r="P992" i="18"/>
  <c r="P608" i="18"/>
  <c r="P675" i="18"/>
  <c r="P639" i="18"/>
  <c r="O1059" i="18"/>
  <c r="P996" i="18"/>
  <c r="O895" i="18"/>
  <c r="P645" i="18"/>
  <c r="P737" i="18"/>
  <c r="P739" i="18"/>
  <c r="P863" i="18"/>
  <c r="O577" i="18"/>
  <c r="O581" i="18"/>
  <c r="O864" i="18"/>
  <c r="Q612" i="18"/>
  <c r="P740" i="18"/>
  <c r="Q1058" i="18"/>
  <c r="Q704" i="18"/>
  <c r="P927" i="18"/>
  <c r="Q805" i="18"/>
  <c r="P673" i="18"/>
  <c r="Q641" i="18"/>
  <c r="P303" i="18"/>
  <c r="Q674" i="18"/>
  <c r="P837" i="18"/>
  <c r="Q675" i="18"/>
  <c r="Q832" i="18"/>
  <c r="O769" i="18"/>
  <c r="Q768" i="18"/>
  <c r="P772" i="18"/>
  <c r="P33" i="18"/>
  <c r="R33" i="18" s="1"/>
  <c r="P105" i="18"/>
  <c r="R105" i="18" s="1"/>
  <c r="P97" i="18"/>
  <c r="R97" i="18" s="1"/>
  <c r="Q1025" i="18"/>
  <c r="O709" i="18"/>
  <c r="Q737" i="18"/>
  <c r="Q607" i="18"/>
  <c r="O966" i="18"/>
  <c r="Q581" i="18"/>
  <c r="P709" i="18"/>
  <c r="P963" i="18"/>
  <c r="Q707" i="18"/>
  <c r="O674" i="18"/>
  <c r="P835" i="18"/>
  <c r="O933" i="18"/>
  <c r="P610" i="18"/>
  <c r="Q896" i="18"/>
  <c r="P581" i="18"/>
  <c r="P869" i="18"/>
  <c r="P1057" i="18"/>
  <c r="P1062" i="18"/>
  <c r="Q769" i="18"/>
  <c r="O612" i="18"/>
  <c r="Q867" i="18"/>
  <c r="P738" i="18"/>
  <c r="O129" i="18"/>
  <c r="P1029" i="18"/>
  <c r="O639" i="18"/>
  <c r="Q868" i="18"/>
  <c r="Q900" i="18"/>
  <c r="Q866" i="18"/>
  <c r="O771" i="18"/>
  <c r="O673" i="18"/>
  <c r="P1030" i="18"/>
  <c r="O676" i="18"/>
  <c r="O1029" i="18"/>
  <c r="P960" i="18"/>
  <c r="Q802" i="18"/>
  <c r="O737" i="18"/>
  <c r="O643" i="18"/>
  <c r="O832" i="18"/>
  <c r="O838" i="18"/>
  <c r="O996" i="18"/>
  <c r="Q611" i="18"/>
  <c r="Q1028" i="18"/>
  <c r="O738" i="18"/>
  <c r="Q1059" i="18"/>
  <c r="Q575" i="18"/>
  <c r="R575" i="18" s="1"/>
  <c r="T243" i="18"/>
  <c r="P612" i="18"/>
  <c r="P613" i="18"/>
  <c r="P1025" i="18"/>
  <c r="Q773" i="18"/>
  <c r="P401" i="18"/>
  <c r="P643" i="18"/>
  <c r="Q963" i="18"/>
  <c r="Q266" i="18"/>
  <c r="P865" i="18"/>
  <c r="Q706" i="18"/>
  <c r="Q1024" i="18"/>
  <c r="P866" i="18"/>
  <c r="Q678" i="18"/>
  <c r="O869" i="18"/>
  <c r="P385" i="18"/>
  <c r="R385" i="18" s="1"/>
  <c r="Q1055" i="18"/>
  <c r="O802" i="18"/>
  <c r="Q870" i="18"/>
  <c r="P966" i="18"/>
  <c r="P902" i="18"/>
  <c r="O1026" i="18"/>
  <c r="P965" i="18"/>
  <c r="O930" i="18"/>
  <c r="P836" i="18"/>
  <c r="O741" i="18"/>
  <c r="P579" i="18"/>
  <c r="P833" i="18"/>
  <c r="P898" i="18"/>
  <c r="O902" i="18"/>
  <c r="O804" i="18"/>
  <c r="O964" i="18"/>
  <c r="Q771" i="18"/>
  <c r="P582" i="18"/>
  <c r="P710" i="18"/>
  <c r="Q739" i="18"/>
  <c r="O965" i="18"/>
  <c r="O1061" i="18"/>
  <c r="O393" i="18"/>
  <c r="O233" i="18"/>
  <c r="P997" i="18"/>
  <c r="Q902" i="18"/>
  <c r="P864" i="18"/>
  <c r="O582" i="18"/>
  <c r="Q645" i="18"/>
  <c r="O997" i="18"/>
  <c r="O710" i="18"/>
  <c r="O835" i="18"/>
  <c r="O772" i="18"/>
  <c r="P1060" i="18"/>
  <c r="Q959" i="18"/>
  <c r="O961" i="18"/>
  <c r="O613" i="18"/>
  <c r="O611" i="18"/>
  <c r="P1058" i="18"/>
  <c r="Q800" i="18"/>
  <c r="Q709" i="18"/>
  <c r="Q899" i="18"/>
  <c r="P867" i="18"/>
  <c r="P768" i="18"/>
  <c r="P1056" i="18"/>
  <c r="Q578" i="18"/>
  <c r="Q770" i="18"/>
  <c r="P671" i="18"/>
  <c r="P773" i="18"/>
  <c r="P611" i="18"/>
  <c r="Q48" i="18"/>
  <c r="P676" i="18"/>
  <c r="P771" i="18"/>
  <c r="Q672" i="18"/>
  <c r="P1024" i="18"/>
  <c r="Q869" i="18"/>
  <c r="Q1030" i="18"/>
  <c r="P998" i="18"/>
  <c r="Q1056" i="18"/>
  <c r="O672" i="18"/>
  <c r="P933" i="18"/>
  <c r="P1059" i="18"/>
  <c r="O265" i="18"/>
  <c r="P641" i="18"/>
  <c r="P708" i="18"/>
  <c r="O774" i="18"/>
  <c r="Q864" i="18"/>
  <c r="O708" i="18"/>
  <c r="P901" i="18"/>
  <c r="O800" i="18"/>
  <c r="P646" i="18"/>
  <c r="Q639" i="18"/>
  <c r="O1028" i="18"/>
  <c r="P736" i="18"/>
  <c r="Q934" i="18"/>
  <c r="P774" i="18"/>
  <c r="R119" i="18"/>
  <c r="S119" i="18" s="1"/>
  <c r="T119" i="18" s="1"/>
  <c r="R279" i="18"/>
  <c r="S279" i="18" s="1"/>
  <c r="P991" i="18"/>
  <c r="P577" i="18"/>
  <c r="P800" i="18"/>
  <c r="Q576" i="18"/>
  <c r="P803" i="18"/>
  <c r="Q865" i="18"/>
  <c r="Q928" i="18"/>
  <c r="Q961" i="18"/>
  <c r="Q994" i="18"/>
  <c r="P672" i="18"/>
  <c r="Q998" i="18"/>
  <c r="Q582" i="18"/>
  <c r="O928" i="18"/>
  <c r="Q710" i="18"/>
  <c r="Q643" i="18"/>
  <c r="P481" i="18"/>
  <c r="R481" i="18" s="1"/>
  <c r="O289" i="18"/>
  <c r="P417" i="18"/>
  <c r="R417" i="18" s="1"/>
  <c r="O417" i="18"/>
  <c r="O481" i="18"/>
  <c r="O193" i="18"/>
  <c r="P870" i="18"/>
  <c r="O991" i="18"/>
  <c r="Q736" i="18"/>
  <c r="Q965" i="18"/>
  <c r="O1055" i="18"/>
  <c r="O740" i="18"/>
  <c r="O993" i="18"/>
  <c r="O736" i="18"/>
  <c r="O677" i="18"/>
  <c r="P614" i="18"/>
  <c r="O1027" i="18"/>
  <c r="Q1029" i="18"/>
  <c r="O834" i="18"/>
  <c r="P868" i="18"/>
  <c r="Q997" i="18"/>
  <c r="P640" i="18"/>
  <c r="P741" i="18"/>
  <c r="Q930" i="18"/>
  <c r="R930" i="18" s="1"/>
  <c r="P705" i="18"/>
  <c r="Q1062" i="18"/>
  <c r="Q609" i="18"/>
  <c r="P995" i="18"/>
  <c r="Q803" i="18"/>
  <c r="Q799" i="18"/>
  <c r="P79" i="18"/>
  <c r="P674" i="18"/>
  <c r="P932" i="18"/>
  <c r="Q992" i="18"/>
  <c r="Q837" i="18"/>
  <c r="O257" i="18"/>
  <c r="P65" i="18"/>
  <c r="R65" i="18" s="1"/>
  <c r="P289" i="18"/>
  <c r="R289" i="18" s="1"/>
  <c r="O225" i="18"/>
  <c r="P964" i="18"/>
  <c r="O705" i="18"/>
  <c r="O609" i="18"/>
  <c r="Q933" i="18"/>
  <c r="O578" i="18"/>
  <c r="O1023" i="18"/>
  <c r="O675" i="18"/>
  <c r="O742" i="18"/>
  <c r="Q898" i="18"/>
  <c r="O644" i="18"/>
  <c r="O1056" i="18"/>
  <c r="Q996" i="18"/>
  <c r="Q991" i="18"/>
  <c r="O614" i="18"/>
  <c r="P962" i="18"/>
  <c r="Q613" i="18"/>
  <c r="Q895" i="18"/>
  <c r="Q640" i="18"/>
  <c r="Q806" i="18"/>
  <c r="P802" i="18"/>
  <c r="P959" i="18"/>
  <c r="Q577" i="18"/>
  <c r="P677" i="18"/>
  <c r="Q646" i="18"/>
  <c r="Q644" i="18"/>
  <c r="O900" i="18"/>
  <c r="P805" i="18"/>
  <c r="Q931" i="18"/>
  <c r="P457" i="18"/>
  <c r="R457" i="18" s="1"/>
  <c r="O201" i="18"/>
  <c r="P769" i="18"/>
  <c r="O962" i="18"/>
  <c r="O575" i="18"/>
  <c r="Q735" i="18"/>
  <c r="O865" i="18"/>
  <c r="O833" i="18"/>
  <c r="O799" i="18"/>
  <c r="P896" i="18"/>
  <c r="O707" i="18"/>
  <c r="O608" i="18"/>
  <c r="O773" i="18"/>
  <c r="O927" i="18"/>
  <c r="O995" i="18"/>
  <c r="R284" i="18"/>
  <c r="S284" i="18" s="1"/>
  <c r="P934" i="18"/>
  <c r="Q995" i="18"/>
  <c r="P678" i="18"/>
  <c r="Q927" i="18"/>
  <c r="Q1026" i="18"/>
  <c r="Q962" i="18"/>
  <c r="Q705" i="18"/>
  <c r="Q1023" i="18"/>
  <c r="P801" i="18"/>
  <c r="O361" i="18"/>
  <c r="O457" i="18"/>
  <c r="O353" i="18"/>
  <c r="P900" i="18"/>
  <c r="O607" i="18"/>
  <c r="O868" i="18"/>
  <c r="O610" i="18"/>
  <c r="O645" i="18"/>
  <c r="O1058" i="18"/>
  <c r="O671" i="18"/>
  <c r="O706" i="18"/>
  <c r="O992" i="18"/>
  <c r="O770" i="18"/>
  <c r="R944" i="18"/>
  <c r="S944" i="18" s="1"/>
  <c r="T944" i="18" s="1"/>
  <c r="S502" i="18"/>
  <c r="U502" i="18" s="1"/>
  <c r="V502" i="18" s="1"/>
  <c r="R345" i="18"/>
  <c r="S345" i="18" s="1"/>
  <c r="U345" i="18" s="1"/>
  <c r="V345" i="18" s="1"/>
  <c r="R29" i="18"/>
  <c r="S29" i="18" s="1"/>
  <c r="T29" i="18" s="1"/>
  <c r="R282" i="18"/>
  <c r="S282" i="18" s="1"/>
  <c r="T282" i="18" s="1"/>
  <c r="R815" i="18"/>
  <c r="S815" i="18" s="1"/>
  <c r="T815" i="18" s="1"/>
  <c r="P193" i="18"/>
  <c r="R193" i="18" s="1"/>
  <c r="P257" i="18"/>
  <c r="R257" i="18" s="1"/>
  <c r="T552" i="18"/>
  <c r="P225" i="18"/>
  <c r="R225" i="18" s="1"/>
  <c r="P321" i="18"/>
  <c r="R321" i="18" s="1"/>
  <c r="P449" i="18"/>
  <c r="R449" i="18" s="1"/>
  <c r="R56" i="18"/>
  <c r="S56" i="18" s="1"/>
  <c r="T56" i="18" s="1"/>
  <c r="R280" i="18"/>
  <c r="S280" i="18" s="1"/>
  <c r="U280" i="18" s="1"/>
  <c r="V280" i="18" s="1"/>
  <c r="O425" i="18"/>
  <c r="P137" i="18"/>
  <c r="R137" i="18" s="1"/>
  <c r="P521" i="18"/>
  <c r="R521" i="18" s="1"/>
  <c r="T341" i="18"/>
  <c r="R423" i="18"/>
  <c r="S423" i="18" s="1"/>
  <c r="T423" i="18" s="1"/>
  <c r="P513" i="18"/>
  <c r="R513" i="18" s="1"/>
  <c r="R377" i="18"/>
  <c r="S377" i="18" s="1"/>
  <c r="T377" i="18" s="1"/>
  <c r="U871" i="18"/>
  <c r="V871" i="18" s="1"/>
  <c r="U178" i="18"/>
  <c r="V178" i="18" s="1"/>
  <c r="R388" i="18"/>
  <c r="S388" i="18" s="1"/>
  <c r="U388" i="18" s="1"/>
  <c r="V388" i="18" s="1"/>
  <c r="R452" i="18"/>
  <c r="S452" i="18" s="1"/>
  <c r="U452" i="18" s="1"/>
  <c r="V452" i="18" s="1"/>
  <c r="R314" i="18"/>
  <c r="S314" i="18" s="1"/>
  <c r="T314" i="18" s="1"/>
  <c r="R92" i="18"/>
  <c r="S92" i="18" s="1"/>
  <c r="T82" i="18"/>
  <c r="R219" i="18"/>
  <c r="S219" i="18" s="1"/>
  <c r="R443" i="18"/>
  <c r="S443" i="18" s="1"/>
  <c r="U443" i="18" s="1"/>
  <c r="V443" i="18" s="1"/>
  <c r="Q74" i="18"/>
  <c r="P144" i="18"/>
  <c r="O236" i="18"/>
  <c r="P142" i="18"/>
  <c r="Q76" i="18"/>
  <c r="Q495" i="18"/>
  <c r="O302" i="18"/>
  <c r="R859" i="18"/>
  <c r="S859" i="18" s="1"/>
  <c r="U859" i="18" s="1"/>
  <c r="V859" i="18" s="1"/>
  <c r="O78" i="18"/>
  <c r="P271" i="18"/>
  <c r="Q430" i="18"/>
  <c r="Q239" i="18"/>
  <c r="R323" i="18"/>
  <c r="S323" i="18" s="1"/>
  <c r="P490" i="18"/>
  <c r="O202" i="18"/>
  <c r="O48" i="18"/>
  <c r="P464" i="18"/>
  <c r="P367" i="18"/>
  <c r="O522" i="18"/>
  <c r="P273" i="18"/>
  <c r="Q234" i="18"/>
  <c r="P203" i="18"/>
  <c r="O144" i="18"/>
  <c r="O208" i="18"/>
  <c r="O427" i="18"/>
  <c r="O45" i="18"/>
  <c r="P267" i="18"/>
  <c r="O113" i="18"/>
  <c r="O305" i="18"/>
  <c r="P266" i="18"/>
  <c r="P141" i="18"/>
  <c r="P429" i="18"/>
  <c r="Q173" i="18"/>
  <c r="P108" i="18"/>
  <c r="P364" i="18"/>
  <c r="Q79" i="18"/>
  <c r="R512" i="18"/>
  <c r="S512" i="18" s="1"/>
  <c r="U512" i="18" s="1"/>
  <c r="V512" i="18" s="1"/>
  <c r="P301" i="18"/>
  <c r="O74" i="18"/>
  <c r="P106" i="18"/>
  <c r="Q368" i="18"/>
  <c r="P172" i="18"/>
  <c r="Q526" i="18"/>
  <c r="R160" i="18"/>
  <c r="S160" i="18" s="1"/>
  <c r="U160" i="18" s="1"/>
  <c r="V160" i="18" s="1"/>
  <c r="Q75" i="18"/>
  <c r="R600" i="18"/>
  <c r="S600" i="18" s="1"/>
  <c r="T600" i="18" s="1"/>
  <c r="R510" i="18"/>
  <c r="S510" i="18" s="1"/>
  <c r="U510" i="18" s="1"/>
  <c r="V510" i="18" s="1"/>
  <c r="O271" i="18"/>
  <c r="O431" i="18"/>
  <c r="P460" i="18"/>
  <c r="O491" i="18"/>
  <c r="O497" i="18"/>
  <c r="Q139" i="18"/>
  <c r="Q300" i="18"/>
  <c r="Q398" i="18"/>
  <c r="Q236" i="18"/>
  <c r="P332" i="18"/>
  <c r="P272" i="18"/>
  <c r="Q305" i="18"/>
  <c r="Q494" i="18"/>
  <c r="P234" i="18"/>
  <c r="Q396" i="18"/>
  <c r="P491" i="18"/>
  <c r="O459" i="18"/>
  <c r="O206" i="18"/>
  <c r="Q45" i="18"/>
  <c r="O428" i="18"/>
  <c r="O76" i="18"/>
  <c r="P173" i="18"/>
  <c r="O106" i="18"/>
  <c r="P394" i="18"/>
  <c r="P238" i="18"/>
  <c r="P109" i="18"/>
  <c r="P398" i="18"/>
  <c r="P495" i="18"/>
  <c r="P45" i="18"/>
  <c r="O139" i="18"/>
  <c r="Q238" i="18"/>
  <c r="O109" i="18"/>
  <c r="Q141" i="18"/>
  <c r="P75" i="18"/>
  <c r="Q111" i="18"/>
  <c r="O110" i="18"/>
  <c r="Q47" i="18"/>
  <c r="Q171" i="18"/>
  <c r="P432" i="18"/>
  <c r="O80" i="18"/>
  <c r="Q176" i="18"/>
  <c r="Q364" i="18"/>
  <c r="P174" i="18"/>
  <c r="Q493" i="18"/>
  <c r="P176" i="18"/>
  <c r="Q522" i="18"/>
  <c r="O138" i="18"/>
  <c r="P465" i="18"/>
  <c r="Q432" i="18"/>
  <c r="O238" i="18"/>
  <c r="O145" i="18"/>
  <c r="Q428" i="18"/>
  <c r="O268" i="18"/>
  <c r="O400" i="18"/>
  <c r="O209" i="18"/>
  <c r="Q369" i="18"/>
  <c r="O49" i="18"/>
  <c r="Q177" i="18"/>
  <c r="O170" i="18"/>
  <c r="P492" i="18"/>
  <c r="Q492" i="18"/>
  <c r="P269" i="18"/>
  <c r="Q203" i="18"/>
  <c r="Q304" i="18"/>
  <c r="P336" i="18"/>
  <c r="P235" i="18"/>
  <c r="O493" i="18"/>
  <c r="P170" i="18"/>
  <c r="O527" i="18"/>
  <c r="P431" i="18"/>
  <c r="P426" i="18"/>
  <c r="Q463" i="18"/>
  <c r="O112" i="18"/>
  <c r="O368" i="18"/>
  <c r="O366" i="18"/>
  <c r="O140" i="18"/>
  <c r="P80" i="18"/>
  <c r="Q208" i="18"/>
  <c r="Q170" i="18"/>
  <c r="O299" i="18"/>
  <c r="Q235" i="18"/>
  <c r="O108" i="18"/>
  <c r="P47" i="18"/>
  <c r="Q237" i="18"/>
  <c r="Q299" i="18"/>
  <c r="O364" i="18"/>
  <c r="P74" i="18"/>
  <c r="Q431" i="18"/>
  <c r="Q367" i="18"/>
  <c r="O401" i="18"/>
  <c r="P240" i="18"/>
  <c r="P363" i="18"/>
  <c r="Q491" i="18"/>
  <c r="O528" i="18"/>
  <c r="Q209" i="18"/>
  <c r="P112" i="18"/>
  <c r="O398" i="18"/>
  <c r="Q172" i="18"/>
  <c r="O523" i="18"/>
  <c r="P298" i="18"/>
  <c r="O432" i="18"/>
  <c r="O526" i="18"/>
  <c r="O397" i="18"/>
  <c r="P43" i="18"/>
  <c r="P461" i="18"/>
  <c r="Q490" i="18"/>
  <c r="Q175" i="18"/>
  <c r="O369" i="18"/>
  <c r="P305" i="18"/>
  <c r="O298" i="18"/>
  <c r="O333" i="18"/>
  <c r="Q273" i="18"/>
  <c r="O399" i="18"/>
  <c r="Q106" i="18"/>
  <c r="P145" i="18"/>
  <c r="O525" i="18"/>
  <c r="Q365" i="18"/>
  <c r="O304" i="18"/>
  <c r="O334" i="18"/>
  <c r="P237" i="18"/>
  <c r="P497" i="18"/>
  <c r="P209" i="18"/>
  <c r="O234" i="18"/>
  <c r="O176" i="18"/>
  <c r="P300" i="18"/>
  <c r="O529" i="18"/>
  <c r="P430" i="18"/>
  <c r="O173" i="18"/>
  <c r="P299" i="18"/>
  <c r="O429" i="18"/>
  <c r="Q427" i="18"/>
  <c r="O42" i="18"/>
  <c r="Q465" i="18"/>
  <c r="O433" i="18"/>
  <c r="P522" i="18"/>
  <c r="P270" i="18"/>
  <c r="Q363" i="18"/>
  <c r="O44" i="18"/>
  <c r="P331" i="18"/>
  <c r="P241" i="18"/>
  <c r="O241" i="18"/>
  <c r="O270" i="18"/>
  <c r="Q528" i="18"/>
  <c r="Q426" i="18"/>
  <c r="Q144" i="18"/>
  <c r="O492" i="18"/>
  <c r="O426" i="18"/>
  <c r="P78" i="18"/>
  <c r="Q334" i="18"/>
  <c r="O464" i="18"/>
  <c r="O141" i="18"/>
  <c r="O303" i="18"/>
  <c r="O174" i="18"/>
  <c r="P365" i="18"/>
  <c r="Q174" i="18"/>
  <c r="O336" i="18"/>
  <c r="Q267" i="18"/>
  <c r="P111" i="18"/>
  <c r="O394" i="18"/>
  <c r="O43" i="18"/>
  <c r="P202" i="18"/>
  <c r="P427" i="18"/>
  <c r="P107" i="18"/>
  <c r="O207" i="18"/>
  <c r="P400" i="18"/>
  <c r="P395" i="18"/>
  <c r="O362" i="18"/>
  <c r="Q462" i="18"/>
  <c r="P302" i="18"/>
  <c r="P139" i="18"/>
  <c r="O396" i="18"/>
  <c r="O81" i="18"/>
  <c r="Q331" i="18"/>
  <c r="Q524" i="18"/>
  <c r="O272" i="18"/>
  <c r="O462" i="18"/>
  <c r="Q44" i="18"/>
  <c r="P204" i="18"/>
  <c r="O107" i="18"/>
  <c r="Q46" i="18"/>
  <c r="Q298" i="18"/>
  <c r="P206" i="18"/>
  <c r="Q80" i="18"/>
  <c r="O267" i="18"/>
  <c r="P362" i="18"/>
  <c r="P366" i="18"/>
  <c r="P239" i="18"/>
  <c r="Q459" i="18"/>
  <c r="O363" i="18"/>
  <c r="P526" i="18"/>
  <c r="Q42" i="18"/>
  <c r="O205" i="18"/>
  <c r="Q394" i="18"/>
  <c r="O240" i="18"/>
  <c r="Q330" i="18"/>
  <c r="O111" i="18"/>
  <c r="Q337" i="18"/>
  <c r="Q108" i="18"/>
  <c r="O490" i="18"/>
  <c r="Q333" i="18"/>
  <c r="Q461" i="18"/>
  <c r="P304" i="18"/>
  <c r="O47" i="18"/>
  <c r="O177" i="18"/>
  <c r="O365" i="18"/>
  <c r="P268" i="18"/>
  <c r="P175" i="18"/>
  <c r="O143" i="18"/>
  <c r="P368" i="18"/>
  <c r="O142" i="18"/>
  <c r="Q143" i="18"/>
  <c r="P81" i="18"/>
  <c r="P397" i="18"/>
  <c r="O75" i="18"/>
  <c r="O458" i="18"/>
  <c r="P496" i="18"/>
  <c r="P205" i="18"/>
  <c r="O332" i="18"/>
  <c r="Q43" i="18"/>
  <c r="P463" i="18"/>
  <c r="P330" i="18"/>
  <c r="O301" i="18"/>
  <c r="P113" i="18"/>
  <c r="O460" i="18"/>
  <c r="O204" i="18"/>
  <c r="P525" i="18"/>
  <c r="P527" i="18"/>
  <c r="O171" i="18"/>
  <c r="Q107" i="18"/>
  <c r="P433" i="18"/>
  <c r="P396" i="18"/>
  <c r="P77" i="18"/>
  <c r="Q138" i="18"/>
  <c r="O269" i="18"/>
  <c r="P493" i="18"/>
  <c r="Q497" i="18"/>
  <c r="O495" i="18"/>
  <c r="O330" i="18"/>
  <c r="O273" i="18"/>
  <c r="O237" i="18"/>
  <c r="O175" i="18"/>
  <c r="Q366" i="18"/>
  <c r="O463" i="18"/>
  <c r="Q81" i="18"/>
  <c r="O77" i="18"/>
  <c r="P428" i="18"/>
  <c r="O172" i="18"/>
  <c r="Q401" i="18"/>
  <c r="O465" i="18"/>
  <c r="P459" i="18"/>
  <c r="Q458" i="18"/>
  <c r="O235" i="18"/>
  <c r="O335" i="18"/>
  <c r="Q78" i="18"/>
  <c r="O337" i="18"/>
  <c r="P458" i="18"/>
  <c r="O494" i="18"/>
  <c r="P462" i="18"/>
  <c r="Q202" i="18"/>
  <c r="P138" i="18"/>
  <c r="O331" i="18"/>
  <c r="O367" i="18"/>
  <c r="Q429" i="18"/>
  <c r="Q204" i="18"/>
  <c r="P143" i="18"/>
  <c r="O496" i="18"/>
  <c r="O430" i="18"/>
  <c r="Q205" i="18"/>
  <c r="Q268" i="18"/>
  <c r="O203" i="18"/>
  <c r="Q362" i="18"/>
  <c r="P177" i="18"/>
  <c r="Q460" i="18"/>
  <c r="Q206" i="18"/>
  <c r="P42" i="18"/>
  <c r="O395" i="18"/>
  <c r="Q142" i="18"/>
  <c r="Q464" i="18"/>
  <c r="Q77" i="18"/>
  <c r="O524" i="18"/>
  <c r="O79" i="18"/>
  <c r="R28" i="18"/>
  <c r="S28" i="18" s="1"/>
  <c r="T28" i="18" s="1"/>
  <c r="R94" i="18"/>
  <c r="S94" i="18" s="1"/>
  <c r="U94" i="18" s="1"/>
  <c r="V94" i="18" s="1"/>
  <c r="R230" i="18"/>
  <c r="S230" i="18" s="1"/>
  <c r="U230" i="18" s="1"/>
  <c r="V230" i="18" s="1"/>
  <c r="R263" i="18"/>
  <c r="S263" i="18" s="1"/>
  <c r="U263" i="18" s="1"/>
  <c r="V263" i="18" s="1"/>
  <c r="R752" i="18"/>
  <c r="S752" i="18" s="1"/>
  <c r="R984" i="18"/>
  <c r="S984" i="18" s="1"/>
  <c r="U984" i="18" s="1"/>
  <c r="V984" i="18" s="1"/>
  <c r="R222" i="18"/>
  <c r="S222" i="18" s="1"/>
  <c r="U222" i="18" s="1"/>
  <c r="V222" i="18" s="1"/>
  <c r="R625" i="18"/>
  <c r="S625" i="18" s="1"/>
  <c r="R322" i="18"/>
  <c r="S322" i="18" s="1"/>
  <c r="R221" i="18"/>
  <c r="S221" i="18" s="1"/>
  <c r="U221" i="18" s="1"/>
  <c r="V221" i="18" s="1"/>
  <c r="R100" i="18"/>
  <c r="S100" i="18" s="1"/>
  <c r="U100" i="18" s="1"/>
  <c r="V100" i="18" s="1"/>
  <c r="T501" i="18"/>
  <c r="T436" i="18"/>
  <c r="R189" i="18"/>
  <c r="S189" i="18" s="1"/>
  <c r="U189" i="18" s="1"/>
  <c r="V189" i="18" s="1"/>
  <c r="R386" i="18"/>
  <c r="S386" i="18" s="1"/>
  <c r="R218" i="18"/>
  <c r="S218" i="18" s="1"/>
  <c r="T218" i="18" s="1"/>
  <c r="R226" i="18"/>
  <c r="S226" i="18" s="1"/>
  <c r="T226" i="18" s="1"/>
  <c r="R879" i="18"/>
  <c r="S879" i="18" s="1"/>
  <c r="T879" i="18" s="1"/>
  <c r="R797" i="18"/>
  <c r="S797" i="18" s="1"/>
  <c r="U797" i="18" s="1"/>
  <c r="V797" i="18" s="1"/>
  <c r="R943" i="18"/>
  <c r="S943" i="18" s="1"/>
  <c r="U943" i="18" s="1"/>
  <c r="V943" i="18" s="1"/>
  <c r="R316" i="18"/>
  <c r="S316" i="18" s="1"/>
  <c r="R591" i="18"/>
  <c r="S591" i="18" s="1"/>
  <c r="U591" i="18" s="1"/>
  <c r="V591" i="18" s="1"/>
  <c r="R68" i="18"/>
  <c r="S68" i="18" s="1"/>
  <c r="U906" i="18"/>
  <c r="V906" i="18" s="1"/>
  <c r="T906" i="18"/>
  <c r="U434" i="18"/>
  <c r="V434" i="18" s="1"/>
  <c r="T434" i="18"/>
  <c r="R860" i="18"/>
  <c r="S860" i="18" s="1"/>
  <c r="U860" i="18" s="1"/>
  <c r="V860" i="18" s="1"/>
  <c r="R123" i="18"/>
  <c r="S123" i="18" s="1"/>
  <c r="R791" i="18"/>
  <c r="S791" i="18" s="1"/>
  <c r="U791" i="18" s="1"/>
  <c r="V791" i="18" s="1"/>
  <c r="T244" i="18"/>
  <c r="R199" i="18"/>
  <c r="S199" i="18" s="1"/>
  <c r="U199" i="18" s="1"/>
  <c r="V199" i="18" s="1"/>
  <c r="R413" i="18"/>
  <c r="S413" i="18" s="1"/>
  <c r="R135" i="18"/>
  <c r="S135" i="18" s="1"/>
  <c r="T135" i="18" s="1"/>
  <c r="R728" i="18"/>
  <c r="S728" i="18" s="1"/>
  <c r="R796" i="18"/>
  <c r="S796" i="18" s="1"/>
  <c r="U796" i="18" s="1"/>
  <c r="V796" i="18" s="1"/>
  <c r="R70" i="18"/>
  <c r="S70" i="18" s="1"/>
  <c r="T70" i="18" s="1"/>
  <c r="T404" i="18"/>
  <c r="R697" i="18"/>
  <c r="S697" i="18" s="1"/>
  <c r="U372" i="18"/>
  <c r="V372" i="18" s="1"/>
  <c r="R633" i="18"/>
  <c r="S633" i="18" s="1"/>
  <c r="R455" i="18"/>
  <c r="S455" i="18" s="1"/>
  <c r="U455" i="18" s="1"/>
  <c r="V455" i="18" s="1"/>
  <c r="R484" i="18"/>
  <c r="S484" i="18" s="1"/>
  <c r="U484" i="18" s="1"/>
  <c r="V484" i="18" s="1"/>
  <c r="R1015" i="18"/>
  <c r="S1015" i="18" s="1"/>
  <c r="R729" i="18"/>
  <c r="S729" i="18" s="1"/>
  <c r="R480" i="18"/>
  <c r="S480" i="18" s="1"/>
  <c r="T480" i="18" s="1"/>
  <c r="R660" i="18"/>
  <c r="S660" i="18" s="1"/>
  <c r="T437" i="18"/>
  <c r="R689" i="18"/>
  <c r="S689" i="18" s="1"/>
  <c r="R722" i="18"/>
  <c r="S722" i="18" s="1"/>
  <c r="T722" i="18" s="1"/>
  <c r="R825" i="18"/>
  <c r="S825" i="18" s="1"/>
  <c r="R125" i="18"/>
  <c r="S125" i="18" s="1"/>
  <c r="U125" i="18" s="1"/>
  <c r="V125" i="18" s="1"/>
  <c r="R507" i="18"/>
  <c r="S507" i="18" s="1"/>
  <c r="T507" i="18" s="1"/>
  <c r="R378" i="18"/>
  <c r="S378" i="18" s="1"/>
  <c r="U378" i="18" s="1"/>
  <c r="V378" i="18" s="1"/>
  <c r="R292" i="18"/>
  <c r="S292" i="18" s="1"/>
  <c r="R445" i="18"/>
  <c r="S445" i="18" s="1"/>
  <c r="U445" i="18" s="1"/>
  <c r="V445" i="18" s="1"/>
  <c r="R127" i="18"/>
  <c r="S127" i="18" s="1"/>
  <c r="U127" i="18" s="1"/>
  <c r="V127" i="18" s="1"/>
  <c r="R293" i="18"/>
  <c r="S293" i="18" s="1"/>
  <c r="U293" i="18" s="1"/>
  <c r="V293" i="18" s="1"/>
  <c r="U52" i="18"/>
  <c r="V52" i="18" s="1"/>
  <c r="R561" i="18"/>
  <c r="S561" i="18" s="1"/>
  <c r="U146" i="18"/>
  <c r="V146" i="18" s="1"/>
  <c r="T1002" i="18"/>
  <c r="R659" i="18"/>
  <c r="S659" i="18" s="1"/>
  <c r="T659" i="18" s="1"/>
  <c r="T181" i="18"/>
  <c r="U210" i="18"/>
  <c r="V210" i="18" s="1"/>
  <c r="R762" i="18"/>
  <c r="S762" i="18" s="1"/>
  <c r="U762" i="18" s="1"/>
  <c r="V762" i="18" s="1"/>
  <c r="R389" i="18"/>
  <c r="S389" i="18" s="1"/>
  <c r="T389" i="18" s="1"/>
  <c r="R847" i="18"/>
  <c r="S847" i="18" s="1"/>
  <c r="U847" i="18" s="1"/>
  <c r="V847" i="18" s="1"/>
  <c r="R71" i="18"/>
  <c r="S71" i="18" s="1"/>
  <c r="U71" i="18" s="1"/>
  <c r="V71" i="18" s="1"/>
  <c r="R478" i="18"/>
  <c r="S478" i="18" s="1"/>
  <c r="U478" i="18" s="1"/>
  <c r="V478" i="18" s="1"/>
  <c r="R1049" i="18"/>
  <c r="S1049" i="18" s="1"/>
  <c r="T308" i="18"/>
  <c r="R913" i="18"/>
  <c r="S913" i="18" s="1"/>
  <c r="R95" i="18"/>
  <c r="S95" i="18" s="1"/>
  <c r="U95" i="18" s="1"/>
  <c r="V95" i="18" s="1"/>
  <c r="R1017" i="18"/>
  <c r="S1017" i="18" s="1"/>
  <c r="U115" i="18"/>
  <c r="V115" i="18" s="1"/>
  <c r="R985" i="18"/>
  <c r="S985" i="18" s="1"/>
  <c r="R64" i="18"/>
  <c r="S64" i="18" s="1"/>
  <c r="U64" i="18" s="1"/>
  <c r="V64" i="18" s="1"/>
  <c r="R1009" i="18"/>
  <c r="S1009" i="18" s="1"/>
  <c r="R852" i="18"/>
  <c r="S852" i="18" s="1"/>
  <c r="U852" i="18" s="1"/>
  <c r="V852" i="18" s="1"/>
  <c r="R66" i="18"/>
  <c r="S66" i="18" s="1"/>
  <c r="U66" i="18" s="1"/>
  <c r="V66" i="18" s="1"/>
  <c r="R727" i="18"/>
  <c r="S727" i="18" s="1"/>
  <c r="T727" i="18" s="1"/>
  <c r="R418" i="18"/>
  <c r="S418" i="18" s="1"/>
  <c r="R60" i="18"/>
  <c r="S60" i="18" s="1"/>
  <c r="U60" i="18" s="1"/>
  <c r="V60" i="18" s="1"/>
  <c r="U148" i="18"/>
  <c r="V148" i="18" s="1"/>
  <c r="R102" i="18"/>
  <c r="S102" i="18" s="1"/>
  <c r="U102" i="18" s="1"/>
  <c r="V102" i="18" s="1"/>
  <c r="R163" i="18"/>
  <c r="S163" i="18" s="1"/>
  <c r="T163" i="18" s="1"/>
  <c r="R352" i="18"/>
  <c r="S352" i="18" s="1"/>
  <c r="U352" i="18" s="1"/>
  <c r="V352" i="18" s="1"/>
  <c r="R604" i="18"/>
  <c r="S604" i="18" s="1"/>
  <c r="U604" i="18" s="1"/>
  <c r="V604" i="18" s="1"/>
  <c r="R635" i="18"/>
  <c r="S635" i="18" s="1"/>
  <c r="U635" i="18" s="1"/>
  <c r="V635" i="18" s="1"/>
  <c r="R380" i="18"/>
  <c r="S380" i="18" s="1"/>
  <c r="U403" i="18"/>
  <c r="V403" i="18" s="1"/>
  <c r="T403" i="18"/>
  <c r="T746" i="18"/>
  <c r="U746" i="18"/>
  <c r="V746" i="18" s="1"/>
  <c r="R785" i="18"/>
  <c r="S785" i="18" s="1"/>
  <c r="T785" i="18" s="1"/>
  <c r="R519" i="18"/>
  <c r="S519" i="18" s="1"/>
  <c r="U519" i="18" s="1"/>
  <c r="V519" i="18" s="1"/>
  <c r="R383" i="18"/>
  <c r="S383" i="18" s="1"/>
  <c r="U383" i="18" s="1"/>
  <c r="V383" i="18" s="1"/>
  <c r="R351" i="18"/>
  <c r="S351" i="18" s="1"/>
  <c r="T351" i="18" s="1"/>
  <c r="R220" i="18"/>
  <c r="S220" i="18" s="1"/>
  <c r="T220" i="18" s="1"/>
  <c r="R559" i="18"/>
  <c r="S559" i="18" s="1"/>
  <c r="T559" i="18" s="1"/>
  <c r="R387" i="18"/>
  <c r="S387" i="18" s="1"/>
  <c r="T387" i="18" s="1"/>
  <c r="R887" i="18"/>
  <c r="S887" i="18" s="1"/>
  <c r="U887" i="18" s="1"/>
  <c r="V887" i="18" s="1"/>
  <c r="R719" i="18"/>
  <c r="S719" i="18" s="1"/>
  <c r="R593" i="18"/>
  <c r="S593" i="18" s="1"/>
  <c r="R599" i="18"/>
  <c r="S599" i="18" s="1"/>
  <c r="T599" i="18" s="1"/>
  <c r="R229" i="18"/>
  <c r="S229" i="18" s="1"/>
  <c r="R168" i="18"/>
  <c r="S168" i="18" s="1"/>
  <c r="U168" i="18" s="1"/>
  <c r="V168" i="18" s="1"/>
  <c r="R158" i="18"/>
  <c r="S158" i="18" s="1"/>
  <c r="U158" i="18" s="1"/>
  <c r="V158" i="18" s="1"/>
  <c r="R382" i="18"/>
  <c r="S382" i="18" s="1"/>
  <c r="U382" i="18" s="1"/>
  <c r="V382" i="18" s="1"/>
  <c r="R488" i="18"/>
  <c r="S488" i="18" s="1"/>
  <c r="R131" i="18"/>
  <c r="S131" i="18" s="1"/>
  <c r="U131" i="18" s="1"/>
  <c r="V131" i="18" s="1"/>
  <c r="R412" i="18"/>
  <c r="S412" i="18" s="1"/>
  <c r="T412" i="18" s="1"/>
  <c r="R1016" i="18"/>
  <c r="S1016" i="18" s="1"/>
  <c r="R381" i="18"/>
  <c r="S381" i="18" s="1"/>
  <c r="U381" i="18" s="1"/>
  <c r="V381" i="18" s="1"/>
  <c r="R884" i="18"/>
  <c r="S884" i="18" s="1"/>
  <c r="T884" i="18" s="1"/>
  <c r="R38" i="18"/>
  <c r="S38" i="18" s="1"/>
  <c r="R760" i="18"/>
  <c r="S760" i="18" s="1"/>
  <c r="T760" i="18" s="1"/>
  <c r="R851" i="18"/>
  <c r="S851" i="18" s="1"/>
  <c r="S347" i="18"/>
  <c r="U347" i="18" s="1"/>
  <c r="V347" i="18" s="1"/>
  <c r="R260" i="18"/>
  <c r="S260" i="18" s="1"/>
  <c r="U260" i="18" s="1"/>
  <c r="V260" i="18" s="1"/>
  <c r="R509" i="18"/>
  <c r="S509" i="18" s="1"/>
  <c r="T509" i="18" s="1"/>
  <c r="R197" i="18"/>
  <c r="S197" i="18" s="1"/>
  <c r="U197" i="18" s="1"/>
  <c r="V197" i="18" s="1"/>
  <c r="R952" i="18"/>
  <c r="S952" i="18" s="1"/>
  <c r="T952" i="18" s="1"/>
  <c r="R448" i="18"/>
  <c r="S448" i="18" s="1"/>
  <c r="T448" i="18" s="1"/>
  <c r="R792" i="18"/>
  <c r="S792" i="18" s="1"/>
  <c r="U792" i="18" s="1"/>
  <c r="V792" i="18" s="1"/>
  <c r="R951" i="18"/>
  <c r="S951" i="18" s="1"/>
  <c r="T951" i="18" s="1"/>
  <c r="R733" i="18"/>
  <c r="S733" i="18" s="1"/>
  <c r="U733" i="18" s="1"/>
  <c r="V733" i="18" s="1"/>
  <c r="R224" i="18"/>
  <c r="S224" i="18" s="1"/>
  <c r="R508" i="18"/>
  <c r="S508" i="18" s="1"/>
  <c r="U508" i="18" s="1"/>
  <c r="V508" i="18" s="1"/>
  <c r="R568" i="18"/>
  <c r="S568" i="18" s="1"/>
  <c r="R159" i="18"/>
  <c r="S159" i="18" s="1"/>
  <c r="T159" i="18" s="1"/>
  <c r="R479" i="18"/>
  <c r="S479" i="18" s="1"/>
  <c r="U479" i="18" s="1"/>
  <c r="V479" i="18" s="1"/>
  <c r="R294" i="18"/>
  <c r="S294" i="18" s="1"/>
  <c r="T499" i="18"/>
  <c r="R415" i="18"/>
  <c r="S415" i="18" s="1"/>
  <c r="U415" i="18" s="1"/>
  <c r="V415" i="18" s="1"/>
  <c r="R93" i="18"/>
  <c r="S93" i="18" s="1"/>
  <c r="U93" i="18" s="1"/>
  <c r="V93" i="18" s="1"/>
  <c r="R126" i="18"/>
  <c r="S126" i="18" s="1"/>
  <c r="U126" i="18" s="1"/>
  <c r="V126" i="18" s="1"/>
  <c r="T212" i="18"/>
  <c r="R476" i="18"/>
  <c r="S476" i="18" s="1"/>
  <c r="U476" i="18" s="1"/>
  <c r="V476" i="18" s="1"/>
  <c r="R414" i="18"/>
  <c r="S414" i="18" s="1"/>
  <c r="T414" i="18" s="1"/>
  <c r="R1007" i="18"/>
  <c r="S1007" i="18" s="1"/>
  <c r="T1007" i="18" s="1"/>
  <c r="T778" i="18"/>
  <c r="R156" i="18"/>
  <c r="S156" i="18" s="1"/>
  <c r="U156" i="18" s="1"/>
  <c r="V156" i="18" s="1"/>
  <c r="R198" i="18"/>
  <c r="S198" i="18" s="1"/>
  <c r="U198" i="18" s="1"/>
  <c r="V198" i="18" s="1"/>
  <c r="R477" i="18"/>
  <c r="S477" i="18" s="1"/>
  <c r="R122" i="18"/>
  <c r="S122" i="18" s="1"/>
  <c r="R855" i="18"/>
  <c r="S855" i="18" s="1"/>
  <c r="T855" i="18" s="1"/>
  <c r="R793" i="18"/>
  <c r="S793" i="18" s="1"/>
  <c r="R90" i="18"/>
  <c r="S90" i="18" s="1"/>
  <c r="T90" i="18" s="1"/>
  <c r="R592" i="18"/>
  <c r="S592" i="18" s="1"/>
  <c r="U592" i="18" s="1"/>
  <c r="V592" i="18" s="1"/>
  <c r="R62" i="18"/>
  <c r="S62" i="18" s="1"/>
  <c r="T62" i="18" s="1"/>
  <c r="R357" i="18"/>
  <c r="S357" i="18" s="1"/>
  <c r="U357" i="18" s="1"/>
  <c r="V357" i="18" s="1"/>
  <c r="R444" i="18"/>
  <c r="S444" i="18" s="1"/>
  <c r="U444" i="18" s="1"/>
  <c r="V444" i="18" s="1"/>
  <c r="R195" i="18"/>
  <c r="S195" i="18" s="1"/>
  <c r="U195" i="18" s="1"/>
  <c r="V195" i="18" s="1"/>
  <c r="R688" i="18"/>
  <c r="S688" i="18" s="1"/>
  <c r="T688" i="18" s="1"/>
  <c r="R569" i="18"/>
  <c r="S569" i="18" s="1"/>
  <c r="R155" i="18"/>
  <c r="S155" i="18" s="1"/>
  <c r="T155" i="18" s="1"/>
  <c r="R34" i="18"/>
  <c r="S34" i="18" s="1"/>
  <c r="T34" i="18" s="1"/>
  <c r="R58" i="18"/>
  <c r="S58" i="18" s="1"/>
  <c r="T58" i="18" s="1"/>
  <c r="R350" i="18"/>
  <c r="S350" i="18" s="1"/>
  <c r="T350" i="18" s="1"/>
  <c r="R518" i="18"/>
  <c r="S518" i="18" s="1"/>
  <c r="U518" i="18" s="1"/>
  <c r="V518" i="18" s="1"/>
  <c r="R101" i="18"/>
  <c r="S101" i="18" s="1"/>
  <c r="T101" i="18" s="1"/>
  <c r="R355" i="18"/>
  <c r="S355" i="18" s="1"/>
  <c r="R916" i="18"/>
  <c r="S916" i="18" s="1"/>
  <c r="T916" i="18" s="1"/>
  <c r="U179" i="18"/>
  <c r="V179" i="18" s="1"/>
  <c r="R69" i="18"/>
  <c r="S69" i="18" s="1"/>
  <c r="R759" i="18"/>
  <c r="S759" i="18" s="1"/>
  <c r="T759" i="18" s="1"/>
  <c r="R259" i="18"/>
  <c r="S259" i="18" s="1"/>
  <c r="R103" i="18"/>
  <c r="S103" i="18" s="1"/>
  <c r="T103" i="18" s="1"/>
  <c r="R983" i="18"/>
  <c r="S983" i="18" s="1"/>
  <c r="R663" i="18"/>
  <c r="S663" i="18" s="1"/>
  <c r="T663" i="18" s="1"/>
  <c r="R981" i="18"/>
  <c r="S981" i="18" s="1"/>
  <c r="U981" i="18" s="1"/>
  <c r="V981" i="18" s="1"/>
  <c r="R485" i="18"/>
  <c r="S485" i="18" s="1"/>
  <c r="U485" i="18" s="1"/>
  <c r="V485" i="18" s="1"/>
  <c r="R228" i="18"/>
  <c r="S228" i="18" s="1"/>
  <c r="T228" i="18" s="1"/>
  <c r="R1047" i="18"/>
  <c r="S1047" i="18" s="1"/>
  <c r="R567" i="18"/>
  <c r="S567" i="18" s="1"/>
  <c r="R823" i="18"/>
  <c r="S823" i="18" s="1"/>
  <c r="U277" i="18"/>
  <c r="V277" i="18" s="1"/>
  <c r="R857" i="18"/>
  <c r="S857" i="18" s="1"/>
  <c r="R319" i="18"/>
  <c r="S319" i="18" s="1"/>
  <c r="U319" i="18" s="1"/>
  <c r="V319" i="18" s="1"/>
  <c r="R1043" i="18"/>
  <c r="S1043" i="18" s="1"/>
  <c r="U1043" i="18" s="1"/>
  <c r="V1043" i="18" s="1"/>
  <c r="T242" i="18"/>
  <c r="R486" i="18"/>
  <c r="S486" i="18" s="1"/>
  <c r="U486" i="18" s="1"/>
  <c r="V486" i="18" s="1"/>
  <c r="R483" i="18"/>
  <c r="S483" i="18" s="1"/>
  <c r="T483" i="18" s="1"/>
  <c r="R921" i="18"/>
  <c r="S921" i="18" s="1"/>
  <c r="R1039" i="18"/>
  <c r="S1039" i="18" s="1"/>
  <c r="R693" i="18"/>
  <c r="S693" i="18" s="1"/>
  <c r="R154" i="18"/>
  <c r="S154" i="18" s="1"/>
  <c r="R695" i="18"/>
  <c r="S695" i="18" s="1"/>
  <c r="R856" i="18"/>
  <c r="S856" i="18" s="1"/>
  <c r="T856" i="18" s="1"/>
  <c r="R422" i="18"/>
  <c r="S422" i="18" s="1"/>
  <c r="T422" i="18" s="1"/>
  <c r="R36" i="18"/>
  <c r="S36" i="18" s="1"/>
  <c r="U36" i="18" s="1"/>
  <c r="V36" i="18" s="1"/>
  <c r="R1040" i="18"/>
  <c r="S1040" i="18" s="1"/>
  <c r="T1040" i="18" s="1"/>
  <c r="R447" i="18"/>
  <c r="S447" i="18" s="1"/>
  <c r="T447" i="18" s="1"/>
  <c r="R358" i="18"/>
  <c r="S358" i="18" s="1"/>
  <c r="U358" i="18" s="1"/>
  <c r="V358" i="18" s="1"/>
  <c r="R186" i="18"/>
  <c r="S186" i="18" s="1"/>
  <c r="R956" i="18"/>
  <c r="S956" i="18" s="1"/>
  <c r="U956" i="18" s="1"/>
  <c r="V956" i="18" s="1"/>
  <c r="R661" i="18"/>
  <c r="S661" i="18" s="1"/>
  <c r="T661" i="18" s="1"/>
  <c r="R827" i="18"/>
  <c r="S827" i="18" s="1"/>
  <c r="R828" i="18"/>
  <c r="S828" i="18" s="1"/>
  <c r="U828" i="18" s="1"/>
  <c r="V828" i="18" s="1"/>
  <c r="R1048" i="18"/>
  <c r="S1048" i="18" s="1"/>
  <c r="R231" i="18"/>
  <c r="S231" i="18" s="1"/>
  <c r="U231" i="18" s="1"/>
  <c r="V231" i="18" s="1"/>
  <c r="R976" i="18"/>
  <c r="S976" i="18" s="1"/>
  <c r="U976" i="18" s="1"/>
  <c r="V976" i="18" s="1"/>
  <c r="R631" i="18"/>
  <c r="S631" i="18" s="1"/>
  <c r="T631" i="18" s="1"/>
  <c r="R262" i="18"/>
  <c r="S262" i="18" s="1"/>
  <c r="U262" i="18" s="1"/>
  <c r="V262" i="18" s="1"/>
  <c r="R657" i="18"/>
  <c r="S657" i="18" s="1"/>
  <c r="R923" i="18"/>
  <c r="S923" i="18" s="1"/>
  <c r="U923" i="18" s="1"/>
  <c r="V923" i="18" s="1"/>
  <c r="R724" i="18"/>
  <c r="S724" i="18" s="1"/>
  <c r="U724" i="18" s="1"/>
  <c r="V724" i="18" s="1"/>
  <c r="R32" i="18"/>
  <c r="S32" i="18" s="1"/>
  <c r="U32" i="18" s="1"/>
  <c r="V32" i="18" s="1"/>
  <c r="R133" i="18"/>
  <c r="S133" i="18" s="1"/>
  <c r="R975" i="18"/>
  <c r="S975" i="18" s="1"/>
  <c r="T338" i="18"/>
  <c r="R665" i="18"/>
  <c r="S665" i="18" s="1"/>
  <c r="R1010" i="18"/>
  <c r="S1010" i="18" s="1"/>
  <c r="T1010" i="18" s="1"/>
  <c r="R1011" i="18"/>
  <c r="S1011" i="18" s="1"/>
  <c r="R888" i="18"/>
  <c r="S888" i="18" s="1"/>
  <c r="R287" i="18"/>
  <c r="S287" i="18" s="1"/>
  <c r="U287" i="18" s="1"/>
  <c r="V287" i="18" s="1"/>
  <c r="R516" i="18"/>
  <c r="S516" i="18" s="1"/>
  <c r="T904" i="18"/>
  <c r="R655" i="18"/>
  <c r="S655" i="18" s="1"/>
  <c r="T655" i="18" s="1"/>
  <c r="U839" i="18"/>
  <c r="V839" i="18" s="1"/>
  <c r="T469" i="18"/>
  <c r="R136" i="18"/>
  <c r="S136" i="18" s="1"/>
  <c r="U136" i="18" s="1"/>
  <c r="V136" i="18" s="1"/>
  <c r="R977" i="18"/>
  <c r="S977" i="18" s="1"/>
  <c r="R200" i="18"/>
  <c r="S200" i="18" s="1"/>
  <c r="U200" i="18" s="1"/>
  <c r="V200" i="18" s="1"/>
  <c r="R346" i="18"/>
  <c r="S346" i="18" s="1"/>
  <c r="R751" i="18"/>
  <c r="S751" i="18" s="1"/>
  <c r="T751" i="18" s="1"/>
  <c r="R1041" i="18"/>
  <c r="S1041" i="18" s="1"/>
  <c r="R421" i="18"/>
  <c r="S421" i="18" s="1"/>
  <c r="R922" i="18"/>
  <c r="S922" i="18" s="1"/>
  <c r="U922" i="18" s="1"/>
  <c r="V922" i="18" s="1"/>
  <c r="R945" i="18"/>
  <c r="S945" i="18" s="1"/>
  <c r="U945" i="18" s="1"/>
  <c r="V945" i="18" s="1"/>
  <c r="R328" i="18"/>
  <c r="S328" i="18" s="1"/>
  <c r="R474" i="18"/>
  <c r="S474" i="18" s="1"/>
  <c r="T903" i="18"/>
  <c r="R167" i="18"/>
  <c r="S167" i="18" s="1"/>
  <c r="U167" i="18" s="1"/>
  <c r="V167" i="18" s="1"/>
  <c r="R605" i="18"/>
  <c r="S605" i="18" s="1"/>
  <c r="R296" i="18"/>
  <c r="S296" i="18" s="1"/>
  <c r="U296" i="18" s="1"/>
  <c r="V296" i="18" s="1"/>
  <c r="R761" i="18"/>
  <c r="S761" i="18" s="1"/>
  <c r="R912" i="18"/>
  <c r="S912" i="18" s="1"/>
  <c r="U912" i="18" s="1"/>
  <c r="V912" i="18" s="1"/>
  <c r="U19" i="18"/>
  <c r="V19" i="18" s="1"/>
  <c r="R756" i="18"/>
  <c r="S756" i="18" s="1"/>
  <c r="U756" i="18" s="1"/>
  <c r="V756" i="18" s="1"/>
  <c r="R1053" i="18"/>
  <c r="S1053" i="18" s="1"/>
  <c r="U1053" i="18" s="1"/>
  <c r="V1053" i="18" s="1"/>
  <c r="R30" i="18"/>
  <c r="S30" i="18" s="1"/>
  <c r="U30" i="18" s="1"/>
  <c r="V30" i="18" s="1"/>
  <c r="R134" i="18"/>
  <c r="S134" i="18" s="1"/>
  <c r="U134" i="18" s="1"/>
  <c r="V134" i="18" s="1"/>
  <c r="R250" i="18"/>
  <c r="S250" i="18" s="1"/>
  <c r="U250" i="18" s="1"/>
  <c r="V250" i="18" s="1"/>
  <c r="R166" i="18"/>
  <c r="S166" i="18" s="1"/>
  <c r="U166" i="18" s="1"/>
  <c r="V166" i="18" s="1"/>
  <c r="R420" i="18"/>
  <c r="S420" i="18" s="1"/>
  <c r="U420" i="18" s="1"/>
  <c r="V420" i="18" s="1"/>
  <c r="R157" i="18"/>
  <c r="S157" i="18" s="1"/>
  <c r="U157" i="18" s="1"/>
  <c r="V157" i="18" s="1"/>
  <c r="R283" i="18"/>
  <c r="S283" i="18" s="1"/>
  <c r="T283" i="18" s="1"/>
  <c r="R26" i="18"/>
  <c r="S26" i="18" s="1"/>
  <c r="U26" i="18" s="1"/>
  <c r="V26" i="18" s="1"/>
  <c r="R453" i="18"/>
  <c r="S453" i="18" s="1"/>
  <c r="T453" i="18" s="1"/>
  <c r="R824" i="18"/>
  <c r="S824" i="18" s="1"/>
  <c r="T824" i="18" s="1"/>
  <c r="R27" i="18"/>
  <c r="S27" i="18" s="1"/>
  <c r="T27" i="18" s="1"/>
  <c r="R664" i="18"/>
  <c r="S664" i="18" s="1"/>
  <c r="S514" i="18"/>
  <c r="U514" i="18" s="1"/>
  <c r="V514" i="18" s="1"/>
  <c r="R911" i="18"/>
  <c r="S911" i="18" s="1"/>
  <c r="R687" i="18"/>
  <c r="S687" i="18" s="1"/>
  <c r="R946" i="18"/>
  <c r="S946" i="18" s="1"/>
  <c r="U946" i="18" s="1"/>
  <c r="V946" i="18" s="1"/>
  <c r="R721" i="18"/>
  <c r="S721" i="18" s="1"/>
  <c r="R560" i="18"/>
  <c r="S560" i="18" s="1"/>
  <c r="T468" i="18"/>
  <c r="T435" i="18"/>
  <c r="T498" i="18"/>
  <c r="R188" i="18"/>
  <c r="S188" i="18" s="1"/>
  <c r="R454" i="18"/>
  <c r="S454" i="18" s="1"/>
  <c r="U454" i="18" s="1"/>
  <c r="V454" i="18" s="1"/>
  <c r="U370" i="18"/>
  <c r="V370" i="18" s="1"/>
  <c r="T370" i="18"/>
  <c r="R190" i="18"/>
  <c r="S190" i="18" s="1"/>
  <c r="U190" i="18" s="1"/>
  <c r="V190" i="18" s="1"/>
  <c r="U213" i="18"/>
  <c r="V213" i="18" s="1"/>
  <c r="R517" i="18"/>
  <c r="S517" i="18" s="1"/>
  <c r="U517" i="18" s="1"/>
  <c r="V517" i="18" s="1"/>
  <c r="R191" i="18"/>
  <c r="S191" i="18" s="1"/>
  <c r="U191" i="18" s="1"/>
  <c r="V191" i="18" s="1"/>
  <c r="R359" i="18"/>
  <c r="S359" i="18" s="1"/>
  <c r="U359" i="18" s="1"/>
  <c r="V359" i="18" s="1"/>
  <c r="R194" i="18"/>
  <c r="S194" i="18" s="1"/>
  <c r="R919" i="18"/>
  <c r="S919" i="18" s="1"/>
  <c r="R948" i="18"/>
  <c r="S948" i="18" s="1"/>
  <c r="U948" i="18" s="1"/>
  <c r="V948" i="18" s="1"/>
  <c r="R317" i="18"/>
  <c r="S317" i="18" s="1"/>
  <c r="R889" i="18"/>
  <c r="S889" i="18" s="1"/>
  <c r="R816" i="18"/>
  <c r="S816" i="18" s="1"/>
  <c r="T816" i="18" s="1"/>
  <c r="R626" i="18"/>
  <c r="S626" i="18" s="1"/>
  <c r="T626" i="18" s="1"/>
  <c r="R124" i="18"/>
  <c r="S124" i="18" s="1"/>
  <c r="U124" i="18" s="1"/>
  <c r="V124" i="18" s="1"/>
  <c r="R1008" i="18"/>
  <c r="S1008" i="18" s="1"/>
  <c r="T340" i="18"/>
  <c r="R696" i="18"/>
  <c r="S696" i="18" s="1"/>
  <c r="R564" i="18"/>
  <c r="S564" i="18" s="1"/>
  <c r="U564" i="18" s="1"/>
  <c r="V564" i="18" s="1"/>
  <c r="R442" i="18"/>
  <c r="S442" i="18" s="1"/>
  <c r="U442" i="18" s="1"/>
  <c r="V442" i="18" s="1"/>
  <c r="R632" i="18"/>
  <c r="S632" i="18" s="1"/>
  <c r="R61" i="18"/>
  <c r="S61" i="18" s="1"/>
  <c r="R880" i="18"/>
  <c r="S880" i="18" s="1"/>
  <c r="U880" i="18" s="1"/>
  <c r="V880" i="18" s="1"/>
  <c r="R883" i="18"/>
  <c r="S883" i="18" s="1"/>
  <c r="T883" i="18" s="1"/>
  <c r="R829" i="18"/>
  <c r="S829" i="18" s="1"/>
  <c r="U829" i="18" s="1"/>
  <c r="V829" i="18" s="1"/>
  <c r="R252" i="18"/>
  <c r="S252" i="18" s="1"/>
  <c r="U252" i="18" s="1"/>
  <c r="V252" i="18" s="1"/>
  <c r="R848" i="18"/>
  <c r="S848" i="18" s="1"/>
  <c r="U848" i="18" s="1"/>
  <c r="V848" i="18" s="1"/>
  <c r="R979" i="18"/>
  <c r="S979" i="18" s="1"/>
  <c r="U979" i="18" s="1"/>
  <c r="V979" i="18" s="1"/>
  <c r="R325" i="18"/>
  <c r="S325" i="18" s="1"/>
  <c r="U325" i="18" s="1"/>
  <c r="V325" i="18" s="1"/>
  <c r="R720" i="18"/>
  <c r="S720" i="18" s="1"/>
  <c r="T720" i="18" s="1"/>
  <c r="R920" i="18"/>
  <c r="S920" i="18" s="1"/>
  <c r="R624" i="18"/>
  <c r="S624" i="18" s="1"/>
  <c r="U624" i="18" s="1"/>
  <c r="V624" i="18" s="1"/>
  <c r="R562" i="18"/>
  <c r="S562" i="18" s="1"/>
  <c r="R656" i="18"/>
  <c r="S656" i="18" s="1"/>
  <c r="U656" i="18" s="1"/>
  <c r="V656" i="18" s="1"/>
  <c r="R410" i="18"/>
  <c r="S410" i="18" s="1"/>
  <c r="T410" i="18" s="1"/>
  <c r="R784" i="18"/>
  <c r="S784" i="18" s="1"/>
  <c r="U402" i="18"/>
  <c r="V402" i="18" s="1"/>
  <c r="R37" i="18"/>
  <c r="S37" i="18" s="1"/>
  <c r="R315" i="18"/>
  <c r="S315" i="18" s="1"/>
  <c r="U315" i="18" s="1"/>
  <c r="V315" i="18" s="1"/>
  <c r="R132" i="18"/>
  <c r="S132" i="18" s="1"/>
  <c r="T180" i="18"/>
  <c r="R861" i="18"/>
  <c r="S861" i="18" s="1"/>
  <c r="R258" i="18"/>
  <c r="S258" i="18" s="1"/>
  <c r="U258" i="18" s="1"/>
  <c r="V258" i="18" s="1"/>
  <c r="R957" i="18"/>
  <c r="S957" i="18" s="1"/>
  <c r="U957" i="18" s="1"/>
  <c r="V957" i="18" s="1"/>
  <c r="R515" i="18"/>
  <c r="S515" i="18" s="1"/>
  <c r="R506" i="18"/>
  <c r="S506" i="18" s="1"/>
  <c r="U506" i="18" s="1"/>
  <c r="V506" i="18" s="1"/>
  <c r="R1045" i="18"/>
  <c r="S1045" i="18" s="1"/>
  <c r="T1045" i="18" s="1"/>
  <c r="R788" i="18"/>
  <c r="S788" i="18" s="1"/>
  <c r="R196" i="18"/>
  <c r="S196" i="18" s="1"/>
  <c r="U196" i="18" s="1"/>
  <c r="V196" i="18" s="1"/>
  <c r="R475" i="18"/>
  <c r="S475" i="18" s="1"/>
  <c r="R99" i="18"/>
  <c r="S99" i="18" s="1"/>
  <c r="R254" i="18"/>
  <c r="S254" i="18" s="1"/>
  <c r="U254" i="18" s="1"/>
  <c r="V254" i="18" s="1"/>
  <c r="R261" i="18"/>
  <c r="S261" i="18" s="1"/>
  <c r="R450" i="18"/>
  <c r="S450" i="18" s="1"/>
  <c r="R165" i="18"/>
  <c r="S165" i="18" s="1"/>
  <c r="U211" i="18"/>
  <c r="V211" i="18" s="1"/>
  <c r="R1013" i="18"/>
  <c r="S1013" i="18" s="1"/>
  <c r="U1013" i="18" s="1"/>
  <c r="V1013" i="18" s="1"/>
  <c r="R290" i="18"/>
  <c r="S290" i="18" s="1"/>
  <c r="T290" i="18" s="1"/>
  <c r="R419" i="18"/>
  <c r="S419" i="18" s="1"/>
  <c r="U419" i="18" s="1"/>
  <c r="V419" i="18" s="1"/>
  <c r="R787" i="18"/>
  <c r="S787" i="18" s="1"/>
  <c r="U787" i="18" s="1"/>
  <c r="V787" i="18" s="1"/>
  <c r="R348" i="18"/>
  <c r="S348" i="18" s="1"/>
  <c r="R227" i="18"/>
  <c r="S227" i="18" s="1"/>
  <c r="R96" i="18"/>
  <c r="S96" i="18" s="1"/>
  <c r="U96" i="18" s="1"/>
  <c r="V96" i="18" s="1"/>
  <c r="R187" i="18"/>
  <c r="S187" i="18" s="1"/>
  <c r="R349" i="18"/>
  <c r="S349" i="18" s="1"/>
  <c r="R821" i="18"/>
  <c r="S821" i="18" s="1"/>
  <c r="U821" i="18" s="1"/>
  <c r="V821" i="18" s="1"/>
  <c r="R291" i="18"/>
  <c r="S291" i="18" s="1"/>
  <c r="R949" i="18"/>
  <c r="S949" i="18" s="1"/>
  <c r="U949" i="18" s="1"/>
  <c r="V949" i="18" s="1"/>
  <c r="R572" i="18"/>
  <c r="S572" i="18" s="1"/>
  <c r="R980" i="18"/>
  <c r="S980" i="18" s="1"/>
  <c r="R819" i="18"/>
  <c r="S819" i="18" s="1"/>
  <c r="T819" i="18" s="1"/>
  <c r="R917" i="18"/>
  <c r="S917" i="18" s="1"/>
  <c r="U917" i="18" s="1"/>
  <c r="V917" i="18" s="1"/>
  <c r="R411" i="18"/>
  <c r="S411" i="18" s="1"/>
  <c r="R699" i="18"/>
  <c r="S699" i="18" s="1"/>
  <c r="U699" i="18" s="1"/>
  <c r="V699" i="18" s="1"/>
  <c r="R35" i="18"/>
  <c r="S35" i="18" s="1"/>
  <c r="R487" i="18"/>
  <c r="S487" i="18" s="1"/>
  <c r="U487" i="18" s="1"/>
  <c r="V487" i="18" s="1"/>
  <c r="R130" i="18"/>
  <c r="S130" i="18" s="1"/>
  <c r="R223" i="18"/>
  <c r="S223" i="18" s="1"/>
  <c r="U223" i="18" s="1"/>
  <c r="V223" i="18" s="1"/>
  <c r="R164" i="18"/>
  <c r="S164" i="18" s="1"/>
  <c r="R723" i="18"/>
  <c r="S723" i="18" s="1"/>
  <c r="U723" i="18" s="1"/>
  <c r="V723" i="18" s="1"/>
  <c r="T585" i="18"/>
  <c r="T371" i="18"/>
  <c r="U20" i="18"/>
  <c r="V20" i="18" s="1"/>
  <c r="R320" i="18"/>
  <c r="S320" i="18" s="1"/>
  <c r="U320" i="18" s="1"/>
  <c r="V320" i="18" s="1"/>
  <c r="R891" i="18"/>
  <c r="S891" i="18" s="1"/>
  <c r="R885" i="18"/>
  <c r="S885" i="18" s="1"/>
  <c r="T885" i="18" s="1"/>
  <c r="R1051" i="18"/>
  <c r="S1051" i="18" s="1"/>
  <c r="T1051" i="18" s="1"/>
  <c r="R925" i="18"/>
  <c r="S925" i="18" s="1"/>
  <c r="U925" i="18" s="1"/>
  <c r="V925" i="18" s="1"/>
  <c r="T467" i="18"/>
  <c r="R954" i="18"/>
  <c r="S954" i="18" s="1"/>
  <c r="U954" i="18" s="1"/>
  <c r="V954" i="18" s="1"/>
  <c r="R264" i="18"/>
  <c r="S264" i="18" s="1"/>
  <c r="T264" i="18" s="1"/>
  <c r="T84" i="18"/>
  <c r="R732" i="18"/>
  <c r="S732" i="18" s="1"/>
  <c r="U732" i="18" s="1"/>
  <c r="V732" i="18" s="1"/>
  <c r="R596" i="18"/>
  <c r="S596" i="18" s="1"/>
  <c r="U596" i="18" s="1"/>
  <c r="V596" i="18" s="1"/>
  <c r="R1020" i="18"/>
  <c r="S1020" i="18" s="1"/>
  <c r="R692" i="18"/>
  <c r="S692" i="18" s="1"/>
  <c r="U149" i="18"/>
  <c r="V149" i="18" s="1"/>
  <c r="T149" i="18"/>
  <c r="U147" i="18"/>
  <c r="V147" i="18" s="1"/>
  <c r="R701" i="18"/>
  <c r="S701" i="18" s="1"/>
  <c r="U701" i="18" s="1"/>
  <c r="V701" i="18" s="1"/>
  <c r="R795" i="18"/>
  <c r="S795" i="18" s="1"/>
  <c r="U795" i="18" s="1"/>
  <c r="V795" i="18" s="1"/>
  <c r="R573" i="18"/>
  <c r="S573" i="18" s="1"/>
  <c r="U573" i="18" s="1"/>
  <c r="V573" i="18" s="1"/>
  <c r="R915" i="18"/>
  <c r="S915" i="18" s="1"/>
  <c r="T915" i="18" s="1"/>
  <c r="R890" i="18"/>
  <c r="S890" i="18" s="1"/>
  <c r="T890" i="18" s="1"/>
  <c r="R416" i="18"/>
  <c r="S416" i="18" s="1"/>
  <c r="T416" i="18" s="1"/>
  <c r="R595" i="18"/>
  <c r="S595" i="18" s="1"/>
  <c r="U595" i="18" s="1"/>
  <c r="V595" i="18" s="1"/>
  <c r="R947" i="18"/>
  <c r="S947" i="18" s="1"/>
  <c r="U947" i="18" s="1"/>
  <c r="V947" i="18" s="1"/>
  <c r="R893" i="18"/>
  <c r="S893" i="18" s="1"/>
  <c r="U893" i="18" s="1"/>
  <c r="V893" i="18" s="1"/>
  <c r="R636" i="18"/>
  <c r="S636" i="18" s="1"/>
  <c r="U636" i="18" s="1"/>
  <c r="V636" i="18" s="1"/>
  <c r="R603" i="18"/>
  <c r="S603" i="18" s="1"/>
  <c r="U603" i="18" s="1"/>
  <c r="V603" i="18" s="1"/>
  <c r="R853" i="18"/>
  <c r="S853" i="18" s="1"/>
  <c r="U853" i="18" s="1"/>
  <c r="V853" i="18" s="1"/>
  <c r="R668" i="18"/>
  <c r="S668" i="18" s="1"/>
  <c r="U668" i="18" s="1"/>
  <c r="V668" i="18" s="1"/>
  <c r="R820" i="18"/>
  <c r="S820" i="18" s="1"/>
  <c r="U820" i="18" s="1"/>
  <c r="V820" i="18" s="1"/>
  <c r="U275" i="18"/>
  <c r="V275" i="18" s="1"/>
  <c r="T307" i="18"/>
  <c r="U307" i="18"/>
  <c r="V307" i="18" s="1"/>
  <c r="R384" i="18"/>
  <c r="S384" i="18" s="1"/>
  <c r="U384" i="18" s="1"/>
  <c r="V384" i="18" s="1"/>
  <c r="R757" i="18"/>
  <c r="S757" i="18" s="1"/>
  <c r="U757" i="18" s="1"/>
  <c r="V757" i="18" s="1"/>
  <c r="R794" i="18"/>
  <c r="S794" i="18" s="1"/>
  <c r="U794" i="18" s="1"/>
  <c r="V794" i="18" s="1"/>
  <c r="R597" i="18"/>
  <c r="S597" i="18" s="1"/>
  <c r="U597" i="18" s="1"/>
  <c r="V597" i="18" s="1"/>
  <c r="R730" i="18"/>
  <c r="S730" i="18" s="1"/>
  <c r="U730" i="18" s="1"/>
  <c r="V730" i="18" s="1"/>
  <c r="R571" i="18"/>
  <c r="S571" i="18" s="1"/>
  <c r="U571" i="18" s="1"/>
  <c r="V571" i="18" s="1"/>
  <c r="U276" i="18"/>
  <c r="V276" i="18" s="1"/>
  <c r="R914" i="18"/>
  <c r="S914" i="18" s="1"/>
  <c r="T914" i="18" s="1"/>
  <c r="R731" i="18"/>
  <c r="S731" i="18" s="1"/>
  <c r="T731" i="18" s="1"/>
  <c r="R755" i="18"/>
  <c r="S755" i="18" s="1"/>
  <c r="U755" i="18" s="1"/>
  <c r="V755" i="18" s="1"/>
  <c r="T615" i="18"/>
  <c r="U554" i="18"/>
  <c r="V554" i="18" s="1"/>
  <c r="U18" i="18"/>
  <c r="V18" i="18" s="1"/>
  <c r="U83" i="18"/>
  <c r="V83" i="18" s="1"/>
  <c r="T116" i="18"/>
  <c r="U50" i="18"/>
  <c r="V50" i="18" s="1"/>
  <c r="R988" i="18"/>
  <c r="S988" i="18" s="1"/>
  <c r="U988" i="18" s="1"/>
  <c r="V988" i="18" s="1"/>
  <c r="R700" i="18"/>
  <c r="S700" i="18" s="1"/>
  <c r="U700" i="18" s="1"/>
  <c r="V700" i="18" s="1"/>
  <c r="R826" i="18"/>
  <c r="S826" i="18" s="1"/>
  <c r="U826" i="18" s="1"/>
  <c r="V826" i="18" s="1"/>
  <c r="R627" i="18"/>
  <c r="S627" i="18" s="1"/>
  <c r="U627" i="18" s="1"/>
  <c r="V627" i="18" s="1"/>
  <c r="R924" i="18"/>
  <c r="S924" i="18" s="1"/>
  <c r="U924" i="18" s="1"/>
  <c r="V924" i="18" s="1"/>
  <c r="R1019" i="18"/>
  <c r="S1019" i="18" s="1"/>
  <c r="U1019" i="18" s="1"/>
  <c r="V1019" i="18" s="1"/>
  <c r="R765" i="18"/>
  <c r="S765" i="18" s="1"/>
  <c r="U765" i="18" s="1"/>
  <c r="V765" i="18" s="1"/>
  <c r="R658" i="18"/>
  <c r="S658" i="18" s="1"/>
  <c r="U658" i="18" s="1"/>
  <c r="V658" i="18" s="1"/>
  <c r="R955" i="18"/>
  <c r="S955" i="18" s="1"/>
  <c r="U955" i="18" s="1"/>
  <c r="V955" i="18" s="1"/>
  <c r="R789" i="18"/>
  <c r="S789" i="18" s="1"/>
  <c r="U789" i="18" s="1"/>
  <c r="V789" i="18" s="1"/>
  <c r="R892" i="18"/>
  <c r="S892" i="18" s="1"/>
  <c r="U892" i="18" s="1"/>
  <c r="V892" i="18" s="1"/>
  <c r="R72" i="18"/>
  <c r="S72" i="18" s="1"/>
  <c r="U72" i="18" s="1"/>
  <c r="V72" i="18" s="1"/>
  <c r="R850" i="18"/>
  <c r="S850" i="18" s="1"/>
  <c r="T850" i="18" s="1"/>
  <c r="U553" i="18"/>
  <c r="V553" i="18" s="1"/>
  <c r="R989" i="18"/>
  <c r="S989" i="18" s="1"/>
  <c r="R858" i="18"/>
  <c r="S858" i="18" s="1"/>
  <c r="U858" i="18" s="1"/>
  <c r="V858" i="18" s="1"/>
  <c r="R1052" i="18"/>
  <c r="S1052" i="18" s="1"/>
  <c r="U1052" i="18" s="1"/>
  <c r="V1052" i="18" s="1"/>
  <c r="R128" i="18"/>
  <c r="S128" i="18" s="1"/>
  <c r="T128" i="18" s="1"/>
  <c r="R667" i="18"/>
  <c r="S667" i="18" s="1"/>
  <c r="T667" i="18" s="1"/>
  <c r="T21" i="18"/>
  <c r="U21" i="18"/>
  <c r="V21" i="18" s="1"/>
  <c r="R1042" i="18"/>
  <c r="S1042" i="18" s="1"/>
  <c r="T1042" i="18" s="1"/>
  <c r="R628" i="18"/>
  <c r="S628" i="18" s="1"/>
  <c r="U628" i="18" s="1"/>
  <c r="V628" i="18" s="1"/>
  <c r="R986" i="18"/>
  <c r="S986" i="18" s="1"/>
  <c r="U986" i="18" s="1"/>
  <c r="V986" i="18" s="1"/>
  <c r="T245" i="18"/>
  <c r="R570" i="18"/>
  <c r="S570" i="18" s="1"/>
  <c r="T570" i="18" s="1"/>
  <c r="R40" i="18"/>
  <c r="S40" i="18" s="1"/>
  <c r="T40" i="18" s="1"/>
  <c r="R520" i="18"/>
  <c r="S520" i="18" s="1"/>
  <c r="R987" i="18"/>
  <c r="S987" i="18" s="1"/>
  <c r="T987" i="18" s="1"/>
  <c r="R424" i="18"/>
  <c r="S424" i="18" s="1"/>
  <c r="U424" i="18" s="1"/>
  <c r="V424" i="18" s="1"/>
  <c r="T405" i="18"/>
  <c r="R764" i="18"/>
  <c r="S764" i="18" s="1"/>
  <c r="U764" i="18" s="1"/>
  <c r="V764" i="18" s="1"/>
  <c r="R288" i="18"/>
  <c r="S288" i="18" s="1"/>
  <c r="U288" i="18" s="1"/>
  <c r="V288" i="18" s="1"/>
  <c r="R232" i="18"/>
  <c r="S232" i="18" s="1"/>
  <c r="T232" i="18" s="1"/>
  <c r="R392" i="18"/>
  <c r="S392" i="18" s="1"/>
  <c r="U392" i="18" s="1"/>
  <c r="V392" i="18" s="1"/>
  <c r="R192" i="18"/>
  <c r="S192" i="18" s="1"/>
  <c r="U192" i="18" s="1"/>
  <c r="V192" i="18" s="1"/>
  <c r="R978" i="18"/>
  <c r="S978" i="18" s="1"/>
  <c r="U978" i="18" s="1"/>
  <c r="V978" i="18" s="1"/>
  <c r="R1044" i="18"/>
  <c r="S1044" i="18" s="1"/>
  <c r="U1044" i="18" s="1"/>
  <c r="V1044" i="18" s="1"/>
  <c r="R104" i="18"/>
  <c r="S104" i="18" s="1"/>
  <c r="U104" i="18" s="1"/>
  <c r="V104" i="18" s="1"/>
  <c r="R637" i="18"/>
  <c r="S637" i="18" s="1"/>
  <c r="U637" i="18" s="1"/>
  <c r="V637" i="18" s="1"/>
  <c r="R629" i="18"/>
  <c r="S629" i="18" s="1"/>
  <c r="T629" i="18" s="1"/>
  <c r="R1012" i="18"/>
  <c r="S1012" i="18" s="1"/>
  <c r="U1012" i="18" s="1"/>
  <c r="V1012" i="18" s="1"/>
  <c r="R786" i="18"/>
  <c r="S786" i="18" s="1"/>
  <c r="U786" i="18" s="1"/>
  <c r="V786" i="18" s="1"/>
  <c r="T309" i="18"/>
  <c r="T117" i="18"/>
  <c r="R763" i="18"/>
  <c r="S763" i="18" s="1"/>
  <c r="U763" i="18" s="1"/>
  <c r="V763" i="18" s="1"/>
  <c r="R698" i="18"/>
  <c r="S698" i="18" s="1"/>
  <c r="T698" i="18" s="1"/>
  <c r="R1050" i="18"/>
  <c r="S1050" i="18" s="1"/>
  <c r="T1050" i="18" s="1"/>
  <c r="R563" i="18"/>
  <c r="S563" i="18" s="1"/>
  <c r="T563" i="18" s="1"/>
  <c r="T938" i="18"/>
  <c r="R691" i="18"/>
  <c r="S691" i="18" s="1"/>
  <c r="U691" i="18" s="1"/>
  <c r="V691" i="18" s="1"/>
  <c r="R725" i="18"/>
  <c r="S725" i="18" s="1"/>
  <c r="U725" i="18" s="1"/>
  <c r="V725" i="18" s="1"/>
  <c r="R565" i="18"/>
  <c r="S565" i="18" s="1"/>
  <c r="U565" i="18" s="1"/>
  <c r="V565" i="18" s="1"/>
  <c r="R882" i="18"/>
  <c r="S882" i="18" s="1"/>
  <c r="U882" i="18" s="1"/>
  <c r="V882" i="18" s="1"/>
  <c r="R456" i="18"/>
  <c r="S456" i="18" s="1"/>
  <c r="U456" i="18" s="1"/>
  <c r="V456" i="18" s="1"/>
  <c r="R669" i="18"/>
  <c r="S669" i="18" s="1"/>
  <c r="T669" i="18" s="1"/>
  <c r="R594" i="18"/>
  <c r="S594" i="18" s="1"/>
  <c r="T594" i="18" s="1"/>
  <c r="R634" i="18"/>
  <c r="S634" i="18" s="1"/>
  <c r="U634" i="18" s="1"/>
  <c r="V634" i="18" s="1"/>
  <c r="R360" i="18"/>
  <c r="S360" i="18" s="1"/>
  <c r="U360" i="18" s="1"/>
  <c r="V360" i="18" s="1"/>
  <c r="R666" i="18"/>
  <c r="S666" i="18" s="1"/>
  <c r="U666" i="18" s="1"/>
  <c r="V666" i="18" s="1"/>
  <c r="R754" i="18"/>
  <c r="S754" i="18" s="1"/>
  <c r="U754" i="18" s="1"/>
  <c r="V754" i="18" s="1"/>
  <c r="E194" i="5"/>
  <c r="U1032" i="18" l="1"/>
  <c r="V1032" i="18" s="1"/>
  <c r="T1032" i="18"/>
  <c r="U616" i="18"/>
  <c r="V616" i="18" s="1"/>
  <c r="U776" i="18"/>
  <c r="V776" i="18" s="1"/>
  <c r="T776" i="18"/>
  <c r="T1033" i="18"/>
  <c r="R461" i="18"/>
  <c r="S461" i="18" s="1"/>
  <c r="U461" i="18" s="1"/>
  <c r="V461" i="18" s="1"/>
  <c r="T970" i="18"/>
  <c r="T680" i="18"/>
  <c r="T810" i="18"/>
  <c r="T712" i="18"/>
  <c r="T745" i="18"/>
  <c r="U807" i="18"/>
  <c r="V807" i="18" s="1"/>
  <c r="T873" i="18"/>
  <c r="U1034" i="18"/>
  <c r="V1034" i="18" s="1"/>
  <c r="T617" i="18"/>
  <c r="U905" i="18"/>
  <c r="V905" i="18" s="1"/>
  <c r="U681" i="18"/>
  <c r="V681" i="18" s="1"/>
  <c r="U1001" i="18"/>
  <c r="V1001" i="18" s="1"/>
  <c r="T872" i="18"/>
  <c r="T841" i="18"/>
  <c r="U618" i="18"/>
  <c r="V618" i="18" s="1"/>
  <c r="T618" i="18"/>
  <c r="T842" i="18"/>
  <c r="U470" i="18"/>
  <c r="V470" i="18" s="1"/>
  <c r="T936" i="18"/>
  <c r="T1031" i="18"/>
  <c r="T967" i="18"/>
  <c r="T586" i="18"/>
  <c r="T744" i="18"/>
  <c r="T775" i="18"/>
  <c r="T840" i="18"/>
  <c r="T777" i="18"/>
  <c r="T968" i="18"/>
  <c r="U551" i="18"/>
  <c r="V551" i="18" s="1"/>
  <c r="T809" i="18"/>
  <c r="T679" i="18"/>
  <c r="U937" i="18"/>
  <c r="V937" i="18" s="1"/>
  <c r="T937" i="18"/>
  <c r="U713" i="18"/>
  <c r="V713" i="18" s="1"/>
  <c r="T682" i="18"/>
  <c r="U743" i="18"/>
  <c r="V743" i="18" s="1"/>
  <c r="U584" i="18"/>
  <c r="V584" i="18" s="1"/>
  <c r="U969" i="18"/>
  <c r="V969" i="18" s="1"/>
  <c r="T874" i="18"/>
  <c r="U647" i="18"/>
  <c r="V647" i="18" s="1"/>
  <c r="U711" i="18"/>
  <c r="V711" i="18" s="1"/>
  <c r="S265" i="18"/>
  <c r="U265" i="18" s="1"/>
  <c r="V265" i="18" s="1"/>
  <c r="T714" i="18"/>
  <c r="U648" i="18"/>
  <c r="V648" i="18" s="1"/>
  <c r="T935" i="18"/>
  <c r="T999" i="18"/>
  <c r="T808" i="18"/>
  <c r="R1025" i="18"/>
  <c r="S1025" i="18" s="1"/>
  <c r="U1025" i="18" s="1"/>
  <c r="V1025" i="18" s="1"/>
  <c r="R46" i="18"/>
  <c r="S46" i="18" s="1"/>
  <c r="U46" i="18" s="1"/>
  <c r="V46" i="18" s="1"/>
  <c r="U650" i="18"/>
  <c r="V650" i="18" s="1"/>
  <c r="T650" i="18"/>
  <c r="U216" i="18"/>
  <c r="V216" i="18" s="1"/>
  <c r="U310" i="18"/>
  <c r="V310" i="18" s="1"/>
  <c r="T247" i="18"/>
  <c r="R333" i="18"/>
  <c r="S333" i="18" s="1"/>
  <c r="T333" i="18" s="1"/>
  <c r="R208" i="18"/>
  <c r="S208" i="18" s="1"/>
  <c r="U208" i="18" s="1"/>
  <c r="V208" i="18" s="1"/>
  <c r="T972" i="18"/>
  <c r="U973" i="18"/>
  <c r="V973" i="18" s="1"/>
  <c r="R48" i="18"/>
  <c r="S48" i="18" s="1"/>
  <c r="U48" i="18" s="1"/>
  <c r="V48" i="18" s="1"/>
  <c r="T589" i="18"/>
  <c r="R269" i="18"/>
  <c r="S269" i="18" s="1"/>
  <c r="U269" i="18" s="1"/>
  <c r="V269" i="18" s="1"/>
  <c r="U779" i="18"/>
  <c r="V779" i="18" s="1"/>
  <c r="T588" i="18"/>
  <c r="T939" i="18"/>
  <c r="S513" i="18"/>
  <c r="U513" i="18" s="1"/>
  <c r="V513" i="18" s="1"/>
  <c r="R140" i="18"/>
  <c r="S140" i="18" s="1"/>
  <c r="U140" i="18" s="1"/>
  <c r="V140" i="18" s="1"/>
  <c r="T280" i="18"/>
  <c r="S790" i="18"/>
  <c r="T790" i="18" s="1"/>
  <c r="T876" i="18"/>
  <c r="T907" i="18"/>
  <c r="T1036" i="18"/>
  <c r="R302" i="18"/>
  <c r="S302" i="18" s="1"/>
  <c r="U302" i="18" s="1"/>
  <c r="V302" i="18" s="1"/>
  <c r="T23" i="18"/>
  <c r="U780" i="18"/>
  <c r="V780" i="18" s="1"/>
  <c r="T780" i="18"/>
  <c r="T621" i="18"/>
  <c r="T716" i="18"/>
  <c r="R496" i="18"/>
  <c r="S496" i="18" s="1"/>
  <c r="U496" i="18" s="1"/>
  <c r="V496" i="18" s="1"/>
  <c r="R270" i="18"/>
  <c r="S270" i="18" s="1"/>
  <c r="U270" i="18" s="1"/>
  <c r="V270" i="18" s="1"/>
  <c r="R527" i="18"/>
  <c r="S527" i="18" s="1"/>
  <c r="U527" i="18" s="1"/>
  <c r="V527" i="18" s="1"/>
  <c r="R145" i="18"/>
  <c r="S145" i="18" s="1"/>
  <c r="U145" i="18" s="1"/>
  <c r="V145" i="18" s="1"/>
  <c r="T651" i="18"/>
  <c r="R494" i="18"/>
  <c r="S494" i="18" s="1"/>
  <c r="U494" i="18" s="1"/>
  <c r="V494" i="18" s="1"/>
  <c r="S105" i="18"/>
  <c r="U105" i="18" s="1"/>
  <c r="V105" i="18" s="1"/>
  <c r="T685" i="18"/>
  <c r="U685" i="18"/>
  <c r="V685" i="18" s="1"/>
  <c r="R240" i="18"/>
  <c r="S240" i="18" s="1"/>
  <c r="T240" i="18" s="1"/>
  <c r="U908" i="18"/>
  <c r="V908" i="18" s="1"/>
  <c r="T811" i="18"/>
  <c r="S926" i="18"/>
  <c r="U926" i="18" s="1"/>
  <c r="V926" i="18" s="1"/>
  <c r="R335" i="18"/>
  <c r="S335" i="18" s="1"/>
  <c r="T335" i="18" s="1"/>
  <c r="T1038" i="18"/>
  <c r="R44" i="18"/>
  <c r="S44" i="18" s="1"/>
  <c r="T44" i="18" s="1"/>
  <c r="R301" i="18"/>
  <c r="S301" i="18" s="1"/>
  <c r="U301" i="18" s="1"/>
  <c r="V301" i="18" s="1"/>
  <c r="T653" i="18"/>
  <c r="T318" i="18"/>
  <c r="T748" i="18"/>
  <c r="R433" i="18"/>
  <c r="S433" i="18" s="1"/>
  <c r="U433" i="18" s="1"/>
  <c r="V433" i="18" s="1"/>
  <c r="R171" i="18"/>
  <c r="S171" i="18" s="1"/>
  <c r="T171" i="18" s="1"/>
  <c r="R529" i="18"/>
  <c r="S529" i="18" s="1"/>
  <c r="T529" i="18" s="1"/>
  <c r="R769" i="18"/>
  <c r="S769" i="18" s="1"/>
  <c r="T769" i="18" s="1"/>
  <c r="R49" i="18"/>
  <c r="S49" i="18" s="1"/>
  <c r="T49" i="18" s="1"/>
  <c r="R272" i="18"/>
  <c r="S272" i="18" s="1"/>
  <c r="U272" i="18" s="1"/>
  <c r="V272" i="18" s="1"/>
  <c r="R399" i="18"/>
  <c r="S399" i="18" s="1"/>
  <c r="U399" i="18" s="1"/>
  <c r="V399" i="18" s="1"/>
  <c r="S169" i="18"/>
  <c r="U169" i="18" s="1"/>
  <c r="V169" i="18" s="1"/>
  <c r="R525" i="18"/>
  <c r="S525" i="18" s="1"/>
  <c r="U525" i="18" s="1"/>
  <c r="V525" i="18" s="1"/>
  <c r="R738" i="18"/>
  <c r="S738" i="18" s="1"/>
  <c r="U738" i="18" s="1"/>
  <c r="V738" i="18" s="1"/>
  <c r="R303" i="18"/>
  <c r="S303" i="18" s="1"/>
  <c r="U303" i="18" s="1"/>
  <c r="V303" i="18" s="1"/>
  <c r="R832" i="18"/>
  <c r="S832" i="18" s="1"/>
  <c r="T832" i="18" s="1"/>
  <c r="T620" i="18"/>
  <c r="R112" i="18"/>
  <c r="S112" i="18" s="1"/>
  <c r="U112" i="18" s="1"/>
  <c r="V112" i="18" s="1"/>
  <c r="R528" i="18"/>
  <c r="S528" i="18" s="1"/>
  <c r="U528" i="18" s="1"/>
  <c r="V528" i="18" s="1"/>
  <c r="R332" i="18"/>
  <c r="S332" i="18" s="1"/>
  <c r="U332" i="18" s="1"/>
  <c r="V332" i="18" s="1"/>
  <c r="U683" i="18"/>
  <c r="V683" i="18" s="1"/>
  <c r="U877" i="18"/>
  <c r="V877" i="18" s="1"/>
  <c r="T877" i="18"/>
  <c r="R523" i="18"/>
  <c r="S523" i="18" s="1"/>
  <c r="U523" i="18" s="1"/>
  <c r="V523" i="18" s="1"/>
  <c r="S521" i="18"/>
  <c r="T521" i="18" s="1"/>
  <c r="T652" i="18"/>
  <c r="R868" i="18"/>
  <c r="S868" i="18" s="1"/>
  <c r="U868" i="18" s="1"/>
  <c r="V868" i="18" s="1"/>
  <c r="R644" i="18"/>
  <c r="S644" i="18" s="1"/>
  <c r="T644" i="18" s="1"/>
  <c r="T54" i="18"/>
  <c r="R241" i="18"/>
  <c r="S241" i="18" s="1"/>
  <c r="U241" i="18" s="1"/>
  <c r="V241" i="18" s="1"/>
  <c r="U715" i="18"/>
  <c r="V715" i="18" s="1"/>
  <c r="T715" i="18"/>
  <c r="R397" i="18"/>
  <c r="S397" i="18" s="1"/>
  <c r="T397" i="18" s="1"/>
  <c r="T557" i="18"/>
  <c r="R336" i="18"/>
  <c r="S336" i="18" s="1"/>
  <c r="U336" i="18" s="1"/>
  <c r="V336" i="18" s="1"/>
  <c r="R207" i="18"/>
  <c r="S207" i="18" s="1"/>
  <c r="U207" i="18" s="1"/>
  <c r="V207" i="18" s="1"/>
  <c r="T814" i="18"/>
  <c r="T971" i="18"/>
  <c r="U558" i="18"/>
  <c r="V558" i="18" s="1"/>
  <c r="R337" i="18"/>
  <c r="S337" i="18" s="1"/>
  <c r="U337" i="18" s="1"/>
  <c r="V337" i="18" s="1"/>
  <c r="T750" i="18"/>
  <c r="S1022" i="18"/>
  <c r="U1022" i="18" s="1"/>
  <c r="V1022" i="18" s="1"/>
  <c r="R524" i="18"/>
  <c r="S524" i="18" s="1"/>
  <c r="U524" i="18" s="1"/>
  <c r="V524" i="18" s="1"/>
  <c r="U56" i="18"/>
  <c r="V56" i="18" s="1"/>
  <c r="S694" i="18"/>
  <c r="U694" i="18" s="1"/>
  <c r="V694" i="18" s="1"/>
  <c r="R110" i="18"/>
  <c r="S110" i="18" s="1"/>
  <c r="U110" i="18" s="1"/>
  <c r="V110" i="18" s="1"/>
  <c r="R236" i="18"/>
  <c r="S236" i="18" s="1"/>
  <c r="U236" i="18" s="1"/>
  <c r="V236" i="18" s="1"/>
  <c r="R395" i="18"/>
  <c r="S395" i="18" s="1"/>
  <c r="T395" i="18" s="1"/>
  <c r="R614" i="18"/>
  <c r="S614" i="18" s="1"/>
  <c r="U614" i="18" s="1"/>
  <c r="V614" i="18" s="1"/>
  <c r="S566" i="18"/>
  <c r="T566" i="18" s="1"/>
  <c r="R580" i="18"/>
  <c r="S580" i="18" s="1"/>
  <c r="U580" i="18" s="1"/>
  <c r="V580" i="18" s="1"/>
  <c r="U875" i="18"/>
  <c r="V875" i="18" s="1"/>
  <c r="T502" i="18"/>
  <c r="T717" i="18"/>
  <c r="S662" i="18"/>
  <c r="U662" i="18" s="1"/>
  <c r="V662" i="18" s="1"/>
  <c r="R113" i="18"/>
  <c r="S113" i="18" s="1"/>
  <c r="U113" i="18" s="1"/>
  <c r="V113" i="18" s="1"/>
  <c r="U843" i="18"/>
  <c r="V843" i="18" s="1"/>
  <c r="T843" i="18"/>
  <c r="U1037" i="18"/>
  <c r="V1037" i="18" s="1"/>
  <c r="T1037" i="18"/>
  <c r="U281" i="18"/>
  <c r="V281" i="18" s="1"/>
  <c r="R334" i="18"/>
  <c r="S334" i="18" s="1"/>
  <c r="U334" i="18" s="1"/>
  <c r="V334" i="18" s="1"/>
  <c r="U556" i="18"/>
  <c r="V556" i="18" s="1"/>
  <c r="S630" i="18"/>
  <c r="U630" i="18" s="1"/>
  <c r="V630" i="18" s="1"/>
  <c r="R493" i="18"/>
  <c r="S493" i="18" s="1"/>
  <c r="U493" i="18" s="1"/>
  <c r="V493" i="18" s="1"/>
  <c r="T94" i="18"/>
  <c r="R898" i="18"/>
  <c r="S898" i="18" s="1"/>
  <c r="U898" i="18" s="1"/>
  <c r="V898" i="18" s="1"/>
  <c r="S73" i="18"/>
  <c r="U73" i="18" s="1"/>
  <c r="V73" i="18" s="1"/>
  <c r="T278" i="18"/>
  <c r="R1026" i="18"/>
  <c r="S1026" i="18" s="1"/>
  <c r="U1026" i="18" s="1"/>
  <c r="V1026" i="18" s="1"/>
  <c r="U812" i="18"/>
  <c r="V812" i="18" s="1"/>
  <c r="R678" i="18"/>
  <c r="S678" i="18" s="1"/>
  <c r="T678" i="18" s="1"/>
  <c r="T1004" i="18"/>
  <c r="R1060" i="18"/>
  <c r="S1060" i="18" s="1"/>
  <c r="R804" i="18"/>
  <c r="S804" i="18" s="1"/>
  <c r="U804" i="18" s="1"/>
  <c r="V804" i="18" s="1"/>
  <c r="S1046" i="18"/>
  <c r="U1046" i="18" s="1"/>
  <c r="V1046" i="18" s="1"/>
  <c r="R610" i="18"/>
  <c r="S610" i="18" s="1"/>
  <c r="U610" i="18" s="1"/>
  <c r="V610" i="18" s="1"/>
  <c r="R900" i="18"/>
  <c r="S900" i="18" s="1"/>
  <c r="U900" i="18" s="1"/>
  <c r="V900" i="18" s="1"/>
  <c r="S97" i="18"/>
  <c r="U97" i="18" s="1"/>
  <c r="V97" i="18" s="1"/>
  <c r="S758" i="18"/>
  <c r="U758" i="18" s="1"/>
  <c r="V758" i="18" s="1"/>
  <c r="T343" i="18"/>
  <c r="S990" i="18"/>
  <c r="U990" i="18" s="1"/>
  <c r="V990" i="18" s="1"/>
  <c r="T684" i="18"/>
  <c r="U1003" i="18"/>
  <c r="V1003" i="18" s="1"/>
  <c r="T120" i="18"/>
  <c r="U120" i="18"/>
  <c r="V120" i="18" s="1"/>
  <c r="T1005" i="18"/>
  <c r="T555" i="18"/>
  <c r="R705" i="18"/>
  <c r="S705" i="18" s="1"/>
  <c r="T705" i="18" s="1"/>
  <c r="S734" i="18"/>
  <c r="T734" i="18" s="1"/>
  <c r="S830" i="18"/>
  <c r="U830" i="18" s="1"/>
  <c r="V830" i="18" s="1"/>
  <c r="R1056" i="18"/>
  <c r="S1056" i="18" s="1"/>
  <c r="U1056" i="18" s="1"/>
  <c r="V1056" i="18" s="1"/>
  <c r="R901" i="18"/>
  <c r="S901" i="18" s="1"/>
  <c r="U901" i="18" s="1"/>
  <c r="V901" i="18" s="1"/>
  <c r="S726" i="18"/>
  <c r="U726" i="18" s="1"/>
  <c r="V726" i="18" s="1"/>
  <c r="S766" i="18"/>
  <c r="T766" i="18" s="1"/>
  <c r="T846" i="18"/>
  <c r="S161" i="18"/>
  <c r="U161" i="18" s="1"/>
  <c r="V161" i="18" s="1"/>
  <c r="S958" i="18"/>
  <c r="U958" i="18" s="1"/>
  <c r="V958" i="18" s="1"/>
  <c r="U813" i="18"/>
  <c r="V813" i="18" s="1"/>
  <c r="T813" i="18"/>
  <c r="U472" i="18"/>
  <c r="V472" i="18" s="1"/>
  <c r="T472" i="18"/>
  <c r="S1054" i="18"/>
  <c r="U1054" i="18" s="1"/>
  <c r="V1054" i="18" s="1"/>
  <c r="R899" i="18"/>
  <c r="S899" i="18" s="1"/>
  <c r="U899" i="18" s="1"/>
  <c r="V899" i="18" s="1"/>
  <c r="R43" i="18"/>
  <c r="S43" i="18" s="1"/>
  <c r="U43" i="18" s="1"/>
  <c r="V43" i="18" s="1"/>
  <c r="S1014" i="18"/>
  <c r="U1014" i="18" s="1"/>
  <c r="V1014" i="18" s="1"/>
  <c r="S862" i="18"/>
  <c r="U862" i="18" s="1"/>
  <c r="V862" i="18" s="1"/>
  <c r="R961" i="18"/>
  <c r="S961" i="18" s="1"/>
  <c r="U961" i="18" s="1"/>
  <c r="V961" i="18" s="1"/>
  <c r="T505" i="18"/>
  <c r="R799" i="18"/>
  <c r="S799" i="18" s="1"/>
  <c r="U799" i="18" s="1"/>
  <c r="V799" i="18" s="1"/>
  <c r="R863" i="18"/>
  <c r="S863" i="18" s="1"/>
  <c r="T863" i="18" s="1"/>
  <c r="T406" i="18"/>
  <c r="R671" i="18"/>
  <c r="S671" i="18" s="1"/>
  <c r="T671" i="18" s="1"/>
  <c r="T844" i="18"/>
  <c r="T783" i="18"/>
  <c r="S598" i="18"/>
  <c r="U598" i="18" s="1"/>
  <c r="V598" i="18" s="1"/>
  <c r="U311" i="18"/>
  <c r="V311" i="18" s="1"/>
  <c r="T311" i="18"/>
  <c r="R964" i="18"/>
  <c r="S964" i="18" s="1"/>
  <c r="T964" i="18" s="1"/>
  <c r="S894" i="18"/>
  <c r="T894" i="18" s="1"/>
  <c r="R966" i="18"/>
  <c r="S966" i="18" s="1"/>
  <c r="T966" i="18" s="1"/>
  <c r="S886" i="18"/>
  <c r="U886" i="18" s="1"/>
  <c r="V886" i="18" s="1"/>
  <c r="R172" i="18"/>
  <c r="S172" i="18" s="1"/>
  <c r="U172" i="18" s="1"/>
  <c r="V172" i="18" s="1"/>
  <c r="R895" i="18"/>
  <c r="S895" i="18" s="1"/>
  <c r="U895" i="18" s="1"/>
  <c r="V895" i="18" s="1"/>
  <c r="T845" i="18"/>
  <c r="S950" i="18"/>
  <c r="T950" i="18" s="1"/>
  <c r="T781" i="18"/>
  <c r="T587" i="18"/>
  <c r="U55" i="18"/>
  <c r="V55" i="18" s="1"/>
  <c r="R266" i="18"/>
  <c r="S266" i="18" s="1"/>
  <c r="T266" i="18" s="1"/>
  <c r="S930" i="18"/>
  <c r="T930" i="18" s="1"/>
  <c r="S233" i="18"/>
  <c r="T233" i="18" s="1"/>
  <c r="U182" i="18"/>
  <c r="V182" i="18" s="1"/>
  <c r="R579" i="18"/>
  <c r="S579" i="18" s="1"/>
  <c r="T940" i="18"/>
  <c r="S854" i="18"/>
  <c r="U854" i="18" s="1"/>
  <c r="V854" i="18" s="1"/>
  <c r="S606" i="18"/>
  <c r="U606" i="18" s="1"/>
  <c r="V606" i="18" s="1"/>
  <c r="U91" i="18"/>
  <c r="V91" i="18" s="1"/>
  <c r="R109" i="18"/>
  <c r="S109" i="18" s="1"/>
  <c r="U109" i="18" s="1"/>
  <c r="V109" i="18" s="1"/>
  <c r="R271" i="18"/>
  <c r="S271" i="18" s="1"/>
  <c r="U271" i="18" s="1"/>
  <c r="V271" i="18" s="1"/>
  <c r="S982" i="18"/>
  <c r="U982" i="18" s="1"/>
  <c r="V982" i="18" s="1"/>
  <c r="S798" i="18"/>
  <c r="U798" i="18" s="1"/>
  <c r="V798" i="18" s="1"/>
  <c r="U619" i="18"/>
  <c r="V619" i="18" s="1"/>
  <c r="R460" i="18"/>
  <c r="S460" i="18" s="1"/>
  <c r="T460" i="18" s="1"/>
  <c r="S670" i="18"/>
  <c r="U670" i="18" s="1"/>
  <c r="V670" i="18" s="1"/>
  <c r="U440" i="18"/>
  <c r="V440" i="18" s="1"/>
  <c r="R642" i="18"/>
  <c r="S642" i="18" s="1"/>
  <c r="U642" i="18" s="1"/>
  <c r="V642" i="18" s="1"/>
  <c r="R965" i="18"/>
  <c r="S965" i="18" s="1"/>
  <c r="U965" i="18" s="1"/>
  <c r="V965" i="18" s="1"/>
  <c r="U909" i="18"/>
  <c r="V909" i="18" s="1"/>
  <c r="T909" i="18"/>
  <c r="S574" i="18"/>
  <c r="T574" i="18" s="1"/>
  <c r="S702" i="18"/>
  <c r="U702" i="18" s="1"/>
  <c r="V702" i="18" s="1"/>
  <c r="U1035" i="18"/>
  <c r="V1035" i="18" s="1"/>
  <c r="T1035" i="18"/>
  <c r="R741" i="18"/>
  <c r="S741" i="18" s="1"/>
  <c r="S822" i="18"/>
  <c r="U822" i="18" s="1"/>
  <c r="V822" i="18" s="1"/>
  <c r="S638" i="18"/>
  <c r="T638" i="18" s="1"/>
  <c r="T1018" i="18"/>
  <c r="R203" i="18"/>
  <c r="S203" i="18" s="1"/>
  <c r="T203" i="18" s="1"/>
  <c r="T747" i="18"/>
  <c r="U747" i="18"/>
  <c r="V747" i="18" s="1"/>
  <c r="R268" i="18"/>
  <c r="S268" i="18" s="1"/>
  <c r="U268" i="18" s="1"/>
  <c r="V268" i="18" s="1"/>
  <c r="U1006" i="18"/>
  <c r="V1006" i="18" s="1"/>
  <c r="U150" i="18"/>
  <c r="V150" i="18" s="1"/>
  <c r="S918" i="18"/>
  <c r="T918" i="18" s="1"/>
  <c r="U941" i="18"/>
  <c r="V941" i="18" s="1"/>
  <c r="T941" i="18"/>
  <c r="U942" i="18"/>
  <c r="V942" i="18" s="1"/>
  <c r="T942" i="18"/>
  <c r="R896" i="18"/>
  <c r="S896" i="18" s="1"/>
  <c r="U896" i="18" s="1"/>
  <c r="V896" i="18" s="1"/>
  <c r="R836" i="18"/>
  <c r="S836" i="18" s="1"/>
  <c r="U836" i="18" s="1"/>
  <c r="V836" i="18" s="1"/>
  <c r="R993" i="18"/>
  <c r="S993" i="18" s="1"/>
  <c r="U993" i="18" s="1"/>
  <c r="V993" i="18" s="1"/>
  <c r="U749" i="18"/>
  <c r="V749" i="18" s="1"/>
  <c r="T654" i="18"/>
  <c r="R497" i="18"/>
  <c r="S497" i="18" s="1"/>
  <c r="T497" i="18" s="1"/>
  <c r="U88" i="18"/>
  <c r="V88" i="18" s="1"/>
  <c r="S321" i="18"/>
  <c r="T321" i="18" s="1"/>
  <c r="R806" i="18"/>
  <c r="S806" i="18" s="1"/>
  <c r="U806" i="18" s="1"/>
  <c r="V806" i="18" s="1"/>
  <c r="R867" i="18"/>
  <c r="S867" i="18" s="1"/>
  <c r="U867" i="18" s="1"/>
  <c r="V867" i="18" s="1"/>
  <c r="R742" i="18"/>
  <c r="S742" i="18" s="1"/>
  <c r="U742" i="18" s="1"/>
  <c r="V742" i="18" s="1"/>
  <c r="R607" i="18"/>
  <c r="S607" i="18" s="1"/>
  <c r="T607" i="18" s="1"/>
  <c r="R677" i="18"/>
  <c r="S677" i="18" s="1"/>
  <c r="R676" i="18"/>
  <c r="S676" i="18" s="1"/>
  <c r="R582" i="18"/>
  <c r="S582" i="18" s="1"/>
  <c r="U582" i="18" s="1"/>
  <c r="V582" i="18" s="1"/>
  <c r="R613" i="18"/>
  <c r="S613" i="18" s="1"/>
  <c r="U613" i="18" s="1"/>
  <c r="V613" i="18" s="1"/>
  <c r="R577" i="18"/>
  <c r="S577" i="18" s="1"/>
  <c r="T577" i="18" s="1"/>
  <c r="R612" i="18"/>
  <c r="S612" i="18" s="1"/>
  <c r="U612" i="18" s="1"/>
  <c r="V612" i="18" s="1"/>
  <c r="U215" i="18"/>
  <c r="V215" i="18" s="1"/>
  <c r="T215" i="18"/>
  <c r="T286" i="18"/>
  <c r="U286" i="18"/>
  <c r="V286" i="18" s="1"/>
  <c r="U183" i="18"/>
  <c r="V183" i="18" s="1"/>
  <c r="T376" i="18"/>
  <c r="R996" i="18"/>
  <c r="S996" i="18" s="1"/>
  <c r="U996" i="18" s="1"/>
  <c r="V996" i="18" s="1"/>
  <c r="R643" i="18"/>
  <c r="S643" i="18" s="1"/>
  <c r="U643" i="18" s="1"/>
  <c r="V643" i="18" s="1"/>
  <c r="U70" i="18"/>
  <c r="V70" i="18" s="1"/>
  <c r="T344" i="18"/>
  <c r="U87" i="18"/>
  <c r="V87" i="18" s="1"/>
  <c r="R400" i="18"/>
  <c r="S400" i="18" s="1"/>
  <c r="T24" i="18"/>
  <c r="U24" i="18"/>
  <c r="V24" i="18" s="1"/>
  <c r="U718" i="18"/>
  <c r="V718" i="18" s="1"/>
  <c r="T718" i="18"/>
  <c r="T326" i="18"/>
  <c r="T184" i="18"/>
  <c r="R992" i="18"/>
  <c r="S992" i="18" s="1"/>
  <c r="T992" i="18" s="1"/>
  <c r="R429" i="18"/>
  <c r="S429" i="18" s="1"/>
  <c r="U429" i="18" s="1"/>
  <c r="V429" i="18" s="1"/>
  <c r="S225" i="18"/>
  <c r="T225" i="18" s="1"/>
  <c r="R869" i="18"/>
  <c r="S869" i="18" s="1"/>
  <c r="U869" i="18" s="1"/>
  <c r="V869" i="18" s="1"/>
  <c r="R897" i="18"/>
  <c r="S897" i="18" s="1"/>
  <c r="U897" i="18" s="1"/>
  <c r="V897" i="18" s="1"/>
  <c r="T118" i="18"/>
  <c r="U313" i="18"/>
  <c r="V313" i="18" s="1"/>
  <c r="R870" i="18"/>
  <c r="S870" i="18" s="1"/>
  <c r="U870" i="18" s="1"/>
  <c r="V870" i="18" s="1"/>
  <c r="U686" i="18"/>
  <c r="V686" i="18" s="1"/>
  <c r="T686" i="18"/>
  <c r="S65" i="18"/>
  <c r="U65" i="18" s="1"/>
  <c r="V65" i="18" s="1"/>
  <c r="R865" i="18"/>
  <c r="S865" i="18" s="1"/>
  <c r="R645" i="18"/>
  <c r="S645" i="18" s="1"/>
  <c r="R767" i="18"/>
  <c r="S767" i="18" s="1"/>
  <c r="T767" i="18" s="1"/>
  <c r="R106" i="18"/>
  <c r="S106" i="18" s="1"/>
  <c r="T106" i="18" s="1"/>
  <c r="T408" i="18"/>
  <c r="U375" i="18"/>
  <c r="V375" i="18" s="1"/>
  <c r="R997" i="18"/>
  <c r="S997" i="18" s="1"/>
  <c r="U997" i="18" s="1"/>
  <c r="V997" i="18" s="1"/>
  <c r="R800" i="18"/>
  <c r="S800" i="18" s="1"/>
  <c r="U800" i="18" s="1"/>
  <c r="V800" i="18" s="1"/>
  <c r="T471" i="18"/>
  <c r="R491" i="18"/>
  <c r="S491" i="18" s="1"/>
  <c r="U491" i="18" s="1"/>
  <c r="V491" i="18" s="1"/>
  <c r="R740" i="18"/>
  <c r="S740" i="18" s="1"/>
  <c r="U740" i="18" s="1"/>
  <c r="V740" i="18" s="1"/>
  <c r="T312" i="18"/>
  <c r="S129" i="18"/>
  <c r="U129" i="18" s="1"/>
  <c r="V129" i="18" s="1"/>
  <c r="R674" i="18"/>
  <c r="S674" i="18" s="1"/>
  <c r="T674" i="18" s="1"/>
  <c r="R1059" i="18"/>
  <c r="S1059" i="18" s="1"/>
  <c r="U1059" i="18" s="1"/>
  <c r="V1059" i="18" s="1"/>
  <c r="R772" i="18"/>
  <c r="S772" i="18" s="1"/>
  <c r="U772" i="18" s="1"/>
  <c r="V772" i="18" s="1"/>
  <c r="R369" i="18"/>
  <c r="S369" i="18" s="1"/>
  <c r="R801" i="18"/>
  <c r="S801" i="18" s="1"/>
  <c r="U801" i="18" s="1"/>
  <c r="V801" i="18" s="1"/>
  <c r="R709" i="18"/>
  <c r="S709" i="18" s="1"/>
  <c r="U121" i="18"/>
  <c r="V121" i="18" s="1"/>
  <c r="T121" i="18"/>
  <c r="U248" i="18"/>
  <c r="V248" i="18" s="1"/>
  <c r="T248" i="18"/>
  <c r="R141" i="18"/>
  <c r="S141" i="18" s="1"/>
  <c r="U141" i="18" s="1"/>
  <c r="V141" i="18" s="1"/>
  <c r="R704" i="18"/>
  <c r="S704" i="18" s="1"/>
  <c r="U974" i="18"/>
  <c r="V974" i="18" s="1"/>
  <c r="R773" i="18"/>
  <c r="S773" i="18" s="1"/>
  <c r="U773" i="18" s="1"/>
  <c r="V773" i="18" s="1"/>
  <c r="R1062" i="18"/>
  <c r="S1062" i="18" s="1"/>
  <c r="U1062" i="18" s="1"/>
  <c r="V1062" i="18" s="1"/>
  <c r="R927" i="18"/>
  <c r="S927" i="18" s="1"/>
  <c r="U927" i="18" s="1"/>
  <c r="V927" i="18" s="1"/>
  <c r="R673" i="18"/>
  <c r="S673" i="18" s="1"/>
  <c r="U673" i="18" s="1"/>
  <c r="V673" i="18" s="1"/>
  <c r="R928" i="18"/>
  <c r="S928" i="18" s="1"/>
  <c r="U928" i="18" s="1"/>
  <c r="V928" i="18" s="1"/>
  <c r="S457" i="18"/>
  <c r="T457" i="18" s="1"/>
  <c r="R1057" i="18"/>
  <c r="S1057" i="18" s="1"/>
  <c r="U1057" i="18" s="1"/>
  <c r="V1057" i="18" s="1"/>
  <c r="R994" i="18"/>
  <c r="S994" i="18" s="1"/>
  <c r="U994" i="18" s="1"/>
  <c r="V994" i="18" s="1"/>
  <c r="R834" i="18"/>
  <c r="S834" i="18" s="1"/>
  <c r="T834" i="18" s="1"/>
  <c r="T910" i="18"/>
  <c r="S393" i="18"/>
  <c r="U393" i="18" s="1"/>
  <c r="V393" i="18" s="1"/>
  <c r="U217" i="18"/>
  <c r="V217" i="18" s="1"/>
  <c r="T217" i="18"/>
  <c r="U89" i="18"/>
  <c r="V89" i="18" s="1"/>
  <c r="T89" i="18"/>
  <c r="R492" i="18"/>
  <c r="S492" i="18" s="1"/>
  <c r="U492" i="18" s="1"/>
  <c r="V492" i="18" s="1"/>
  <c r="R991" i="18"/>
  <c r="S991" i="18" s="1"/>
  <c r="T503" i="18"/>
  <c r="S385" i="18"/>
  <c r="U385" i="18" s="1"/>
  <c r="V385" i="18" s="1"/>
  <c r="R710" i="18"/>
  <c r="S710" i="18" s="1"/>
  <c r="T710" i="18" s="1"/>
  <c r="R396" i="18"/>
  <c r="S396" i="18" s="1"/>
  <c r="S449" i="18"/>
  <c r="U449" i="18" s="1"/>
  <c r="V449" i="18" s="1"/>
  <c r="R959" i="18"/>
  <c r="S959" i="18" s="1"/>
  <c r="T959" i="18" s="1"/>
  <c r="R675" i="18"/>
  <c r="S675" i="18" s="1"/>
  <c r="R902" i="18"/>
  <c r="S902" i="18" s="1"/>
  <c r="U902" i="18" s="1"/>
  <c r="V902" i="18" s="1"/>
  <c r="S33" i="18"/>
  <c r="U33" i="18" s="1"/>
  <c r="V33" i="18" s="1"/>
  <c r="S417" i="18"/>
  <c r="U417" i="18" s="1"/>
  <c r="V417" i="18" s="1"/>
  <c r="S489" i="18"/>
  <c r="U489" i="18" s="1"/>
  <c r="V489" i="18" s="1"/>
  <c r="S481" i="18"/>
  <c r="U481" i="18" s="1"/>
  <c r="V481" i="18" s="1"/>
  <c r="T86" i="18"/>
  <c r="S257" i="18"/>
  <c r="U257" i="18" s="1"/>
  <c r="V257" i="18" s="1"/>
  <c r="T374" i="18"/>
  <c r="T409" i="18"/>
  <c r="R608" i="18"/>
  <c r="S608" i="18" s="1"/>
  <c r="R641" i="18"/>
  <c r="S641" i="18" s="1"/>
  <c r="U641" i="18" s="1"/>
  <c r="V641" i="18" s="1"/>
  <c r="R771" i="18"/>
  <c r="S771" i="18" s="1"/>
  <c r="T771" i="18" s="1"/>
  <c r="R581" i="18"/>
  <c r="S581" i="18" s="1"/>
  <c r="T581" i="18" s="1"/>
  <c r="T438" i="18"/>
  <c r="R331" i="18"/>
  <c r="S331" i="18" s="1"/>
  <c r="T246" i="18"/>
  <c r="T439" i="18"/>
  <c r="T981" i="18"/>
  <c r="R672" i="18"/>
  <c r="S672" i="18" s="1"/>
  <c r="U672" i="18" s="1"/>
  <c r="V672" i="18" s="1"/>
  <c r="T127" i="18"/>
  <c r="T407" i="18"/>
  <c r="U407" i="18"/>
  <c r="V407" i="18" s="1"/>
  <c r="U590" i="18"/>
  <c r="V590" i="18" s="1"/>
  <c r="T590" i="18"/>
  <c r="T25" i="18"/>
  <c r="R458" i="18"/>
  <c r="S458" i="18" s="1"/>
  <c r="T378" i="18"/>
  <c r="R962" i="18"/>
  <c r="S962" i="18" s="1"/>
  <c r="U962" i="18" s="1"/>
  <c r="V962" i="18" s="1"/>
  <c r="R640" i="18"/>
  <c r="S640" i="18" s="1"/>
  <c r="T640" i="18" s="1"/>
  <c r="R803" i="18"/>
  <c r="S803" i="18" s="1"/>
  <c r="U803" i="18" s="1"/>
  <c r="V803" i="18" s="1"/>
  <c r="R735" i="18"/>
  <c r="S735" i="18" s="1"/>
  <c r="T735" i="18" s="1"/>
  <c r="R932" i="18"/>
  <c r="S932" i="18" s="1"/>
  <c r="R1028" i="18"/>
  <c r="S1028" i="18" s="1"/>
  <c r="R234" i="18"/>
  <c r="S234" i="18" s="1"/>
  <c r="T234" i="18" s="1"/>
  <c r="U622" i="18"/>
  <c r="V622" i="18" s="1"/>
  <c r="T622" i="18"/>
  <c r="U282" i="18"/>
  <c r="V282" i="18" s="1"/>
  <c r="R934" i="18"/>
  <c r="S934" i="18" s="1"/>
  <c r="U815" i="18"/>
  <c r="V815" i="18" s="1"/>
  <c r="R805" i="18"/>
  <c r="S805" i="18" s="1"/>
  <c r="U805" i="18" s="1"/>
  <c r="V805" i="18" s="1"/>
  <c r="R770" i="18"/>
  <c r="S770" i="18" s="1"/>
  <c r="T770" i="18" s="1"/>
  <c r="R76" i="18"/>
  <c r="S76" i="18" s="1"/>
  <c r="U76" i="18" s="1"/>
  <c r="V76" i="18" s="1"/>
  <c r="R708" i="18"/>
  <c r="S708" i="18" s="1"/>
  <c r="T708" i="18" s="1"/>
  <c r="R576" i="18"/>
  <c r="S576" i="18" s="1"/>
  <c r="T576" i="18" s="1"/>
  <c r="S41" i="18"/>
  <c r="U41" i="18" s="1"/>
  <c r="V41" i="18" s="1"/>
  <c r="R401" i="18"/>
  <c r="S401" i="18" s="1"/>
  <c r="T504" i="18"/>
  <c r="T878" i="18"/>
  <c r="R578" i="18"/>
  <c r="S578" i="18" s="1"/>
  <c r="U423" i="18"/>
  <c r="V423" i="18" s="1"/>
  <c r="S193" i="18"/>
  <c r="T193" i="18" s="1"/>
  <c r="R108" i="18"/>
  <c r="S108" i="18" s="1"/>
  <c r="T782" i="18"/>
  <c r="U782" i="18"/>
  <c r="V782" i="18" s="1"/>
  <c r="U659" i="18"/>
  <c r="V659" i="18" s="1"/>
  <c r="R707" i="18"/>
  <c r="S707" i="18" s="1"/>
  <c r="U707" i="18" s="1"/>
  <c r="V707" i="18" s="1"/>
  <c r="R802" i="18"/>
  <c r="S802" i="18" s="1"/>
  <c r="U802" i="18" s="1"/>
  <c r="V802" i="18" s="1"/>
  <c r="R831" i="18"/>
  <c r="S831" i="18" s="1"/>
  <c r="S425" i="18"/>
  <c r="U425" i="18" s="1"/>
  <c r="V425" i="18" s="1"/>
  <c r="R1055" i="18"/>
  <c r="S1055" i="18" s="1"/>
  <c r="U1055" i="18" s="1"/>
  <c r="V1055" i="18" s="1"/>
  <c r="R703" i="18"/>
  <c r="S703" i="18" s="1"/>
  <c r="T703" i="18" s="1"/>
  <c r="S289" i="18"/>
  <c r="U289" i="18" s="1"/>
  <c r="V289" i="18" s="1"/>
  <c r="R79" i="18"/>
  <c r="S79" i="18" s="1"/>
  <c r="U79" i="18" s="1"/>
  <c r="V79" i="18" s="1"/>
  <c r="R866" i="18"/>
  <c r="S866" i="18" s="1"/>
  <c r="T866" i="18" s="1"/>
  <c r="R768" i="18"/>
  <c r="S768" i="18" s="1"/>
  <c r="U768" i="18" s="1"/>
  <c r="V768" i="18" s="1"/>
  <c r="R1061" i="18"/>
  <c r="S1061" i="18" s="1"/>
  <c r="U1061" i="18" s="1"/>
  <c r="V1061" i="18" s="1"/>
  <c r="R833" i="18"/>
  <c r="S833" i="18" s="1"/>
  <c r="R1030" i="18"/>
  <c r="S1030" i="18" s="1"/>
  <c r="T1030" i="18" s="1"/>
  <c r="R929" i="18"/>
  <c r="S929" i="18" s="1"/>
  <c r="T929" i="18" s="1"/>
  <c r="U884" i="18"/>
  <c r="V884" i="18" s="1"/>
  <c r="U57" i="18"/>
  <c r="V57" i="18" s="1"/>
  <c r="R933" i="18"/>
  <c r="S933" i="18" s="1"/>
  <c r="U933" i="18" s="1"/>
  <c r="V933" i="18" s="1"/>
  <c r="R706" i="18"/>
  <c r="S706" i="18" s="1"/>
  <c r="U706" i="18" s="1"/>
  <c r="V706" i="18" s="1"/>
  <c r="R838" i="18"/>
  <c r="S838" i="18" s="1"/>
  <c r="R273" i="18"/>
  <c r="S273" i="18" s="1"/>
  <c r="T152" i="18"/>
  <c r="S297" i="18"/>
  <c r="U297" i="18" s="1"/>
  <c r="V297" i="18" s="1"/>
  <c r="S353" i="18"/>
  <c r="T353" i="18" s="1"/>
  <c r="S137" i="18"/>
  <c r="U137" i="18" s="1"/>
  <c r="V137" i="18" s="1"/>
  <c r="R995" i="18"/>
  <c r="S995" i="18" s="1"/>
  <c r="R736" i="18"/>
  <c r="S736" i="18" s="1"/>
  <c r="T736" i="18" s="1"/>
  <c r="R998" i="18"/>
  <c r="S998" i="18" s="1"/>
  <c r="U998" i="18" s="1"/>
  <c r="V998" i="18" s="1"/>
  <c r="R864" i="18"/>
  <c r="S864" i="18" s="1"/>
  <c r="U864" i="18" s="1"/>
  <c r="V864" i="18" s="1"/>
  <c r="R364" i="18"/>
  <c r="S364" i="18" s="1"/>
  <c r="U364" i="18" s="1"/>
  <c r="V364" i="18" s="1"/>
  <c r="R367" i="18"/>
  <c r="S367" i="18" s="1"/>
  <c r="U367" i="18" s="1"/>
  <c r="V367" i="18" s="1"/>
  <c r="R74" i="18"/>
  <c r="S74" i="18" s="1"/>
  <c r="T74" i="18" s="1"/>
  <c r="R432" i="18"/>
  <c r="S432" i="18" s="1"/>
  <c r="T432" i="18" s="1"/>
  <c r="U342" i="18"/>
  <c r="V342" i="18" s="1"/>
  <c r="T342" i="18"/>
  <c r="S575" i="18"/>
  <c r="T575" i="18" s="1"/>
  <c r="S361" i="18"/>
  <c r="U361" i="18" s="1"/>
  <c r="V361" i="18" s="1"/>
  <c r="R835" i="18"/>
  <c r="S835" i="18" s="1"/>
  <c r="U835" i="18" s="1"/>
  <c r="V835" i="18" s="1"/>
  <c r="R774" i="18"/>
  <c r="S774" i="18" s="1"/>
  <c r="T774" i="18" s="1"/>
  <c r="U661" i="18"/>
  <c r="V661" i="18" s="1"/>
  <c r="R42" i="18"/>
  <c r="S42" i="18" s="1"/>
  <c r="U42" i="18" s="1"/>
  <c r="V42" i="18" s="1"/>
  <c r="R202" i="18"/>
  <c r="S202" i="18" s="1"/>
  <c r="R78" i="18"/>
  <c r="S78" i="18" s="1"/>
  <c r="U78" i="18" s="1"/>
  <c r="V78" i="18" s="1"/>
  <c r="R170" i="18"/>
  <c r="S170" i="18" s="1"/>
  <c r="U170" i="18" s="1"/>
  <c r="V170" i="18" s="1"/>
  <c r="U214" i="18"/>
  <c r="V214" i="18" s="1"/>
  <c r="T214" i="18"/>
  <c r="U944" i="18"/>
  <c r="V944" i="18" s="1"/>
  <c r="R235" i="18"/>
  <c r="S235" i="18" s="1"/>
  <c r="U235" i="18" s="1"/>
  <c r="V235" i="18" s="1"/>
  <c r="R45" i="18"/>
  <c r="S45" i="18" s="1"/>
  <c r="T45" i="18" s="1"/>
  <c r="U119" i="18"/>
  <c r="V119" i="18" s="1"/>
  <c r="T446" i="18"/>
  <c r="T943" i="18"/>
  <c r="R304" i="18"/>
  <c r="S304" i="18" s="1"/>
  <c r="U22" i="18"/>
  <c r="V22" i="18" s="1"/>
  <c r="R142" i="18"/>
  <c r="S142" i="18" s="1"/>
  <c r="T473" i="18"/>
  <c r="R465" i="18"/>
  <c r="S465" i="18" s="1"/>
  <c r="U465" i="18" s="1"/>
  <c r="V465" i="18" s="1"/>
  <c r="R111" i="18"/>
  <c r="S111" i="18" s="1"/>
  <c r="R1024" i="18"/>
  <c r="S1024" i="18" s="1"/>
  <c r="U1024" i="18" s="1"/>
  <c r="V1024" i="18" s="1"/>
  <c r="R611" i="18"/>
  <c r="S611" i="18" s="1"/>
  <c r="U611" i="18" s="1"/>
  <c r="V611" i="18" s="1"/>
  <c r="R739" i="18"/>
  <c r="S739" i="18" s="1"/>
  <c r="U739" i="18" s="1"/>
  <c r="V739" i="18" s="1"/>
  <c r="R960" i="18"/>
  <c r="S960" i="18" s="1"/>
  <c r="U960" i="18" s="1"/>
  <c r="V960" i="18" s="1"/>
  <c r="S201" i="18"/>
  <c r="U201" i="18" s="1"/>
  <c r="V201" i="18" s="1"/>
  <c r="R609" i="18"/>
  <c r="S609" i="18" s="1"/>
  <c r="U609" i="18" s="1"/>
  <c r="V609" i="18" s="1"/>
  <c r="R1029" i="18"/>
  <c r="S1029" i="18" s="1"/>
  <c r="U1029" i="18" s="1"/>
  <c r="V1029" i="18" s="1"/>
  <c r="R963" i="18"/>
  <c r="S963" i="18" s="1"/>
  <c r="U963" i="18" s="1"/>
  <c r="V963" i="18" s="1"/>
  <c r="R837" i="18"/>
  <c r="S837" i="18" s="1"/>
  <c r="T837" i="18" s="1"/>
  <c r="R737" i="18"/>
  <c r="S737" i="18" s="1"/>
  <c r="U737" i="18" s="1"/>
  <c r="V737" i="18" s="1"/>
  <c r="R931" i="18"/>
  <c r="S931" i="18" s="1"/>
  <c r="U931" i="18" s="1"/>
  <c r="V931" i="18" s="1"/>
  <c r="R495" i="18"/>
  <c r="S495" i="18" s="1"/>
  <c r="U495" i="18" s="1"/>
  <c r="V495" i="18" s="1"/>
  <c r="R363" i="18"/>
  <c r="S363" i="18" s="1"/>
  <c r="U363" i="18" s="1"/>
  <c r="V363" i="18" s="1"/>
  <c r="R80" i="18"/>
  <c r="S80" i="18" s="1"/>
  <c r="T80" i="18" s="1"/>
  <c r="R522" i="18"/>
  <c r="S522" i="18" s="1"/>
  <c r="U522" i="18" s="1"/>
  <c r="V522" i="18" s="1"/>
  <c r="R426" i="18"/>
  <c r="S426" i="18" s="1"/>
  <c r="R300" i="18"/>
  <c r="S300" i="18" s="1"/>
  <c r="U300" i="18" s="1"/>
  <c r="V300" i="18" s="1"/>
  <c r="R1023" i="18"/>
  <c r="S1023" i="18" s="1"/>
  <c r="R206" i="18"/>
  <c r="S206" i="18" s="1"/>
  <c r="T206" i="18" s="1"/>
  <c r="R1027" i="18"/>
  <c r="S1027" i="18" s="1"/>
  <c r="R639" i="18"/>
  <c r="S639" i="18" s="1"/>
  <c r="T639" i="18" s="1"/>
  <c r="T345" i="18"/>
  <c r="U185" i="18"/>
  <c r="V185" i="18" s="1"/>
  <c r="R1058" i="18"/>
  <c r="S1058" i="18" s="1"/>
  <c r="U856" i="18"/>
  <c r="V856" i="18" s="1"/>
  <c r="T482" i="18"/>
  <c r="S329" i="18"/>
  <c r="U329" i="18" s="1"/>
  <c r="V329" i="18" s="1"/>
  <c r="U422" i="18"/>
  <c r="V422" i="18" s="1"/>
  <c r="R490" i="18"/>
  <c r="S490" i="18" s="1"/>
  <c r="R646" i="18"/>
  <c r="S646" i="18" s="1"/>
  <c r="U646" i="18" s="1"/>
  <c r="V646" i="18" s="1"/>
  <c r="R431" i="18"/>
  <c r="S431" i="18" s="1"/>
  <c r="U431" i="18" s="1"/>
  <c r="V431" i="18" s="1"/>
  <c r="T153" i="18"/>
  <c r="T151" i="18"/>
  <c r="R204" i="18"/>
  <c r="S204" i="18" s="1"/>
  <c r="U204" i="18" s="1"/>
  <c r="V204" i="18" s="1"/>
  <c r="T452" i="18"/>
  <c r="U279" i="18"/>
  <c r="V279" i="18" s="1"/>
  <c r="T279" i="18"/>
  <c r="R368" i="18"/>
  <c r="S368" i="18" s="1"/>
  <c r="T368" i="18" s="1"/>
  <c r="R267" i="18"/>
  <c r="S267" i="18" s="1"/>
  <c r="U267" i="18" s="1"/>
  <c r="V267" i="18" s="1"/>
  <c r="R430" i="18"/>
  <c r="S430" i="18" s="1"/>
  <c r="T430" i="18" s="1"/>
  <c r="R143" i="18"/>
  <c r="S143" i="18" s="1"/>
  <c r="U143" i="18" s="1"/>
  <c r="V143" i="18" s="1"/>
  <c r="R107" i="18"/>
  <c r="S107" i="18" s="1"/>
  <c r="T107" i="18" s="1"/>
  <c r="R427" i="18"/>
  <c r="S427" i="18" s="1"/>
  <c r="U427" i="18" s="1"/>
  <c r="V427" i="18" s="1"/>
  <c r="R47" i="18"/>
  <c r="S47" i="18" s="1"/>
  <c r="T219" i="18"/>
  <c r="U219" i="18"/>
  <c r="V219" i="18" s="1"/>
  <c r="T787" i="18"/>
  <c r="T756" i="18"/>
  <c r="R330" i="18"/>
  <c r="S330" i="18" s="1"/>
  <c r="R239" i="18"/>
  <c r="S239" i="18" s="1"/>
  <c r="U239" i="18" s="1"/>
  <c r="V239" i="18" s="1"/>
  <c r="R237" i="18"/>
  <c r="S237" i="18" s="1"/>
  <c r="U237" i="18" s="1"/>
  <c r="V237" i="18" s="1"/>
  <c r="R428" i="18"/>
  <c r="S428" i="18" s="1"/>
  <c r="U428" i="18" s="1"/>
  <c r="V428" i="18" s="1"/>
  <c r="R75" i="18"/>
  <c r="S75" i="18" s="1"/>
  <c r="U75" i="18" s="1"/>
  <c r="V75" i="18" s="1"/>
  <c r="R81" i="18"/>
  <c r="S81" i="18" s="1"/>
  <c r="T81" i="18" s="1"/>
  <c r="R298" i="18"/>
  <c r="S298" i="18" s="1"/>
  <c r="T298" i="18" s="1"/>
  <c r="T444" i="18"/>
  <c r="R366" i="18"/>
  <c r="S366" i="18" s="1"/>
  <c r="U366" i="18" s="1"/>
  <c r="V366" i="18" s="1"/>
  <c r="R209" i="18"/>
  <c r="S209" i="18" s="1"/>
  <c r="R464" i="18"/>
  <c r="S464" i="18" s="1"/>
  <c r="U464" i="18" s="1"/>
  <c r="V464" i="18" s="1"/>
  <c r="R144" i="18"/>
  <c r="S144" i="18" s="1"/>
  <c r="U144" i="18" s="1"/>
  <c r="V144" i="18" s="1"/>
  <c r="R394" i="18"/>
  <c r="S394" i="18" s="1"/>
  <c r="T394" i="18" s="1"/>
  <c r="U1045" i="18"/>
  <c r="V1045" i="18" s="1"/>
  <c r="T949" i="18"/>
  <c r="R299" i="18"/>
  <c r="S299" i="18" s="1"/>
  <c r="T299" i="18" s="1"/>
  <c r="R173" i="18"/>
  <c r="S173" i="18" s="1"/>
  <c r="U173" i="18" s="1"/>
  <c r="V173" i="18" s="1"/>
  <c r="R526" i="18"/>
  <c r="S526" i="18" s="1"/>
  <c r="T526" i="18" s="1"/>
  <c r="U29" i="18"/>
  <c r="V29" i="18" s="1"/>
  <c r="R459" i="18"/>
  <c r="S459" i="18" s="1"/>
  <c r="U459" i="18" s="1"/>
  <c r="V459" i="18" s="1"/>
  <c r="R398" i="18"/>
  <c r="S398" i="18" s="1"/>
  <c r="T880" i="18"/>
  <c r="T354" i="18"/>
  <c r="R138" i="18"/>
  <c r="S138" i="18" s="1"/>
  <c r="T138" i="18" s="1"/>
  <c r="R139" i="18"/>
  <c r="S139" i="18" s="1"/>
  <c r="U139" i="18" s="1"/>
  <c r="V139" i="18" s="1"/>
  <c r="R365" i="18"/>
  <c r="S365" i="18" s="1"/>
  <c r="U365" i="18" s="1"/>
  <c r="V365" i="18" s="1"/>
  <c r="R462" i="18"/>
  <c r="S462" i="18" s="1"/>
  <c r="U462" i="18" s="1"/>
  <c r="V462" i="18" s="1"/>
  <c r="R463" i="18"/>
  <c r="S463" i="18" s="1"/>
  <c r="U463" i="18" s="1"/>
  <c r="V463" i="18" s="1"/>
  <c r="R238" i="18"/>
  <c r="S238" i="18" s="1"/>
  <c r="U238" i="18" s="1"/>
  <c r="V238" i="18" s="1"/>
  <c r="U226" i="18"/>
  <c r="V226" i="18" s="1"/>
  <c r="T230" i="18"/>
  <c r="T828" i="18"/>
  <c r="U631" i="18"/>
  <c r="V631" i="18" s="1"/>
  <c r="U324" i="18"/>
  <c r="V324" i="18" s="1"/>
  <c r="T510" i="18"/>
  <c r="U350" i="18"/>
  <c r="V350" i="18" s="1"/>
  <c r="T262" i="18"/>
  <c r="T441" i="18"/>
  <c r="U441" i="18"/>
  <c r="V441" i="18" s="1"/>
  <c r="U819" i="18"/>
  <c r="V819" i="18" s="1"/>
  <c r="T249" i="18"/>
  <c r="T478" i="18"/>
  <c r="U377" i="18"/>
  <c r="V377" i="18" s="1"/>
  <c r="R175" i="18"/>
  <c r="S175" i="18" s="1"/>
  <c r="U175" i="18" s="1"/>
  <c r="V175" i="18" s="1"/>
  <c r="R174" i="18"/>
  <c r="S174" i="18" s="1"/>
  <c r="U174" i="18" s="1"/>
  <c r="V174" i="18" s="1"/>
  <c r="R305" i="18"/>
  <c r="S305" i="18" s="1"/>
  <c r="T305" i="18" s="1"/>
  <c r="R177" i="18"/>
  <c r="S177" i="18" s="1"/>
  <c r="U177" i="18" s="1"/>
  <c r="V177" i="18" s="1"/>
  <c r="R77" i="18"/>
  <c r="S77" i="18" s="1"/>
  <c r="T77" i="18" s="1"/>
  <c r="R205" i="18"/>
  <c r="S205" i="18" s="1"/>
  <c r="U205" i="18" s="1"/>
  <c r="V205" i="18" s="1"/>
  <c r="R362" i="18"/>
  <c r="S362" i="18" s="1"/>
  <c r="U362" i="18" s="1"/>
  <c r="V362" i="18" s="1"/>
  <c r="U507" i="18"/>
  <c r="V507" i="18" s="1"/>
  <c r="U414" i="18"/>
  <c r="V414" i="18" s="1"/>
  <c r="T635" i="18"/>
  <c r="T250" i="18"/>
  <c r="T285" i="18"/>
  <c r="R176" i="18"/>
  <c r="S176" i="18" s="1"/>
  <c r="T176" i="18" s="1"/>
  <c r="T224" i="18"/>
  <c r="U224" i="18"/>
  <c r="V224" i="18" s="1"/>
  <c r="T36" i="18"/>
  <c r="U855" i="18"/>
  <c r="V855" i="18" s="1"/>
  <c r="U62" i="18"/>
  <c r="V62" i="18" s="1"/>
  <c r="T32" i="18"/>
  <c r="T723" i="18"/>
  <c r="U623" i="18"/>
  <c r="V623" i="18" s="1"/>
  <c r="U688" i="18"/>
  <c r="V688" i="18" s="1"/>
  <c r="U850" i="18"/>
  <c r="V850" i="18" s="1"/>
  <c r="T382" i="18"/>
  <c r="T166" i="18"/>
  <c r="U34" i="18"/>
  <c r="V34" i="18" s="1"/>
  <c r="U1021" i="18"/>
  <c r="V1021" i="18" s="1"/>
  <c r="T347" i="18"/>
  <c r="T356" i="18"/>
  <c r="T984" i="18"/>
  <c r="U294" i="18"/>
  <c r="V294" i="18" s="1"/>
  <c r="T294" i="18"/>
  <c r="U59" i="18"/>
  <c r="V59" i="18" s="1"/>
  <c r="T157" i="18"/>
  <c r="T660" i="18"/>
  <c r="U660" i="18"/>
  <c r="V660" i="18" s="1"/>
  <c r="T322" i="18"/>
  <c r="U322" i="18"/>
  <c r="V322" i="18" s="1"/>
  <c r="T293" i="18"/>
  <c r="U391" i="18"/>
  <c r="V391" i="18" s="1"/>
  <c r="T454" i="18"/>
  <c r="T390" i="18"/>
  <c r="T197" i="18"/>
  <c r="T728" i="18"/>
  <c r="U728" i="18"/>
  <c r="V728" i="18" s="1"/>
  <c r="U600" i="18"/>
  <c r="V600" i="18" s="1"/>
  <c r="U135" i="18"/>
  <c r="V135" i="18" s="1"/>
  <c r="U751" i="18"/>
  <c r="V751" i="18" s="1"/>
  <c r="U722" i="18"/>
  <c r="V722" i="18" s="1"/>
  <c r="T60" i="18"/>
  <c r="U380" i="18"/>
  <c r="V380" i="18" s="1"/>
  <c r="T380" i="18"/>
  <c r="T195" i="18"/>
  <c r="T131" i="18"/>
  <c r="T66" i="18"/>
  <c r="T198" i="18"/>
  <c r="T134" i="18"/>
  <c r="T847" i="18"/>
  <c r="T263" i="18"/>
  <c r="T791" i="18"/>
  <c r="T190" i="18"/>
  <c r="T415" i="18"/>
  <c r="U1016" i="18"/>
  <c r="V1016" i="18" s="1"/>
  <c r="T1016" i="18"/>
  <c r="T260" i="18"/>
  <c r="T564" i="18"/>
  <c r="U412" i="18"/>
  <c r="V412" i="18" s="1"/>
  <c r="U759" i="18"/>
  <c r="V759" i="18" s="1"/>
  <c r="T189" i="18"/>
  <c r="T947" i="18"/>
  <c r="T31" i="18"/>
  <c r="T199" i="18"/>
  <c r="T948" i="18"/>
  <c r="T231" i="18"/>
  <c r="U987" i="18"/>
  <c r="V987" i="18" s="1"/>
  <c r="T100" i="18"/>
  <c r="T859" i="18"/>
  <c r="T104" i="18"/>
  <c r="U163" i="18"/>
  <c r="V163" i="18" s="1"/>
  <c r="U727" i="18"/>
  <c r="V727" i="18" s="1"/>
  <c r="U28" i="18"/>
  <c r="V28" i="18" s="1"/>
  <c r="U1047" i="18"/>
  <c r="V1047" i="18" s="1"/>
  <c r="T1047" i="18"/>
  <c r="U355" i="18"/>
  <c r="V355" i="18" s="1"/>
  <c r="T355" i="18"/>
  <c r="T851" i="18"/>
  <c r="U851" i="18"/>
  <c r="V851" i="18" s="1"/>
  <c r="U879" i="18"/>
  <c r="V879" i="18" s="1"/>
  <c r="T196" i="18"/>
  <c r="T1053" i="18"/>
  <c r="T733" i="18"/>
  <c r="T251" i="18"/>
  <c r="U251" i="18"/>
  <c r="V251" i="18" s="1"/>
  <c r="T820" i="18"/>
  <c r="T518" i="18"/>
  <c r="T690" i="18"/>
  <c r="U256" i="18"/>
  <c r="V256" i="18" s="1"/>
  <c r="T445" i="18"/>
  <c r="T381" i="18"/>
  <c r="T102" i="18"/>
  <c r="U952" i="18"/>
  <c r="V952" i="18" s="1"/>
  <c r="T893" i="18"/>
  <c r="T1019" i="18"/>
  <c r="T957" i="18"/>
  <c r="T156" i="18"/>
  <c r="U883" i="18"/>
  <c r="V883" i="18" s="1"/>
  <c r="U387" i="18"/>
  <c r="V387" i="18" s="1"/>
  <c r="T38" i="18"/>
  <c r="U38" i="18"/>
  <c r="V38" i="18" s="1"/>
  <c r="T328" i="18"/>
  <c r="U328" i="18"/>
  <c r="V328" i="18" s="1"/>
  <c r="U693" i="18"/>
  <c r="V693" i="18" s="1"/>
  <c r="T693" i="18"/>
  <c r="U488" i="18"/>
  <c r="V488" i="18" s="1"/>
  <c r="T488" i="18"/>
  <c r="U760" i="18"/>
  <c r="V760" i="18" s="1"/>
  <c r="U58" i="18"/>
  <c r="V58" i="18" s="1"/>
  <c r="T379" i="18"/>
  <c r="U323" i="18"/>
  <c r="V323" i="18" s="1"/>
  <c r="T323" i="18"/>
  <c r="T255" i="18"/>
  <c r="T358" i="18"/>
  <c r="U220" i="18"/>
  <c r="V220" i="18" s="1"/>
  <c r="T764" i="18"/>
  <c r="T517" i="18"/>
  <c r="U351" i="18"/>
  <c r="V351" i="18" s="1"/>
  <c r="U101" i="18"/>
  <c r="V101" i="18" s="1"/>
  <c r="T327" i="18"/>
  <c r="T512" i="18"/>
  <c r="T571" i="18"/>
  <c r="U122" i="18"/>
  <c r="V122" i="18" s="1"/>
  <c r="T122" i="18"/>
  <c r="T186" i="18"/>
  <c r="U186" i="18"/>
  <c r="V186" i="18" s="1"/>
  <c r="U916" i="18"/>
  <c r="V916" i="18" s="1"/>
  <c r="U480" i="18"/>
  <c r="V480" i="18" s="1"/>
  <c r="U90" i="18"/>
  <c r="V90" i="18" s="1"/>
  <c r="U599" i="18"/>
  <c r="V599" i="18" s="1"/>
  <c r="U314" i="18"/>
  <c r="V314" i="18" s="1"/>
  <c r="U559" i="18"/>
  <c r="V559" i="18" s="1"/>
  <c r="U483" i="18"/>
  <c r="V483" i="18" s="1"/>
  <c r="T296" i="18"/>
  <c r="T848" i="18"/>
  <c r="T357" i="18"/>
  <c r="U477" i="18"/>
  <c r="V477" i="18" s="1"/>
  <c r="T477" i="18"/>
  <c r="U827" i="18"/>
  <c r="V827" i="18" s="1"/>
  <c r="T827" i="18"/>
  <c r="T486" i="18"/>
  <c r="T71" i="18"/>
  <c r="U155" i="18"/>
  <c r="V155" i="18" s="1"/>
  <c r="U509" i="18"/>
  <c r="V509" i="18" s="1"/>
  <c r="U98" i="18"/>
  <c r="V98" i="18" s="1"/>
  <c r="U655" i="18"/>
  <c r="V655" i="18" s="1"/>
  <c r="U447" i="18"/>
  <c r="V447" i="18" s="1"/>
  <c r="T568" i="18"/>
  <c r="U568" i="18"/>
  <c r="V568" i="18" s="1"/>
  <c r="T126" i="18"/>
  <c r="T252" i="18"/>
  <c r="T592" i="18"/>
  <c r="T818" i="18"/>
  <c r="T484" i="18"/>
  <c r="U1007" i="18"/>
  <c r="V1007" i="18" s="1"/>
  <c r="U413" i="18"/>
  <c r="V413" i="18" s="1"/>
  <c r="T413" i="18"/>
  <c r="T419" i="18"/>
  <c r="U1051" i="18"/>
  <c r="V1051" i="18" s="1"/>
  <c r="T253" i="18"/>
  <c r="T476" i="18"/>
  <c r="T656" i="18"/>
  <c r="T923" i="18"/>
  <c r="U824" i="18"/>
  <c r="V824" i="18" s="1"/>
  <c r="U1040" i="18"/>
  <c r="V1040" i="18" s="1"/>
  <c r="T887" i="18"/>
  <c r="T30" i="18"/>
  <c r="T892" i="18"/>
  <c r="T26" i="18"/>
  <c r="T485" i="18"/>
  <c r="T420" i="18"/>
  <c r="U919" i="18"/>
  <c r="V919" i="18" s="1"/>
  <c r="T919" i="18"/>
  <c r="T508" i="18"/>
  <c r="U823" i="18"/>
  <c r="V823" i="18" s="1"/>
  <c r="T823" i="18"/>
  <c r="T222" i="18"/>
  <c r="U1010" i="18"/>
  <c r="V1010" i="18" s="1"/>
  <c r="U259" i="18"/>
  <c r="V259" i="18" s="1"/>
  <c r="T259" i="18"/>
  <c r="T325" i="18"/>
  <c r="T124" i="18"/>
  <c r="T701" i="18"/>
  <c r="U451" i="18"/>
  <c r="V451" i="18" s="1"/>
  <c r="U67" i="18"/>
  <c r="V67" i="18" s="1"/>
  <c r="U663" i="18"/>
  <c r="V663" i="18" s="1"/>
  <c r="T443" i="18"/>
  <c r="U284" i="18"/>
  <c r="V284" i="18" s="1"/>
  <c r="T284" i="18"/>
  <c r="T956" i="18"/>
  <c r="T591" i="18"/>
  <c r="T388" i="18"/>
  <c r="U1039" i="18"/>
  <c r="V1039" i="18" s="1"/>
  <c r="T1039" i="18"/>
  <c r="T194" i="18"/>
  <c r="U194" i="18"/>
  <c r="V194" i="18" s="1"/>
  <c r="T93" i="18"/>
  <c r="U951" i="18"/>
  <c r="V951" i="18" s="1"/>
  <c r="T1043" i="18"/>
  <c r="T853" i="18"/>
  <c r="U1048" i="18"/>
  <c r="V1048" i="18" s="1"/>
  <c r="T1048" i="18"/>
  <c r="T64" i="18"/>
  <c r="U720" i="18"/>
  <c r="V720" i="18" s="1"/>
  <c r="T421" i="18"/>
  <c r="U421" i="18"/>
  <c r="V421" i="18" s="1"/>
  <c r="T605" i="18"/>
  <c r="U605" i="18"/>
  <c r="V605" i="18" s="1"/>
  <c r="U1011" i="18"/>
  <c r="V1011" i="18" s="1"/>
  <c r="T1011" i="18"/>
  <c r="U562" i="18"/>
  <c r="V562" i="18" s="1"/>
  <c r="T562" i="18"/>
  <c r="T975" i="18"/>
  <c r="U975" i="18"/>
  <c r="V975" i="18" s="1"/>
  <c r="T792" i="18"/>
  <c r="U283" i="18"/>
  <c r="V283" i="18" s="1"/>
  <c r="U162" i="18"/>
  <c r="V162" i="18" s="1"/>
  <c r="T162" i="18"/>
  <c r="T724" i="18"/>
  <c r="U410" i="18"/>
  <c r="V410" i="18" s="1"/>
  <c r="T136" i="18"/>
  <c r="T852" i="18"/>
  <c r="T762" i="18"/>
  <c r="T922" i="18"/>
  <c r="U27" i="18"/>
  <c r="V27" i="18" s="1"/>
  <c r="T829" i="18"/>
  <c r="U453" i="18"/>
  <c r="V453" i="18" s="1"/>
  <c r="U228" i="18"/>
  <c r="V228" i="18" s="1"/>
  <c r="T860" i="18"/>
  <c r="T912" i="18"/>
  <c r="T516" i="18"/>
  <c r="U516" i="18"/>
  <c r="V516" i="18" s="1"/>
  <c r="U629" i="18"/>
  <c r="V629" i="18" s="1"/>
  <c r="T560" i="18"/>
  <c r="U560" i="18"/>
  <c r="V560" i="18" s="1"/>
  <c r="T229" i="18"/>
  <c r="U229" i="18"/>
  <c r="V229" i="18" s="1"/>
  <c r="T636" i="18"/>
  <c r="U188" i="18"/>
  <c r="V188" i="18" s="1"/>
  <c r="T188" i="18"/>
  <c r="T1015" i="18"/>
  <c r="U1015" i="18"/>
  <c r="V1015" i="18" s="1"/>
  <c r="T479" i="18"/>
  <c r="T514" i="18"/>
  <c r="T506" i="18"/>
  <c r="U911" i="18"/>
  <c r="V911" i="18" s="1"/>
  <c r="T911" i="18"/>
  <c r="U290" i="18"/>
  <c r="V290" i="18" s="1"/>
  <c r="T192" i="18"/>
  <c r="T976" i="18"/>
  <c r="U389" i="18"/>
  <c r="V389" i="18" s="1"/>
  <c r="T154" i="18"/>
  <c r="U154" i="18"/>
  <c r="V154" i="18" s="1"/>
  <c r="U1008" i="18"/>
  <c r="V1008" i="18" s="1"/>
  <c r="T1008" i="18"/>
  <c r="T624" i="18"/>
  <c r="U816" i="18"/>
  <c r="V816" i="18" s="1"/>
  <c r="U664" i="18"/>
  <c r="V664" i="18" s="1"/>
  <c r="T664" i="18"/>
  <c r="T200" i="18"/>
  <c r="T315" i="18"/>
  <c r="U317" i="18"/>
  <c r="V317" i="18" s="1"/>
  <c r="T317" i="18"/>
  <c r="T292" i="18"/>
  <c r="U292" i="18"/>
  <c r="V292" i="18" s="1"/>
  <c r="T696" i="18"/>
  <c r="U696" i="18"/>
  <c r="V696" i="18" s="1"/>
  <c r="T788" i="18"/>
  <c r="U788" i="18"/>
  <c r="V788" i="18" s="1"/>
  <c r="T221" i="18"/>
  <c r="T632" i="18"/>
  <c r="U632" i="18"/>
  <c r="V632" i="18" s="1"/>
  <c r="T69" i="18"/>
  <c r="U69" i="18"/>
  <c r="V69" i="18" s="1"/>
  <c r="T752" i="18"/>
  <c r="U752" i="18"/>
  <c r="V752" i="18" s="1"/>
  <c r="U68" i="18"/>
  <c r="V68" i="18" s="1"/>
  <c r="T68" i="18"/>
  <c r="U418" i="18"/>
  <c r="V418" i="18" s="1"/>
  <c r="T418" i="18"/>
  <c r="U123" i="18"/>
  <c r="V123" i="18" s="1"/>
  <c r="T123" i="18"/>
  <c r="T567" i="18"/>
  <c r="U567" i="18"/>
  <c r="V567" i="18" s="1"/>
  <c r="U316" i="18"/>
  <c r="V316" i="18" s="1"/>
  <c r="T316" i="18"/>
  <c r="T861" i="18"/>
  <c r="U861" i="18"/>
  <c r="V861" i="18" s="1"/>
  <c r="U980" i="18"/>
  <c r="V980" i="18" s="1"/>
  <c r="T980" i="18"/>
  <c r="T572" i="18"/>
  <c r="U572" i="18"/>
  <c r="V572" i="18" s="1"/>
  <c r="T158" i="18"/>
  <c r="T978" i="18"/>
  <c r="U983" i="18"/>
  <c r="V983" i="18" s="1"/>
  <c r="T983" i="18"/>
  <c r="T442" i="18"/>
  <c r="T695" i="18"/>
  <c r="U695" i="18"/>
  <c r="V695" i="18" s="1"/>
  <c r="U61" i="18"/>
  <c r="V61" i="18" s="1"/>
  <c r="T61" i="18"/>
  <c r="U888" i="18"/>
  <c r="V888" i="18" s="1"/>
  <c r="T888" i="18"/>
  <c r="U132" i="18"/>
  <c r="V132" i="18" s="1"/>
  <c r="T132" i="18"/>
  <c r="T125" i="18"/>
  <c r="T687" i="18"/>
  <c r="U687" i="18"/>
  <c r="V687" i="18" s="1"/>
  <c r="U920" i="18"/>
  <c r="V920" i="18" s="1"/>
  <c r="T920" i="18"/>
  <c r="T168" i="18"/>
  <c r="T258" i="18"/>
  <c r="T37" i="18"/>
  <c r="U37" i="18"/>
  <c r="V37" i="18" s="1"/>
  <c r="U295" i="18"/>
  <c r="V295" i="18" s="1"/>
  <c r="T565" i="18"/>
  <c r="U159" i="18"/>
  <c r="V159" i="18" s="1"/>
  <c r="T719" i="18"/>
  <c r="U719" i="18"/>
  <c r="V719" i="18" s="1"/>
  <c r="U784" i="18"/>
  <c r="V784" i="18" s="1"/>
  <c r="T784" i="18"/>
  <c r="U1020" i="18"/>
  <c r="V1020" i="18" s="1"/>
  <c r="T1020" i="18"/>
  <c r="T99" i="18"/>
  <c r="U99" i="18"/>
  <c r="V99" i="18" s="1"/>
  <c r="T757" i="18"/>
  <c r="T349" i="18"/>
  <c r="U349" i="18"/>
  <c r="V349" i="18" s="1"/>
  <c r="T475" i="18"/>
  <c r="U475" i="18"/>
  <c r="V475" i="18" s="1"/>
  <c r="U386" i="18"/>
  <c r="V386" i="18" s="1"/>
  <c r="T386" i="18"/>
  <c r="U474" i="18"/>
  <c r="V474" i="18" s="1"/>
  <c r="T474" i="18"/>
  <c r="U35" i="18"/>
  <c r="V35" i="18" s="1"/>
  <c r="T35" i="18"/>
  <c r="T187" i="18"/>
  <c r="U187" i="18"/>
  <c r="V187" i="18" s="1"/>
  <c r="T730" i="18"/>
  <c r="U227" i="18"/>
  <c r="V227" i="18" s="1"/>
  <c r="T227" i="18"/>
  <c r="T254" i="18"/>
  <c r="U348" i="18"/>
  <c r="V348" i="18" s="1"/>
  <c r="T348" i="18"/>
  <c r="U165" i="18"/>
  <c r="V165" i="18" s="1"/>
  <c r="T165" i="18"/>
  <c r="T595" i="18"/>
  <c r="T668" i="18"/>
  <c r="T450" i="18"/>
  <c r="U450" i="18"/>
  <c r="V450" i="18" s="1"/>
  <c r="T515" i="18"/>
  <c r="U515" i="18"/>
  <c r="V515" i="18" s="1"/>
  <c r="T164" i="18"/>
  <c r="U164" i="18"/>
  <c r="V164" i="18" s="1"/>
  <c r="U411" i="18"/>
  <c r="V411" i="18" s="1"/>
  <c r="T411" i="18"/>
  <c r="U346" i="18"/>
  <c r="V346" i="18" s="1"/>
  <c r="T346" i="18"/>
  <c r="U92" i="18"/>
  <c r="V92" i="18" s="1"/>
  <c r="T92" i="18"/>
  <c r="T821" i="18"/>
  <c r="U218" i="18"/>
  <c r="V218" i="18" s="1"/>
  <c r="T291" i="18"/>
  <c r="U291" i="18"/>
  <c r="V291" i="18" s="1"/>
  <c r="T261" i="18"/>
  <c r="U261" i="18"/>
  <c r="V261" i="18" s="1"/>
  <c r="T130" i="18"/>
  <c r="U130" i="18"/>
  <c r="V130" i="18" s="1"/>
  <c r="T133" i="18"/>
  <c r="U133" i="18"/>
  <c r="V133" i="18" s="1"/>
  <c r="T925" i="18"/>
  <c r="U885" i="18"/>
  <c r="V885" i="18" s="1"/>
  <c r="T604" i="18"/>
  <c r="T320" i="18"/>
  <c r="T700" i="18"/>
  <c r="T352" i="18"/>
  <c r="U103" i="18"/>
  <c r="V103" i="18" s="1"/>
  <c r="U891" i="18"/>
  <c r="V891" i="18" s="1"/>
  <c r="T891" i="18"/>
  <c r="U731" i="18"/>
  <c r="V731" i="18" s="1"/>
  <c r="U890" i="18"/>
  <c r="V890" i="18" s="1"/>
  <c r="T754" i="18"/>
  <c r="T955" i="18"/>
  <c r="T795" i="18"/>
  <c r="T596" i="18"/>
  <c r="T797" i="18"/>
  <c r="T628" i="18"/>
  <c r="T954" i="18"/>
  <c r="U914" i="18"/>
  <c r="V914" i="18" s="1"/>
  <c r="T603" i="18"/>
  <c r="T191" i="18"/>
  <c r="T725" i="18"/>
  <c r="T319" i="18"/>
  <c r="T765" i="18"/>
  <c r="U1050" i="18"/>
  <c r="V1050" i="18" s="1"/>
  <c r="T786" i="18"/>
  <c r="T692" i="18"/>
  <c r="U692" i="18"/>
  <c r="V692" i="18" s="1"/>
  <c r="T763" i="18"/>
  <c r="T1052" i="18"/>
  <c r="T858" i="18"/>
  <c r="T287" i="18"/>
  <c r="T988" i="18"/>
  <c r="T796" i="18"/>
  <c r="U915" i="18"/>
  <c r="V915" i="18" s="1"/>
  <c r="T72" i="18"/>
  <c r="T755" i="18"/>
  <c r="U128" i="18"/>
  <c r="V128" i="18" s="1"/>
  <c r="T924" i="18"/>
  <c r="T573" i="18"/>
  <c r="U594" i="18"/>
  <c r="V594" i="18" s="1"/>
  <c r="U232" i="18"/>
  <c r="V232" i="18" s="1"/>
  <c r="T360" i="18"/>
  <c r="T627" i="18"/>
  <c r="T979" i="18"/>
  <c r="T658" i="18"/>
  <c r="T160" i="18"/>
  <c r="T986" i="18"/>
  <c r="T826" i="18"/>
  <c r="T1013" i="18"/>
  <c r="T699" i="18"/>
  <c r="T383" i="18"/>
  <c r="U626" i="18"/>
  <c r="V626" i="18" s="1"/>
  <c r="T167" i="18"/>
  <c r="T597" i="18"/>
  <c r="U667" i="18"/>
  <c r="V667" i="18" s="1"/>
  <c r="U448" i="18"/>
  <c r="V448" i="18" s="1"/>
  <c r="U1042" i="18"/>
  <c r="V1042" i="18" s="1"/>
  <c r="T882" i="18"/>
  <c r="T602" i="18"/>
  <c r="T455" i="18"/>
  <c r="T1012" i="18"/>
  <c r="T637" i="18"/>
  <c r="T946" i="18"/>
  <c r="U669" i="18"/>
  <c r="V669" i="18" s="1"/>
  <c r="T789" i="18"/>
  <c r="U570" i="18"/>
  <c r="V570" i="18" s="1"/>
  <c r="U520" i="18"/>
  <c r="V520" i="18" s="1"/>
  <c r="T520" i="18"/>
  <c r="U989" i="18"/>
  <c r="V989" i="18" s="1"/>
  <c r="T989" i="18"/>
  <c r="T359" i="18"/>
  <c r="U264" i="18"/>
  <c r="V264" i="18" s="1"/>
  <c r="T424" i="18"/>
  <c r="T1044" i="18"/>
  <c r="T917" i="18"/>
  <c r="T384" i="18"/>
  <c r="U698" i="18"/>
  <c r="V698" i="18" s="1"/>
  <c r="T732" i="18"/>
  <c r="U563" i="18"/>
  <c r="V563" i="18" s="1"/>
  <c r="T487" i="18"/>
  <c r="T288" i="18"/>
  <c r="T95" i="18"/>
  <c r="T666" i="18"/>
  <c r="T794" i="18"/>
  <c r="T223" i="18"/>
  <c r="T39" i="18"/>
  <c r="T392" i="18"/>
  <c r="U785" i="18"/>
  <c r="V785" i="18" s="1"/>
  <c r="T511" i="18"/>
  <c r="T691" i="18"/>
  <c r="T945" i="18"/>
  <c r="T519" i="18"/>
  <c r="U1041" i="18"/>
  <c r="V1041" i="18" s="1"/>
  <c r="T1041" i="18"/>
  <c r="T96" i="18"/>
  <c r="T634" i="18"/>
  <c r="U416" i="18"/>
  <c r="V416" i="18" s="1"/>
  <c r="T697" i="18"/>
  <c r="U697" i="18"/>
  <c r="V697" i="18" s="1"/>
  <c r="T456" i="18"/>
  <c r="U881" i="18"/>
  <c r="V881" i="18" s="1"/>
  <c r="T881" i="18"/>
  <c r="U849" i="18"/>
  <c r="V849" i="18" s="1"/>
  <c r="T849" i="18"/>
  <c r="U817" i="18"/>
  <c r="V817" i="18" s="1"/>
  <c r="T817" i="18"/>
  <c r="U601" i="18"/>
  <c r="V601" i="18" s="1"/>
  <c r="T601" i="18"/>
  <c r="U633" i="18"/>
  <c r="V633" i="18" s="1"/>
  <c r="T633" i="18"/>
  <c r="U40" i="18"/>
  <c r="V40" i="18" s="1"/>
  <c r="T63" i="18"/>
  <c r="U729" i="18"/>
  <c r="V729" i="18" s="1"/>
  <c r="T729" i="18"/>
  <c r="U921" i="18"/>
  <c r="V921" i="18" s="1"/>
  <c r="T921" i="18"/>
  <c r="T889" i="18"/>
  <c r="U889" i="18"/>
  <c r="V889" i="18" s="1"/>
  <c r="U913" i="18"/>
  <c r="V913" i="18" s="1"/>
  <c r="T913" i="18"/>
  <c r="U753" i="18"/>
  <c r="V753" i="18" s="1"/>
  <c r="T753" i="18"/>
  <c r="U953" i="18"/>
  <c r="V953" i="18" s="1"/>
  <c r="T953" i="18"/>
  <c r="T561" i="18"/>
  <c r="U561" i="18"/>
  <c r="V561" i="18" s="1"/>
  <c r="U569" i="18"/>
  <c r="V569" i="18" s="1"/>
  <c r="T569" i="18"/>
  <c r="U1009" i="18"/>
  <c r="V1009" i="18" s="1"/>
  <c r="T1009" i="18"/>
  <c r="T857" i="18"/>
  <c r="U857" i="18"/>
  <c r="V857" i="18" s="1"/>
  <c r="U721" i="18"/>
  <c r="V721" i="18" s="1"/>
  <c r="T721" i="18"/>
  <c r="T825" i="18"/>
  <c r="U825" i="18"/>
  <c r="V825" i="18" s="1"/>
  <c r="U977" i="18"/>
  <c r="V977" i="18" s="1"/>
  <c r="T977" i="18"/>
  <c r="U793" i="18"/>
  <c r="V793" i="18" s="1"/>
  <c r="T793" i="18"/>
  <c r="U985" i="18"/>
  <c r="V985" i="18" s="1"/>
  <c r="T985" i="18"/>
  <c r="T689" i="18"/>
  <c r="U689" i="18"/>
  <c r="V689" i="18" s="1"/>
  <c r="T625" i="18"/>
  <c r="U625" i="18"/>
  <c r="V625" i="18" s="1"/>
  <c r="U665" i="18"/>
  <c r="V665" i="18" s="1"/>
  <c r="T665" i="18"/>
  <c r="T657" i="18"/>
  <c r="U657" i="18"/>
  <c r="V657" i="18" s="1"/>
  <c r="T1017" i="18"/>
  <c r="U1017" i="18"/>
  <c r="V1017" i="18" s="1"/>
  <c r="U1049" i="18"/>
  <c r="V1049" i="18" s="1"/>
  <c r="T1049" i="18"/>
  <c r="T593" i="18"/>
  <c r="U593" i="18"/>
  <c r="V593" i="18" s="1"/>
  <c r="U761" i="18"/>
  <c r="V761" i="18" s="1"/>
  <c r="T761" i="18"/>
  <c r="T265" i="18" l="1"/>
  <c r="T105" i="18"/>
  <c r="U790" i="18"/>
  <c r="V790" i="18" s="1"/>
  <c r="T726" i="18"/>
  <c r="T461" i="18"/>
  <c r="T97" i="18"/>
  <c r="T513" i="18"/>
  <c r="T46" i="18"/>
  <c r="U566" i="18"/>
  <c r="V566" i="18" s="1"/>
  <c r="T606" i="18"/>
  <c r="T926" i="18"/>
  <c r="U266" i="18"/>
  <c r="V266" i="18" s="1"/>
  <c r="T145" i="18"/>
  <c r="T169" i="18"/>
  <c r="T630" i="18"/>
  <c r="T598" i="18"/>
  <c r="T670" i="18"/>
  <c r="U521" i="18"/>
  <c r="V521" i="18" s="1"/>
  <c r="U930" i="18"/>
  <c r="V930" i="18" s="1"/>
  <c r="T481" i="18"/>
  <c r="T798" i="18"/>
  <c r="T662" i="18"/>
  <c r="T738" i="18"/>
  <c r="U233" i="18"/>
  <c r="V233" i="18" s="1"/>
  <c r="T1022" i="18"/>
  <c r="U678" i="18"/>
  <c r="V678" i="18" s="1"/>
  <c r="U769" i="18"/>
  <c r="V769" i="18" s="1"/>
  <c r="T1054" i="18"/>
  <c r="T694" i="18"/>
  <c r="T73" i="18"/>
  <c r="T806" i="18"/>
  <c r="U299" i="18"/>
  <c r="V299" i="18" s="1"/>
  <c r="T886" i="18"/>
  <c r="U734" i="18"/>
  <c r="V734" i="18" s="1"/>
  <c r="U529" i="18"/>
  <c r="V529" i="18" s="1"/>
  <c r="T830" i="18"/>
  <c r="T1046" i="18"/>
  <c r="T758" i="18"/>
  <c r="T140" i="18"/>
  <c r="U766" i="18"/>
  <c r="V766" i="18" s="1"/>
  <c r="T801" i="18"/>
  <c r="T417" i="18"/>
  <c r="T899" i="18"/>
  <c r="U705" i="18"/>
  <c r="V705" i="18" s="1"/>
  <c r="T900" i="18"/>
  <c r="T672" i="18"/>
  <c r="U321" i="18"/>
  <c r="V321" i="18" s="1"/>
  <c r="T741" i="18"/>
  <c r="U741" i="18"/>
  <c r="V741" i="18" s="1"/>
  <c r="U1060" i="18"/>
  <c r="V1060" i="18" s="1"/>
  <c r="T1060" i="18"/>
  <c r="T336" i="18"/>
  <c r="U639" i="18"/>
  <c r="V639" i="18" s="1"/>
  <c r="T161" i="18"/>
  <c r="T425" i="18"/>
  <c r="T990" i="18"/>
  <c r="U574" i="18"/>
  <c r="V574" i="18" s="1"/>
  <c r="T742" i="18"/>
  <c r="T527" i="18"/>
  <c r="T1057" i="18"/>
  <c r="T862" i="18"/>
  <c r="T854" i="18"/>
  <c r="T901" i="18"/>
  <c r="U866" i="18"/>
  <c r="V866" i="18" s="1"/>
  <c r="U964" i="18"/>
  <c r="V964" i="18" s="1"/>
  <c r="U677" i="18"/>
  <c r="V677" i="18" s="1"/>
  <c r="T677" i="18"/>
  <c r="T267" i="18"/>
  <c r="T895" i="18"/>
  <c r="T993" i="18"/>
  <c r="U607" i="18"/>
  <c r="V607" i="18" s="1"/>
  <c r="U918" i="18"/>
  <c r="V918" i="18" s="1"/>
  <c r="T48" i="18"/>
  <c r="U863" i="18"/>
  <c r="V863" i="18" s="1"/>
  <c r="T804" i="18"/>
  <c r="T399" i="18"/>
  <c r="T927" i="18"/>
  <c r="T431" i="18"/>
  <c r="T65" i="18"/>
  <c r="U577" i="18"/>
  <c r="V577" i="18" s="1"/>
  <c r="U774" i="18"/>
  <c r="V774" i="18" s="1"/>
  <c r="U832" i="18"/>
  <c r="V832" i="18" s="1"/>
  <c r="T582" i="18"/>
  <c r="T1059" i="18"/>
  <c r="T958" i="18"/>
  <c r="T1014" i="18"/>
  <c r="U638" i="18"/>
  <c r="V638" i="18" s="1"/>
  <c r="U225" i="18"/>
  <c r="V225" i="18" s="1"/>
  <c r="T896" i="18"/>
  <c r="U894" i="18"/>
  <c r="V894" i="18" s="1"/>
  <c r="T982" i="18"/>
  <c r="U950" i="18"/>
  <c r="V950" i="18" s="1"/>
  <c r="T822" i="18"/>
  <c r="U579" i="18"/>
  <c r="V579" i="18" s="1"/>
  <c r="T579" i="18"/>
  <c r="T998" i="18"/>
  <c r="T612" i="18"/>
  <c r="T702" i="18"/>
  <c r="T961" i="18"/>
  <c r="T129" i="18"/>
  <c r="T207" i="18"/>
  <c r="T836" i="18"/>
  <c r="T449" i="18"/>
  <c r="U674" i="18"/>
  <c r="V674" i="18" s="1"/>
  <c r="T1055" i="18"/>
  <c r="T297" i="18"/>
  <c r="T645" i="18"/>
  <c r="U645" i="18"/>
  <c r="V645" i="18" s="1"/>
  <c r="U353" i="18"/>
  <c r="V353" i="18" s="1"/>
  <c r="T302" i="18"/>
  <c r="T868" i="18"/>
  <c r="T175" i="18"/>
  <c r="T928" i="18"/>
  <c r="U107" i="18"/>
  <c r="V107" i="18" s="1"/>
  <c r="U767" i="18"/>
  <c r="V767" i="18" s="1"/>
  <c r="T236" i="18"/>
  <c r="U676" i="18"/>
  <c r="V676" i="18" s="1"/>
  <c r="T676" i="18"/>
  <c r="U736" i="18"/>
  <c r="V736" i="18" s="1"/>
  <c r="T673" i="18"/>
  <c r="T385" i="18"/>
  <c r="U644" i="18"/>
  <c r="V644" i="18" s="1"/>
  <c r="T580" i="18"/>
  <c r="T337" i="18"/>
  <c r="T898" i="18"/>
  <c r="U400" i="18"/>
  <c r="V400" i="18" s="1"/>
  <c r="T400" i="18"/>
  <c r="T1062" i="18"/>
  <c r="T257" i="18"/>
  <c r="T427" i="18"/>
  <c r="T303" i="18"/>
  <c r="T1028" i="18"/>
  <c r="U1028" i="18"/>
  <c r="V1028" i="18" s="1"/>
  <c r="T865" i="18"/>
  <c r="U865" i="18"/>
  <c r="V865" i="18" s="1"/>
  <c r="T528" i="18"/>
  <c r="U834" i="18"/>
  <c r="V834" i="18" s="1"/>
  <c r="T494" i="18"/>
  <c r="T642" i="18"/>
  <c r="T962" i="18"/>
  <c r="U966" i="18"/>
  <c r="V966" i="18" s="1"/>
  <c r="T1025" i="18"/>
  <c r="T965" i="18"/>
  <c r="T897" i="18"/>
  <c r="T489" i="18"/>
  <c r="U675" i="18"/>
  <c r="V675" i="18" s="1"/>
  <c r="T675" i="18"/>
  <c r="T773" i="18"/>
  <c r="T802" i="18"/>
  <c r="U708" i="18"/>
  <c r="V708" i="18" s="1"/>
  <c r="T393" i="18"/>
  <c r="T33" i="18"/>
  <c r="U640" i="18"/>
  <c r="V640" i="18" s="1"/>
  <c r="T42" i="18"/>
  <c r="T613" i="18"/>
  <c r="U1030" i="18"/>
  <c r="V1030" i="18" s="1"/>
  <c r="U298" i="18"/>
  <c r="V298" i="18" s="1"/>
  <c r="T361" i="18"/>
  <c r="T493" i="18"/>
  <c r="U81" i="18"/>
  <c r="V81" i="18" s="1"/>
  <c r="T41" i="18"/>
  <c r="T522" i="18"/>
  <c r="T800" i="18"/>
  <c r="U369" i="18"/>
  <c r="V369" i="18" s="1"/>
  <c r="T369" i="18"/>
  <c r="U457" i="18"/>
  <c r="V457" i="18" s="1"/>
  <c r="T870" i="18"/>
  <c r="U709" i="18"/>
  <c r="V709" i="18" s="1"/>
  <c r="T709" i="18"/>
  <c r="U959" i="18"/>
  <c r="V959" i="18" s="1"/>
  <c r="T768" i="18"/>
  <c r="U992" i="18"/>
  <c r="V992" i="18" s="1"/>
  <c r="T994" i="18"/>
  <c r="T805" i="18"/>
  <c r="U991" i="18"/>
  <c r="V991" i="18" s="1"/>
  <c r="T991" i="18"/>
  <c r="U396" i="18"/>
  <c r="V396" i="18" s="1"/>
  <c r="T396" i="18"/>
  <c r="T934" i="18"/>
  <c r="U934" i="18"/>
  <c r="V934" i="18" s="1"/>
  <c r="T704" i="18"/>
  <c r="U704" i="18"/>
  <c r="V704" i="18" s="1"/>
  <c r="T831" i="18"/>
  <c r="U831" i="18"/>
  <c r="V831" i="18" s="1"/>
  <c r="U331" i="18"/>
  <c r="V331" i="18" s="1"/>
  <c r="T331" i="18"/>
  <c r="U193" i="18"/>
  <c r="V193" i="18" s="1"/>
  <c r="T799" i="18"/>
  <c r="T301" i="18"/>
  <c r="U576" i="18"/>
  <c r="V576" i="18" s="1"/>
  <c r="T867" i="18"/>
  <c r="T803" i="18"/>
  <c r="T963" i="18"/>
  <c r="U206" i="18"/>
  <c r="V206" i="18" s="1"/>
  <c r="U735" i="18"/>
  <c r="V735" i="18" s="1"/>
  <c r="T931" i="18"/>
  <c r="U273" i="18"/>
  <c r="V273" i="18" s="1"/>
  <c r="T273" i="18"/>
  <c r="U608" i="18"/>
  <c r="V608" i="18" s="1"/>
  <c r="T608" i="18"/>
  <c r="T458" i="18"/>
  <c r="U458" i="18"/>
  <c r="V458" i="18" s="1"/>
  <c r="T1061" i="18"/>
  <c r="T300" i="18"/>
  <c r="T641" i="18"/>
  <c r="U770" i="18"/>
  <c r="V770" i="18" s="1"/>
  <c r="T428" i="18"/>
  <c r="T429" i="18"/>
  <c r="T78" i="18"/>
  <c r="T960" i="18"/>
  <c r="U671" i="18"/>
  <c r="V671" i="18" s="1"/>
  <c r="T902" i="18"/>
  <c r="U108" i="18"/>
  <c r="V108" i="18" s="1"/>
  <c r="T108" i="18"/>
  <c r="U838" i="18"/>
  <c r="V838" i="18" s="1"/>
  <c r="T838" i="18"/>
  <c r="T113" i="18"/>
  <c r="U203" i="18"/>
  <c r="V203" i="18" s="1"/>
  <c r="T459" i="18"/>
  <c r="T1029" i="18"/>
  <c r="T997" i="18"/>
  <c r="T643" i="18"/>
  <c r="T205" i="18"/>
  <c r="U401" i="18"/>
  <c r="V401" i="18" s="1"/>
  <c r="T401" i="18"/>
  <c r="U932" i="18"/>
  <c r="V932" i="18" s="1"/>
  <c r="T932" i="18"/>
  <c r="T110" i="18"/>
  <c r="T208" i="18"/>
  <c r="T204" i="18"/>
  <c r="T137" i="18"/>
  <c r="T614" i="18"/>
  <c r="T1026" i="18"/>
  <c r="U929" i="18"/>
  <c r="V929" i="18" s="1"/>
  <c r="U47" i="18"/>
  <c r="V47" i="18" s="1"/>
  <c r="T47" i="18"/>
  <c r="T578" i="18"/>
  <c r="U578" i="18"/>
  <c r="V578" i="18" s="1"/>
  <c r="U833" i="18"/>
  <c r="V833" i="18" s="1"/>
  <c r="T833" i="18"/>
  <c r="T289" i="18"/>
  <c r="T76" i="18"/>
  <c r="T835" i="18"/>
  <c r="T329" i="18"/>
  <c r="U837" i="18"/>
  <c r="V837" i="18" s="1"/>
  <c r="T864" i="18"/>
  <c r="U395" i="18"/>
  <c r="V395" i="18" s="1"/>
  <c r="U335" i="18"/>
  <c r="V335" i="18" s="1"/>
  <c r="U304" i="18"/>
  <c r="V304" i="18" s="1"/>
  <c r="T304" i="18"/>
  <c r="T202" i="18"/>
  <c r="U202" i="18"/>
  <c r="V202" i="18" s="1"/>
  <c r="T332" i="18"/>
  <c r="T772" i="18"/>
  <c r="T177" i="18"/>
  <c r="T737" i="18"/>
  <c r="U45" i="18"/>
  <c r="V45" i="18" s="1"/>
  <c r="T996" i="18"/>
  <c r="T739" i="18"/>
  <c r="U710" i="18"/>
  <c r="V710" i="18" s="1"/>
  <c r="T1056" i="18"/>
  <c r="U394" i="18"/>
  <c r="V394" i="18" s="1"/>
  <c r="T433" i="18"/>
  <c r="T933" i="18"/>
  <c r="T367" i="18"/>
  <c r="T706" i="18"/>
  <c r="U330" i="18"/>
  <c r="V330" i="18" s="1"/>
  <c r="T330" i="18"/>
  <c r="T869" i="18"/>
  <c r="T238" i="18"/>
  <c r="U581" i="18"/>
  <c r="V581" i="18" s="1"/>
  <c r="T43" i="18"/>
  <c r="T241" i="18"/>
  <c r="T269" i="18"/>
  <c r="U575" i="18"/>
  <c r="V575" i="18" s="1"/>
  <c r="U80" i="18"/>
  <c r="V80" i="18" s="1"/>
  <c r="T610" i="18"/>
  <c r="T491" i="18"/>
  <c r="U771" i="18"/>
  <c r="V771" i="18" s="1"/>
  <c r="U240" i="18"/>
  <c r="V240" i="18" s="1"/>
  <c r="T464" i="18"/>
  <c r="T201" i="18"/>
  <c r="T143" i="18"/>
  <c r="U142" i="18"/>
  <c r="V142" i="18" s="1"/>
  <c r="T142" i="18"/>
  <c r="T426" i="18"/>
  <c r="U426" i="18"/>
  <c r="V426" i="18" s="1"/>
  <c r="U995" i="18"/>
  <c r="V995" i="18" s="1"/>
  <c r="T995" i="18"/>
  <c r="T1024" i="18"/>
  <c r="T609" i="18"/>
  <c r="T646" i="18"/>
  <c r="U368" i="18"/>
  <c r="V368" i="18" s="1"/>
  <c r="T270" i="18"/>
  <c r="T611" i="18"/>
  <c r="T492" i="18"/>
  <c r="U333" i="18"/>
  <c r="V333" i="18" s="1"/>
  <c r="T334" i="18"/>
  <c r="T740" i="18"/>
  <c r="T707" i="18"/>
  <c r="T268" i="18"/>
  <c r="U106" i="18"/>
  <c r="V106" i="18" s="1"/>
  <c r="U432" i="18"/>
  <c r="V432" i="18" s="1"/>
  <c r="T490" i="18"/>
  <c r="U490" i="18"/>
  <c r="V490" i="18" s="1"/>
  <c r="T271" i="18"/>
  <c r="U397" i="18"/>
  <c r="V397" i="18" s="1"/>
  <c r="T523" i="18"/>
  <c r="U1027" i="18"/>
  <c r="V1027" i="18" s="1"/>
  <c r="T1027" i="18"/>
  <c r="U703" i="18"/>
  <c r="V703" i="18" s="1"/>
  <c r="U526" i="18"/>
  <c r="V526" i="18" s="1"/>
  <c r="T139" i="18"/>
  <c r="U1023" i="18"/>
  <c r="V1023" i="18" s="1"/>
  <c r="T1023" i="18"/>
  <c r="U1058" i="18"/>
  <c r="V1058" i="18" s="1"/>
  <c r="T1058" i="18"/>
  <c r="T364" i="18"/>
  <c r="T525" i="18"/>
  <c r="U209" i="18"/>
  <c r="V209" i="18" s="1"/>
  <c r="T209" i="18"/>
  <c r="U430" i="18"/>
  <c r="V430" i="18" s="1"/>
  <c r="U74" i="18"/>
  <c r="V74" i="18" s="1"/>
  <c r="U305" i="18"/>
  <c r="V305" i="18" s="1"/>
  <c r="U176" i="18"/>
  <c r="V176" i="18" s="1"/>
  <c r="U44" i="18"/>
  <c r="V44" i="18" s="1"/>
  <c r="T109" i="18"/>
  <c r="T144" i="18"/>
  <c r="T362" i="18"/>
  <c r="T465" i="18"/>
  <c r="T365" i="18"/>
  <c r="T75" i="18"/>
  <c r="U460" i="18"/>
  <c r="V460" i="18" s="1"/>
  <c r="T239" i="18"/>
  <c r="U49" i="18"/>
  <c r="V49" i="18" s="1"/>
  <c r="U111" i="18"/>
  <c r="V111" i="18" s="1"/>
  <c r="T111" i="18"/>
  <c r="T173" i="18"/>
  <c r="U497" i="18"/>
  <c r="V497" i="18" s="1"/>
  <c r="T463" i="18"/>
  <c r="T496" i="18"/>
  <c r="U398" i="18"/>
  <c r="V398" i="18" s="1"/>
  <c r="T398" i="18"/>
  <c r="T366" i="18"/>
  <c r="T141" i="18"/>
  <c r="U77" i="18"/>
  <c r="V77" i="18" s="1"/>
  <c r="T112" i="18"/>
  <c r="U138" i="18"/>
  <c r="V138" i="18" s="1"/>
  <c r="T272" i="18"/>
  <c r="T79" i="18"/>
  <c r="T462" i="18"/>
  <c r="T235" i="18"/>
  <c r="T172" i="18"/>
  <c r="T237" i="18"/>
  <c r="T495" i="18"/>
  <c r="T524" i="18"/>
  <c r="U171" i="18"/>
  <c r="V171" i="18" s="1"/>
  <c r="T174" i="18"/>
  <c r="T363" i="18"/>
  <c r="T170" i="18"/>
  <c r="U234" i="18"/>
  <c r="V234" i="18" s="1"/>
  <c r="T1064" i="18" l="1"/>
  <c r="R2" i="18" s="1"/>
  <c r="E185" i="5" s="1"/>
  <c r="C44" i="1" s="1"/>
  <c r="V1064" i="18"/>
  <c r="J540" i="18" s="1"/>
  <c r="L540" i="18" s="1"/>
  <c r="K546" i="18" s="1"/>
  <c r="T531" i="18"/>
  <c r="Q2" i="18" s="1"/>
  <c r="D185" i="5" s="1"/>
  <c r="D186" i="5" s="1"/>
  <c r="D191" i="5" s="1"/>
  <c r="V531" i="18"/>
  <c r="J7" i="18" s="1"/>
  <c r="K8" i="18" s="1"/>
  <c r="X46" i="2" l="1"/>
  <c r="E100" i="5"/>
  <c r="E101" i="5" s="1"/>
  <c r="E102" i="5" s="1"/>
  <c r="E103" i="5" s="1"/>
  <c r="E105" i="5" s="1"/>
  <c r="E110" i="5" s="1"/>
  <c r="E186" i="5"/>
  <c r="E191" i="5" s="1"/>
  <c r="K543" i="18"/>
  <c r="K541" i="18"/>
  <c r="K544" i="18"/>
  <c r="D187" i="5"/>
  <c r="D188" i="5" s="1"/>
  <c r="B53" i="1" s="1"/>
  <c r="B46" i="2"/>
  <c r="B44" i="1"/>
  <c r="L7" i="18"/>
  <c r="K10" i="18" s="1"/>
  <c r="D100" i="5"/>
  <c r="D101" i="5" s="1"/>
  <c r="D102" i="5" s="1"/>
  <c r="D103" i="5" s="1"/>
  <c r="D121" i="5" s="1"/>
  <c r="D123" i="5" s="1"/>
  <c r="K11" i="18"/>
  <c r="K13" i="18"/>
  <c r="E187" i="5" l="1"/>
  <c r="E188" i="5" s="1"/>
  <c r="C53" i="1" s="1"/>
  <c r="J547" i="18"/>
  <c r="E107" i="5"/>
  <c r="E111" i="5"/>
  <c r="E112" i="5" s="1"/>
  <c r="E118" i="5"/>
  <c r="E121" i="5"/>
  <c r="E122" i="5" s="1"/>
  <c r="E106" i="5"/>
  <c r="D122" i="5"/>
  <c r="D124" i="5" s="1"/>
  <c r="D132" i="5" s="1"/>
  <c r="D134" i="5"/>
  <c r="D127" i="5"/>
  <c r="D105" i="5"/>
  <c r="D110" i="5" s="1"/>
  <c r="D126" i="5"/>
  <c r="J14" i="18"/>
  <c r="E134" i="5"/>
  <c r="E123" i="5"/>
  <c r="E124" i="5" s="1"/>
  <c r="E132" i="5" s="1"/>
  <c r="E109" i="5" l="1"/>
  <c r="E108" i="5"/>
  <c r="E116" i="5" s="1"/>
  <c r="D125" i="5"/>
  <c r="D129" i="5"/>
  <c r="E113" i="5"/>
  <c r="E126" i="5"/>
  <c r="D111" i="5"/>
  <c r="D113" i="5" s="1"/>
  <c r="D118" i="5"/>
  <c r="D106" i="5"/>
  <c r="E127" i="5"/>
  <c r="D128" i="5"/>
  <c r="D133" i="5" s="1"/>
  <c r="E125" i="5"/>
  <c r="D107" i="5"/>
  <c r="E117" i="5"/>
  <c r="E115" i="5" l="1"/>
  <c r="E119" i="5"/>
  <c r="L547" i="18" s="1"/>
  <c r="E114" i="5"/>
  <c r="D131" i="5"/>
  <c r="D135" i="5"/>
  <c r="M14" i="18" s="1"/>
  <c r="D109" i="5"/>
  <c r="D115" i="5" s="1"/>
  <c r="D108" i="5"/>
  <c r="D116" i="5" s="1"/>
  <c r="E129" i="5"/>
  <c r="E131" i="5" s="1"/>
  <c r="E128" i="5"/>
  <c r="E130" i="5" s="1"/>
  <c r="D112" i="5"/>
  <c r="D130" i="5"/>
  <c r="D114" i="5" l="1"/>
  <c r="D117" i="5"/>
  <c r="D119" i="5" s="1"/>
  <c r="L14" i="18" s="1"/>
  <c r="W209" i="18" s="1"/>
  <c r="X209" i="18" s="1"/>
  <c r="E133" i="5"/>
  <c r="E135" i="5" s="1"/>
  <c r="M547" i="18" s="1"/>
  <c r="W941" i="18" s="1"/>
  <c r="X941" i="18" s="1"/>
  <c r="W91" i="18" l="1"/>
  <c r="X91" i="18" s="1"/>
  <c r="W69" i="18"/>
  <c r="X69" i="18" s="1"/>
  <c r="W417" i="18"/>
  <c r="X417" i="18" s="1"/>
  <c r="W321" i="18"/>
  <c r="X321" i="18" s="1"/>
  <c r="W191" i="18"/>
  <c r="X191" i="18" s="1"/>
  <c r="W71" i="18"/>
  <c r="X71" i="18" s="1"/>
  <c r="W400" i="18"/>
  <c r="X400" i="18" s="1"/>
  <c r="W407" i="18"/>
  <c r="X407" i="18" s="1"/>
  <c r="W348" i="18"/>
  <c r="X348" i="18" s="1"/>
  <c r="W48" i="18"/>
  <c r="X48" i="18" s="1"/>
  <c r="W89" i="18"/>
  <c r="X89" i="18" s="1"/>
  <c r="W392" i="18"/>
  <c r="X392" i="18" s="1"/>
  <c r="W338" i="18"/>
  <c r="X338" i="18" s="1"/>
  <c r="W33" i="18"/>
  <c r="X33" i="18" s="1"/>
  <c r="W76" i="18"/>
  <c r="X76" i="18" s="1"/>
  <c r="W129" i="18"/>
  <c r="X129" i="18" s="1"/>
  <c r="W145" i="18"/>
  <c r="X145" i="18" s="1"/>
  <c r="W211" i="18"/>
  <c r="X211" i="18" s="1"/>
  <c r="W307" i="18"/>
  <c r="X307" i="18" s="1"/>
  <c r="W447" i="18"/>
  <c r="X447" i="18" s="1"/>
  <c r="W107" i="18"/>
  <c r="X107" i="18" s="1"/>
  <c r="W443" i="18"/>
  <c r="X443" i="18" s="1"/>
  <c r="W138" i="18"/>
  <c r="X138" i="18" s="1"/>
  <c r="W432" i="18"/>
  <c r="X432" i="18" s="1"/>
  <c r="W444" i="18"/>
  <c r="X444" i="18" s="1"/>
  <c r="W485" i="18"/>
  <c r="X485" i="18" s="1"/>
  <c r="W143" i="18"/>
  <c r="X143" i="18" s="1"/>
  <c r="W401" i="18"/>
  <c r="X401" i="18" s="1"/>
  <c r="W442" i="18"/>
  <c r="X442" i="18" s="1"/>
  <c r="W377" i="18"/>
  <c r="X377" i="18" s="1"/>
  <c r="W168" i="18"/>
  <c r="X168" i="18" s="1"/>
  <c r="W385" i="18"/>
  <c r="X385" i="18" s="1"/>
  <c r="W40" i="18"/>
  <c r="X40" i="18" s="1"/>
  <c r="W183" i="18"/>
  <c r="X183" i="18" s="1"/>
  <c r="W513" i="18"/>
  <c r="X513" i="18" s="1"/>
  <c r="W275" i="18"/>
  <c r="X275" i="18" s="1"/>
  <c r="W30" i="18"/>
  <c r="X30" i="18" s="1"/>
  <c r="W424" i="18"/>
  <c r="X424" i="18" s="1"/>
  <c r="W244" i="18"/>
  <c r="X244" i="18" s="1"/>
  <c r="W342" i="18"/>
  <c r="X342" i="18" s="1"/>
  <c r="W483" i="18"/>
  <c r="X483" i="18" s="1"/>
  <c r="W393" i="18"/>
  <c r="X393" i="18" s="1"/>
  <c r="W419" i="18"/>
  <c r="X419" i="18" s="1"/>
  <c r="W478" i="18"/>
  <c r="X478" i="18" s="1"/>
  <c r="W340" i="18"/>
  <c r="X340" i="18" s="1"/>
  <c r="W366" i="18"/>
  <c r="X366" i="18" s="1"/>
  <c r="W397" i="18"/>
  <c r="X397" i="18" s="1"/>
  <c r="W254" i="18"/>
  <c r="X254" i="18" s="1"/>
  <c r="W405" i="18"/>
  <c r="X405" i="18" s="1"/>
  <c r="W506" i="18"/>
  <c r="X506" i="18" s="1"/>
  <c r="W26" i="18"/>
  <c r="X26" i="18" s="1"/>
  <c r="W475" i="18"/>
  <c r="X475" i="18" s="1"/>
  <c r="W239" i="18"/>
  <c r="X239" i="18" s="1"/>
  <c r="W257" i="18"/>
  <c r="X257" i="18" s="1"/>
  <c r="W58" i="18"/>
  <c r="X58" i="18" s="1"/>
  <c r="W499" i="18"/>
  <c r="X499" i="18" s="1"/>
  <c r="W118" i="18"/>
  <c r="X118" i="18" s="1"/>
  <c r="W150" i="18"/>
  <c r="X150" i="18" s="1"/>
  <c r="W383" i="18"/>
  <c r="X383" i="18" s="1"/>
  <c r="W231" i="18"/>
  <c r="X231" i="18" s="1"/>
  <c r="W350" i="18"/>
  <c r="X350" i="18" s="1"/>
  <c r="W523" i="18"/>
  <c r="X523" i="18" s="1"/>
  <c r="W111" i="18"/>
  <c r="X111" i="18" s="1"/>
  <c r="W469" i="18"/>
  <c r="X469" i="18" s="1"/>
  <c r="W47" i="18"/>
  <c r="X47" i="18" s="1"/>
  <c r="W335" i="18"/>
  <c r="X335" i="18" s="1"/>
  <c r="W521" i="18"/>
  <c r="X521" i="18" s="1"/>
  <c r="W331" i="18"/>
  <c r="X331" i="18" s="1"/>
  <c r="W60" i="18"/>
  <c r="X60" i="18" s="1"/>
  <c r="W258" i="18"/>
  <c r="X258" i="18" s="1"/>
  <c r="W486" i="18"/>
  <c r="X486" i="18" s="1"/>
  <c r="W412" i="18"/>
  <c r="X412" i="18" s="1"/>
  <c r="W368" i="18"/>
  <c r="X368" i="18" s="1"/>
  <c r="W68" i="18"/>
  <c r="X68" i="18" s="1"/>
  <c r="W217" i="18"/>
  <c r="X217" i="18" s="1"/>
  <c r="W471" i="18"/>
  <c r="X471" i="18" s="1"/>
  <c r="W349" i="18"/>
  <c r="X349" i="18" s="1"/>
  <c r="W527" i="18"/>
  <c r="X527" i="18" s="1"/>
  <c r="W457" i="18"/>
  <c r="X457" i="18" s="1"/>
  <c r="W428" i="18"/>
  <c r="X428" i="18" s="1"/>
  <c r="W399" i="18"/>
  <c r="X399" i="18" s="1"/>
  <c r="W498" i="18"/>
  <c r="X498" i="18" s="1"/>
  <c r="W480" i="18"/>
  <c r="X480" i="18" s="1"/>
  <c r="W525" i="18"/>
  <c r="X525" i="18" s="1"/>
  <c r="W100" i="18"/>
  <c r="X100" i="18" s="1"/>
  <c r="W453" i="18"/>
  <c r="X453" i="18" s="1"/>
  <c r="W273" i="18"/>
  <c r="X273" i="18" s="1"/>
  <c r="W201" i="18"/>
  <c r="X201" i="18" s="1"/>
  <c r="W332" i="18"/>
  <c r="X332" i="18" s="1"/>
  <c r="W384" i="18"/>
  <c r="X384" i="18" s="1"/>
  <c r="W37" i="18"/>
  <c r="X37" i="18" s="1"/>
  <c r="W75" i="18"/>
  <c r="X75" i="18" s="1"/>
  <c r="W167" i="18"/>
  <c r="X167" i="18" s="1"/>
  <c r="W501" i="18"/>
  <c r="X501" i="18" s="1"/>
  <c r="W358" i="18"/>
  <c r="X358" i="18" s="1"/>
  <c r="W243" i="18"/>
  <c r="X243" i="18" s="1"/>
  <c r="W448" i="18"/>
  <c r="X448" i="18" s="1"/>
  <c r="W466" i="18"/>
  <c r="X466" i="18" s="1"/>
  <c r="W484" i="18"/>
  <c r="X484" i="18" s="1"/>
  <c r="W93" i="18"/>
  <c r="X93" i="18" s="1"/>
  <c r="W503" i="18"/>
  <c r="X503" i="18" s="1"/>
  <c r="W330" i="18"/>
  <c r="X330" i="18" s="1"/>
  <c r="W86" i="18"/>
  <c r="X86" i="18" s="1"/>
  <c r="W120" i="18"/>
  <c r="X120" i="18" s="1"/>
  <c r="W124" i="18"/>
  <c r="X124" i="18" s="1"/>
  <c r="W62" i="18"/>
  <c r="X62" i="18" s="1"/>
  <c r="W238" i="18"/>
  <c r="X238" i="18" s="1"/>
  <c r="W153" i="18"/>
  <c r="X153" i="18" s="1"/>
  <c r="W112" i="18"/>
  <c r="X112" i="18" s="1"/>
  <c r="W207" i="18"/>
  <c r="X207" i="18" s="1"/>
  <c r="W216" i="18"/>
  <c r="X216" i="18" s="1"/>
  <c r="W81" i="18"/>
  <c r="X81" i="18" s="1"/>
  <c r="W218" i="18"/>
  <c r="X218" i="18" s="1"/>
  <c r="W416" i="18"/>
  <c r="X416" i="18" s="1"/>
  <c r="W241" i="18"/>
  <c r="X241" i="18" s="1"/>
  <c r="W255" i="18"/>
  <c r="X255" i="18" s="1"/>
  <c r="W408" i="18"/>
  <c r="X408" i="18" s="1"/>
  <c r="W263" i="18"/>
  <c r="X263" i="18" s="1"/>
  <c r="W276" i="18"/>
  <c r="X276" i="18" s="1"/>
  <c r="W351" i="18"/>
  <c r="X351" i="18" s="1"/>
  <c r="W520" i="18"/>
  <c r="X520" i="18" s="1"/>
  <c r="W369" i="18"/>
  <c r="X369" i="18" s="1"/>
  <c r="W141" i="18"/>
  <c r="X141" i="18" s="1"/>
  <c r="W361" i="18"/>
  <c r="X361" i="18" s="1"/>
  <c r="W352" i="18"/>
  <c r="X352" i="18" s="1"/>
  <c r="W173" i="18"/>
  <c r="X173" i="18" s="1"/>
  <c r="W116" i="18"/>
  <c r="X116" i="18" s="1"/>
  <c r="W360" i="18"/>
  <c r="X360" i="18" s="1"/>
  <c r="W488" i="18"/>
  <c r="X488" i="18" s="1"/>
  <c r="W438" i="18"/>
  <c r="X438" i="18" s="1"/>
  <c r="W394" i="18"/>
  <c r="X394" i="18" s="1"/>
  <c r="W195" i="18"/>
  <c r="X195" i="18" s="1"/>
  <c r="W403" i="18"/>
  <c r="X403" i="18" s="1"/>
  <c r="W140" i="18"/>
  <c r="X140" i="18" s="1"/>
  <c r="W445" i="18"/>
  <c r="X445" i="18" s="1"/>
  <c r="W357" i="18"/>
  <c r="X357" i="18" s="1"/>
  <c r="W73" i="18"/>
  <c r="X73" i="18" s="1"/>
  <c r="W427" i="18"/>
  <c r="X427" i="18" s="1"/>
  <c r="W49" i="18"/>
  <c r="X49" i="18" s="1"/>
  <c r="W260" i="18"/>
  <c r="X260" i="18" s="1"/>
  <c r="W450" i="18"/>
  <c r="X450" i="18" s="1"/>
  <c r="W102" i="18"/>
  <c r="X102" i="18" s="1"/>
  <c r="W122" i="18"/>
  <c r="X122" i="18" s="1"/>
  <c r="W270" i="18"/>
  <c r="X270" i="18" s="1"/>
  <c r="W246" i="18"/>
  <c r="X246" i="18" s="1"/>
  <c r="W19" i="18"/>
  <c r="X19" i="18" s="1"/>
  <c r="W224" i="18"/>
  <c r="X224" i="18" s="1"/>
  <c r="W115" i="18"/>
  <c r="X115" i="18" s="1"/>
  <c r="W514" i="18"/>
  <c r="X514" i="18" s="1"/>
  <c r="W344" i="18"/>
  <c r="X344" i="18" s="1"/>
  <c r="W431" i="18"/>
  <c r="X431" i="18" s="1"/>
  <c r="W320" i="18"/>
  <c r="X320" i="18" s="1"/>
  <c r="W524" i="18"/>
  <c r="X524" i="18" s="1"/>
  <c r="W339" i="18"/>
  <c r="X339" i="18" s="1"/>
  <c r="W55" i="18"/>
  <c r="X55" i="18" s="1"/>
  <c r="W101" i="18"/>
  <c r="X101" i="18" s="1"/>
  <c r="W517" i="18"/>
  <c r="X517" i="18" s="1"/>
  <c r="W180" i="18"/>
  <c r="X180" i="18" s="1"/>
  <c r="W80" i="18"/>
  <c r="X80" i="18" s="1"/>
  <c r="W262" i="18"/>
  <c r="X262" i="18" s="1"/>
  <c r="W155" i="18"/>
  <c r="X155" i="18" s="1"/>
  <c r="W508" i="18"/>
  <c r="X508" i="18" s="1"/>
  <c r="W170" i="18"/>
  <c r="X170" i="18" s="1"/>
  <c r="W434" i="18"/>
  <c r="X434" i="18" s="1"/>
  <c r="W292" i="18"/>
  <c r="X292" i="18" s="1"/>
  <c r="W188" i="18"/>
  <c r="X188" i="18" s="1"/>
  <c r="W468" i="18"/>
  <c r="X468" i="18" s="1"/>
  <c r="W240" i="18"/>
  <c r="X240" i="18" s="1"/>
  <c r="W146" i="18"/>
  <c r="X146" i="18" s="1"/>
  <c r="W252" i="18"/>
  <c r="X252" i="18" s="1"/>
  <c r="W456" i="18"/>
  <c r="X456" i="18" s="1"/>
  <c r="W123" i="18"/>
  <c r="X123" i="18" s="1"/>
  <c r="W299" i="18"/>
  <c r="X299" i="18" s="1"/>
  <c r="W166" i="18"/>
  <c r="X166" i="18" s="1"/>
  <c r="W161" i="18"/>
  <c r="X161" i="18" s="1"/>
  <c r="W301" i="18"/>
  <c r="X301" i="18" s="1"/>
  <c r="W461" i="18"/>
  <c r="X461" i="18" s="1"/>
  <c r="W228" i="18"/>
  <c r="X228" i="18" s="1"/>
  <c r="W310" i="18"/>
  <c r="X310" i="18" s="1"/>
  <c r="W51" i="18"/>
  <c r="X51" i="18" s="1"/>
  <c r="W391" i="18"/>
  <c r="X391" i="18" s="1"/>
  <c r="W46" i="18"/>
  <c r="X46" i="18" s="1"/>
  <c r="W92" i="18"/>
  <c r="X92" i="18" s="1"/>
  <c r="W136" i="18"/>
  <c r="X136" i="18" s="1"/>
  <c r="W105" i="18"/>
  <c r="X105" i="18" s="1"/>
  <c r="W325" i="18"/>
  <c r="X325" i="18" s="1"/>
  <c r="W232" i="18"/>
  <c r="X232" i="18" s="1"/>
  <c r="W467" i="18"/>
  <c r="X467" i="18" s="1"/>
  <c r="W44" i="18"/>
  <c r="X44" i="18" s="1"/>
  <c r="W455" i="18"/>
  <c r="X455" i="18" s="1"/>
  <c r="W229" i="18"/>
  <c r="X229" i="18" s="1"/>
  <c r="W441" i="18"/>
  <c r="X441" i="18" s="1"/>
  <c r="W329" i="18"/>
  <c r="X329" i="18" s="1"/>
  <c r="W39" i="18"/>
  <c r="X39" i="18" s="1"/>
  <c r="W476" i="18"/>
  <c r="X476" i="18" s="1"/>
  <c r="W304" i="18"/>
  <c r="X304" i="18" s="1"/>
  <c r="W104" i="18"/>
  <c r="X104" i="18" s="1"/>
  <c r="W460" i="18"/>
  <c r="X460" i="18" s="1"/>
  <c r="W363" i="18"/>
  <c r="X363" i="18" s="1"/>
  <c r="W162" i="18"/>
  <c r="X162" i="18" s="1"/>
  <c r="W311" i="18"/>
  <c r="X311" i="18" s="1"/>
  <c r="W413" i="18"/>
  <c r="X413" i="18" s="1"/>
  <c r="W313" i="18"/>
  <c r="X313" i="18" s="1"/>
  <c r="W154" i="18"/>
  <c r="X154" i="18" s="1"/>
  <c r="W410" i="18"/>
  <c r="X410" i="18" s="1"/>
  <c r="W202" i="18"/>
  <c r="X202" i="18" s="1"/>
  <c r="W362" i="18"/>
  <c r="X362" i="18" s="1"/>
  <c r="W479" i="18"/>
  <c r="X479" i="18" s="1"/>
  <c r="W67" i="18"/>
  <c r="X67" i="18" s="1"/>
  <c r="W186" i="18"/>
  <c r="X186" i="18" s="1"/>
  <c r="W35" i="18"/>
  <c r="X35" i="18" s="1"/>
  <c r="W281" i="18"/>
  <c r="X281" i="18" s="1"/>
  <c r="W287" i="18"/>
  <c r="X287" i="18" s="1"/>
  <c r="W284" i="18"/>
  <c r="X284" i="18" s="1"/>
  <c r="W176" i="18"/>
  <c r="X176" i="18" s="1"/>
  <c r="W54" i="18"/>
  <c r="X54" i="18" s="1"/>
  <c r="W233" i="18"/>
  <c r="X233" i="18" s="1"/>
  <c r="W364" i="18"/>
  <c r="X364" i="18" s="1"/>
  <c r="W50" i="18"/>
  <c r="X50" i="18" s="1"/>
  <c r="W159" i="18"/>
  <c r="X159" i="18" s="1"/>
  <c r="W278" i="18"/>
  <c r="X278" i="18" s="1"/>
  <c r="W314" i="18"/>
  <c r="X314" i="18" s="1"/>
  <c r="W36" i="18"/>
  <c r="X36" i="18" s="1"/>
  <c r="W437" i="18"/>
  <c r="X437" i="18" s="1"/>
  <c r="W70" i="18"/>
  <c r="X70" i="18" s="1"/>
  <c r="W45" i="18"/>
  <c r="X45" i="18" s="1"/>
  <c r="W32" i="18"/>
  <c r="X32" i="18" s="1"/>
  <c r="W128" i="18"/>
  <c r="X128" i="18" s="1"/>
  <c r="W291" i="18"/>
  <c r="X291" i="18" s="1"/>
  <c r="W79" i="18"/>
  <c r="X79" i="18" s="1"/>
  <c r="W293" i="18"/>
  <c r="X293" i="18" s="1"/>
  <c r="W96" i="18"/>
  <c r="X96" i="18" s="1"/>
  <c r="W82" i="18"/>
  <c r="X82" i="18" s="1"/>
  <c r="W90" i="18"/>
  <c r="X90" i="18" s="1"/>
  <c r="W163" i="18"/>
  <c r="X163" i="18" s="1"/>
  <c r="W197" i="18"/>
  <c r="X197" i="18" s="1"/>
  <c r="W148" i="18"/>
  <c r="X148" i="18" s="1"/>
  <c r="W190" i="18"/>
  <c r="X190" i="18" s="1"/>
  <c r="W386" i="18"/>
  <c r="X386" i="18" s="1"/>
  <c r="W411" i="18"/>
  <c r="X411" i="18" s="1"/>
  <c r="W205" i="18"/>
  <c r="X205" i="18" s="1"/>
  <c r="W28" i="18"/>
  <c r="X28" i="18" s="1"/>
  <c r="W126" i="18"/>
  <c r="X126" i="18" s="1"/>
  <c r="W156" i="18"/>
  <c r="X156" i="18" s="1"/>
  <c r="W221" i="18"/>
  <c r="X221" i="18" s="1"/>
  <c r="W57" i="18"/>
  <c r="X57" i="18" s="1"/>
  <c r="W214" i="18"/>
  <c r="X214" i="18" s="1"/>
  <c r="W322" i="18"/>
  <c r="X322" i="18" s="1"/>
  <c r="W268" i="18"/>
  <c r="X268" i="18" s="1"/>
  <c r="W295" i="18"/>
  <c r="X295" i="18" s="1"/>
  <c r="W298" i="18"/>
  <c r="X298" i="18" s="1"/>
  <c r="W343" i="18"/>
  <c r="X343" i="18" s="1"/>
  <c r="W309" i="18"/>
  <c r="X309" i="18" s="1"/>
  <c r="W355" i="18"/>
  <c r="X355" i="18" s="1"/>
  <c r="W139" i="18"/>
  <c r="X139" i="18" s="1"/>
  <c r="W164" i="18"/>
  <c r="X164" i="18" s="1"/>
  <c r="W303" i="18"/>
  <c r="X303" i="18" s="1"/>
  <c r="W336" i="18"/>
  <c r="X336" i="18" s="1"/>
  <c r="W43" i="18"/>
  <c r="X43" i="18" s="1"/>
  <c r="W110" i="18"/>
  <c r="X110" i="18" s="1"/>
  <c r="W271" i="18"/>
  <c r="X271" i="18" s="1"/>
  <c r="W264" i="18"/>
  <c r="X264" i="18" s="1"/>
  <c r="W266" i="18"/>
  <c r="X266" i="18" s="1"/>
  <c r="W94" i="18"/>
  <c r="X94" i="18" s="1"/>
  <c r="W222" i="18"/>
  <c r="X222" i="18" s="1"/>
  <c r="W328" i="18"/>
  <c r="X328" i="18" s="1"/>
  <c r="W492" i="18"/>
  <c r="X492" i="18" s="1"/>
  <c r="W196" i="18"/>
  <c r="X196" i="18" s="1"/>
  <c r="W103" i="18"/>
  <c r="X103" i="18" s="1"/>
  <c r="W404" i="18"/>
  <c r="X404" i="18" s="1"/>
  <c r="W175" i="18"/>
  <c r="X175" i="18" s="1"/>
  <c r="W184" i="18"/>
  <c r="X184" i="18" s="1"/>
  <c r="W185" i="18"/>
  <c r="X185" i="18" s="1"/>
  <c r="W365" i="18"/>
  <c r="X365" i="18" s="1"/>
  <c r="W375" i="18"/>
  <c r="X375" i="18" s="1"/>
  <c r="W97" i="18"/>
  <c r="X97" i="18" s="1"/>
  <c r="W367" i="18"/>
  <c r="X367" i="18" s="1"/>
  <c r="W256" i="18"/>
  <c r="X256" i="18" s="1"/>
  <c r="W463" i="18"/>
  <c r="X463" i="18" s="1"/>
  <c r="W302" i="18"/>
  <c r="X302" i="18" s="1"/>
  <c r="W265" i="18"/>
  <c r="X265" i="18" s="1"/>
  <c r="W61" i="18"/>
  <c r="X61" i="18" s="1"/>
  <c r="W208" i="18"/>
  <c r="X208" i="18" s="1"/>
  <c r="W157" i="18"/>
  <c r="X157" i="18" s="1"/>
  <c r="W462" i="18"/>
  <c r="X462" i="18" s="1"/>
  <c r="W134" i="18"/>
  <c r="X134" i="18" s="1"/>
  <c r="W135" i="18"/>
  <c r="X135" i="18" s="1"/>
  <c r="W422" i="18"/>
  <c r="X422" i="18" s="1"/>
  <c r="W85" i="18"/>
  <c r="X85" i="18" s="1"/>
  <c r="W502" i="18"/>
  <c r="X502" i="18" s="1"/>
  <c r="W333" i="18"/>
  <c r="X333" i="18" s="1"/>
  <c r="W493" i="18"/>
  <c r="X493" i="18" s="1"/>
  <c r="W56" i="18"/>
  <c r="X56" i="18" s="1"/>
  <c r="W387" i="18"/>
  <c r="X387" i="18" s="1"/>
  <c r="W425" i="18"/>
  <c r="X425" i="18" s="1"/>
  <c r="W334" i="18"/>
  <c r="X334" i="18" s="1"/>
  <c r="W354" i="18"/>
  <c r="X354" i="18" s="1"/>
  <c r="W131" i="18"/>
  <c r="X131" i="18" s="1"/>
  <c r="W22" i="18"/>
  <c r="X22" i="18" s="1"/>
  <c r="W373" i="18"/>
  <c r="X373" i="18" s="1"/>
  <c r="W380" i="18"/>
  <c r="X380" i="18" s="1"/>
  <c r="W305" i="18"/>
  <c r="X305" i="18" s="1"/>
  <c r="W226" i="18"/>
  <c r="X226" i="18" s="1"/>
  <c r="W280" i="18"/>
  <c r="X280" i="18" s="1"/>
  <c r="W326" i="18"/>
  <c r="X326" i="18" s="1"/>
  <c r="W372" i="18"/>
  <c r="X372" i="18" s="1"/>
  <c r="W512" i="18"/>
  <c r="X512" i="18" s="1"/>
  <c r="W297" i="18"/>
  <c r="X297" i="18" s="1"/>
  <c r="W225" i="18"/>
  <c r="X225" i="18" s="1"/>
  <c r="W114" i="18"/>
  <c r="X114" i="18" s="1"/>
  <c r="W378" i="18"/>
  <c r="X378" i="18" s="1"/>
  <c r="W242" i="18"/>
  <c r="X242" i="18" s="1"/>
  <c r="W511" i="18"/>
  <c r="X511" i="18" s="1"/>
  <c r="W510" i="18"/>
  <c r="X510" i="18" s="1"/>
  <c r="W418" i="18"/>
  <c r="X418" i="18" s="1"/>
  <c r="W88" i="18"/>
  <c r="X88" i="18" s="1"/>
  <c r="W294" i="18"/>
  <c r="X294" i="18" s="1"/>
  <c r="W526" i="18"/>
  <c r="X526" i="18" s="1"/>
  <c r="W127" i="18"/>
  <c r="X127" i="18" s="1"/>
  <c r="W174" i="18"/>
  <c r="X174" i="18" s="1"/>
  <c r="W230" i="18"/>
  <c r="X230" i="18" s="1"/>
  <c r="W449" i="18"/>
  <c r="X449" i="18" s="1"/>
  <c r="W317" i="18"/>
  <c r="X317" i="18" s="1"/>
  <c r="W63" i="18"/>
  <c r="X63" i="18" s="1"/>
  <c r="W147" i="18"/>
  <c r="X147" i="18" s="1"/>
  <c r="W389" i="18"/>
  <c r="X389" i="18" s="1"/>
  <c r="W206" i="18"/>
  <c r="X206" i="18" s="1"/>
  <c r="W388" i="18"/>
  <c r="X388" i="18" s="1"/>
  <c r="W31" i="18"/>
  <c r="X31" i="18" s="1"/>
  <c r="W440" i="18"/>
  <c r="X440" i="18" s="1"/>
  <c r="W236" i="18"/>
  <c r="X236" i="18" s="1"/>
  <c r="W151" i="18"/>
  <c r="X151" i="18" s="1"/>
  <c r="W223" i="18"/>
  <c r="X223" i="18" s="1"/>
  <c r="W24" i="18"/>
  <c r="X24" i="18" s="1"/>
  <c r="W415" i="18"/>
  <c r="X415" i="18" s="1"/>
  <c r="W487" i="18"/>
  <c r="X487" i="18" s="1"/>
  <c r="W267" i="18"/>
  <c r="X267" i="18" s="1"/>
  <c r="W465" i="18"/>
  <c r="X465" i="18" s="1"/>
  <c r="W490" i="18"/>
  <c r="X490" i="18" s="1"/>
  <c r="W259" i="18"/>
  <c r="X259" i="18" s="1"/>
  <c r="W142" i="18"/>
  <c r="X142" i="18" s="1"/>
  <c r="W234" i="18"/>
  <c r="X234" i="18" s="1"/>
  <c r="W290" i="18"/>
  <c r="X290" i="18" s="1"/>
  <c r="W426" i="18"/>
  <c r="X426" i="18" s="1"/>
  <c r="W87" i="18"/>
  <c r="X87" i="18" s="1"/>
  <c r="W25" i="18"/>
  <c r="X25" i="18" s="1"/>
  <c r="W489" i="18"/>
  <c r="X489" i="18" s="1"/>
  <c r="W203" i="18"/>
  <c r="X203" i="18" s="1"/>
  <c r="W200" i="18"/>
  <c r="X200" i="18" s="1"/>
  <c r="W470" i="18"/>
  <c r="X470" i="18" s="1"/>
  <c r="W235" i="18"/>
  <c r="X235" i="18" s="1"/>
  <c r="W505" i="18"/>
  <c r="X505" i="18" s="1"/>
  <c r="W285" i="18"/>
  <c r="X285" i="18" s="1"/>
  <c r="W42" i="18"/>
  <c r="X42" i="18" s="1"/>
  <c r="W395" i="18"/>
  <c r="X395" i="18" s="1"/>
  <c r="W95" i="18"/>
  <c r="X95" i="18" s="1"/>
  <c r="W261" i="18"/>
  <c r="X261" i="18" s="1"/>
  <c r="W423" i="18"/>
  <c r="X423" i="18" s="1"/>
  <c r="W109" i="18"/>
  <c r="X109" i="18" s="1"/>
  <c r="W182" i="18"/>
  <c r="X182" i="18" s="1"/>
  <c r="W529" i="18"/>
  <c r="X529" i="18" s="1"/>
  <c r="W152" i="18"/>
  <c r="X152" i="18" s="1"/>
  <c r="W359" i="18"/>
  <c r="X359" i="18" s="1"/>
  <c r="W269" i="18"/>
  <c r="X269" i="18" s="1"/>
  <c r="W430" i="18"/>
  <c r="X430" i="18" s="1"/>
  <c r="W215" i="18"/>
  <c r="X215" i="18" s="1"/>
  <c r="W324" i="18"/>
  <c r="X324" i="18" s="1"/>
  <c r="W210" i="18"/>
  <c r="X210" i="18" s="1"/>
  <c r="W113" i="18"/>
  <c r="X113" i="18" s="1"/>
  <c r="W117" i="18"/>
  <c r="X117" i="18" s="1"/>
  <c r="W296" i="18"/>
  <c r="X296" i="18" s="1"/>
  <c r="W402" i="18"/>
  <c r="X402" i="18" s="1"/>
  <c r="W288" i="18"/>
  <c r="X288" i="18" s="1"/>
  <c r="W316" i="18"/>
  <c r="X316" i="18" s="1"/>
  <c r="W125" i="18"/>
  <c r="X125" i="18" s="1"/>
  <c r="W245" i="18"/>
  <c r="X245" i="18" s="1"/>
  <c r="W528" i="18"/>
  <c r="X528" i="18" s="1"/>
  <c r="W341" i="18"/>
  <c r="X341" i="18" s="1"/>
  <c r="W165" i="18"/>
  <c r="X165" i="18" s="1"/>
  <c r="W382" i="18"/>
  <c r="X382" i="18" s="1"/>
  <c r="W137" i="18"/>
  <c r="X137" i="18" s="1"/>
  <c r="W522" i="18"/>
  <c r="X522" i="18" s="1"/>
  <c r="W194" i="18"/>
  <c r="X194" i="18" s="1"/>
  <c r="W189" i="18"/>
  <c r="X189" i="18" s="1"/>
  <c r="W473" i="18"/>
  <c r="X473" i="18" s="1"/>
  <c r="W72" i="18"/>
  <c r="X72" i="18" s="1"/>
  <c r="W52" i="18"/>
  <c r="X52" i="18" s="1"/>
  <c r="W277" i="18"/>
  <c r="X277" i="18" s="1"/>
  <c r="W130" i="18"/>
  <c r="X130" i="18" s="1"/>
  <c r="W65" i="18"/>
  <c r="X65" i="18" s="1"/>
  <c r="W84" i="18"/>
  <c r="X84" i="18" s="1"/>
  <c r="W172" i="18"/>
  <c r="X172" i="18" s="1"/>
  <c r="W106" i="18"/>
  <c r="X106" i="18" s="1"/>
  <c r="W41" i="18"/>
  <c r="X41" i="18" s="1"/>
  <c r="W474" i="18"/>
  <c r="X474" i="18" s="1"/>
  <c r="W160" i="18"/>
  <c r="X160" i="18" s="1"/>
  <c r="W283" i="18"/>
  <c r="X283" i="18" s="1"/>
  <c r="W227" i="18"/>
  <c r="X227" i="18" s="1"/>
  <c r="W251" i="18"/>
  <c r="X251" i="18" s="1"/>
  <c r="W327" i="18"/>
  <c r="X327" i="18" s="1"/>
  <c r="W376" i="18"/>
  <c r="X376" i="18" s="1"/>
  <c r="W289" i="18"/>
  <c r="X289" i="18" s="1"/>
  <c r="W371" i="18"/>
  <c r="X371" i="18" s="1"/>
  <c r="W59" i="18"/>
  <c r="X59" i="18" s="1"/>
  <c r="W99" i="18"/>
  <c r="X99" i="18" s="1"/>
  <c r="W132" i="18"/>
  <c r="X132" i="18" s="1"/>
  <c r="W20" i="18"/>
  <c r="X20" i="18" s="1"/>
  <c r="W212" i="18"/>
  <c r="X212" i="18" s="1"/>
  <c r="W204" i="18"/>
  <c r="X204" i="18" s="1"/>
  <c r="W390" i="18"/>
  <c r="X390" i="18" s="1"/>
  <c r="W74" i="18"/>
  <c r="X74" i="18" s="1"/>
  <c r="W515" i="18"/>
  <c r="X515" i="18" s="1"/>
  <c r="W247" i="18"/>
  <c r="X247" i="18" s="1"/>
  <c r="W519" i="18"/>
  <c r="X519" i="18" s="1"/>
  <c r="W452" i="18"/>
  <c r="X452" i="18" s="1"/>
  <c r="W306" i="18"/>
  <c r="X306" i="18" s="1"/>
  <c r="W237" i="18"/>
  <c r="X237" i="18" s="1"/>
  <c r="W149" i="18"/>
  <c r="X149" i="18" s="1"/>
  <c r="W497" i="18"/>
  <c r="X497" i="18" s="1"/>
  <c r="W249" i="18"/>
  <c r="X249" i="18" s="1"/>
  <c r="W481" i="18"/>
  <c r="X481" i="18" s="1"/>
  <c r="W198" i="18"/>
  <c r="X198" i="18" s="1"/>
  <c r="W98" i="18"/>
  <c r="X98" i="18" s="1"/>
  <c r="W248" i="18"/>
  <c r="X248" i="18" s="1"/>
  <c r="W18" i="18"/>
  <c r="X18" i="18" s="1"/>
  <c r="W429" i="18"/>
  <c r="X429" i="18" s="1"/>
  <c r="W119" i="18"/>
  <c r="X119" i="18" s="1"/>
  <c r="W491" i="18"/>
  <c r="X491" i="18" s="1"/>
  <c r="W219" i="18"/>
  <c r="X219" i="18" s="1"/>
  <c r="W374" i="18"/>
  <c r="X374" i="18" s="1"/>
  <c r="W420" i="18"/>
  <c r="X420" i="18" s="1"/>
  <c r="W83" i="18"/>
  <c r="X83" i="18" s="1"/>
  <c r="W518" i="18"/>
  <c r="X518" i="18" s="1"/>
  <c r="W504" i="18"/>
  <c r="X504" i="18" s="1"/>
  <c r="W381" i="18"/>
  <c r="X381" i="18" s="1"/>
  <c r="W323" i="18"/>
  <c r="X323" i="18" s="1"/>
  <c r="W181" i="18"/>
  <c r="X181" i="18" s="1"/>
  <c r="W421" i="18"/>
  <c r="X421" i="18" s="1"/>
  <c r="W282" i="18"/>
  <c r="X282" i="18" s="1"/>
  <c r="W406" i="18"/>
  <c r="X406" i="18" s="1"/>
  <c r="W144" i="18"/>
  <c r="X144" i="18" s="1"/>
  <c r="W398" i="18"/>
  <c r="X398" i="18" s="1"/>
  <c r="W439" i="18"/>
  <c r="X439" i="18" s="1"/>
  <c r="W286" i="18"/>
  <c r="X286" i="18" s="1"/>
  <c r="W53" i="18"/>
  <c r="X53" i="18" s="1"/>
  <c r="W250" i="18"/>
  <c r="X250" i="18" s="1"/>
  <c r="W77" i="18"/>
  <c r="X77" i="18" s="1"/>
  <c r="W178" i="18"/>
  <c r="X178" i="18" s="1"/>
  <c r="W496" i="18"/>
  <c r="X496" i="18" s="1"/>
  <c r="W21" i="18"/>
  <c r="X21" i="18" s="1"/>
  <c r="W66" i="18"/>
  <c r="X66" i="18" s="1"/>
  <c r="W482" i="18"/>
  <c r="X482" i="18" s="1"/>
  <c r="W133" i="18"/>
  <c r="X133" i="18" s="1"/>
  <c r="W464" i="18"/>
  <c r="X464" i="18" s="1"/>
  <c r="W319" i="18"/>
  <c r="X319" i="18" s="1"/>
  <c r="W192" i="18"/>
  <c r="X192" i="18" s="1"/>
  <c r="W370" i="18"/>
  <c r="X370" i="18" s="1"/>
  <c r="W23" i="18"/>
  <c r="X23" i="18" s="1"/>
  <c r="W451" i="18"/>
  <c r="X451" i="18" s="1"/>
  <c r="W507" i="18"/>
  <c r="X507" i="18" s="1"/>
  <c r="W318" i="18"/>
  <c r="X318" i="18" s="1"/>
  <c r="W414" i="18"/>
  <c r="X414" i="18" s="1"/>
  <c r="W379" i="18"/>
  <c r="X379" i="18" s="1"/>
  <c r="W459" i="18"/>
  <c r="X459" i="18" s="1"/>
  <c r="W308" i="18"/>
  <c r="X308" i="18" s="1"/>
  <c r="W500" i="18"/>
  <c r="X500" i="18" s="1"/>
  <c r="W509" i="18"/>
  <c r="X509" i="18" s="1"/>
  <c r="W34" i="18"/>
  <c r="X34" i="18" s="1"/>
  <c r="W435" i="18"/>
  <c r="X435" i="18" s="1"/>
  <c r="W78" i="18"/>
  <c r="X78" i="18" s="1"/>
  <c r="W495" i="18"/>
  <c r="X495" i="18" s="1"/>
  <c r="W193" i="18"/>
  <c r="X193" i="18" s="1"/>
  <c r="W356" i="18"/>
  <c r="X356" i="18" s="1"/>
  <c r="W409" i="18"/>
  <c r="X409" i="18" s="1"/>
  <c r="W187" i="18"/>
  <c r="X187" i="18" s="1"/>
  <c r="W169" i="18"/>
  <c r="X169" i="18" s="1"/>
  <c r="W38" i="18"/>
  <c r="X38" i="18" s="1"/>
  <c r="W179" i="18"/>
  <c r="X179" i="18" s="1"/>
  <c r="W121" i="18"/>
  <c r="X121" i="18" s="1"/>
  <c r="W337" i="18"/>
  <c r="X337" i="18" s="1"/>
  <c r="W345" i="18"/>
  <c r="X345" i="18" s="1"/>
  <c r="W347" i="18"/>
  <c r="X347" i="18" s="1"/>
  <c r="W472" i="18"/>
  <c r="X472" i="18" s="1"/>
  <c r="W494" i="18"/>
  <c r="X494" i="18" s="1"/>
  <c r="W433" i="18"/>
  <c r="X433" i="18" s="1"/>
  <c r="W220" i="18"/>
  <c r="X220" i="18" s="1"/>
  <c r="W64" i="18"/>
  <c r="X64" i="18" s="1"/>
  <c r="W199" i="18"/>
  <c r="X199" i="18" s="1"/>
  <c r="W300" i="18"/>
  <c r="X300" i="18" s="1"/>
  <c r="W458" i="18"/>
  <c r="X458" i="18" s="1"/>
  <c r="W29" i="18"/>
  <c r="X29" i="18" s="1"/>
  <c r="W253" i="18"/>
  <c r="X253" i="18" s="1"/>
  <c r="W477" i="18"/>
  <c r="X477" i="18" s="1"/>
  <c r="W158" i="18"/>
  <c r="X158" i="18" s="1"/>
  <c r="W213" i="18"/>
  <c r="X213" i="18" s="1"/>
  <c r="W274" i="18"/>
  <c r="X274" i="18" s="1"/>
  <c r="W353" i="18"/>
  <c r="X353" i="18" s="1"/>
  <c r="W315" i="18"/>
  <c r="X315" i="18" s="1"/>
  <c r="W272" i="18"/>
  <c r="X272" i="18" s="1"/>
  <c r="W454" i="18"/>
  <c r="X454" i="18" s="1"/>
  <c r="W396" i="18"/>
  <c r="X396" i="18" s="1"/>
  <c r="W346" i="18"/>
  <c r="X346" i="18" s="1"/>
  <c r="W177" i="18"/>
  <c r="X177" i="18" s="1"/>
  <c r="W171" i="18"/>
  <c r="X171" i="18" s="1"/>
  <c r="W108" i="18"/>
  <c r="X108" i="18" s="1"/>
  <c r="W516" i="18"/>
  <c r="X516" i="18" s="1"/>
  <c r="W312" i="18"/>
  <c r="X312" i="18" s="1"/>
  <c r="W436" i="18"/>
  <c r="X436" i="18" s="1"/>
  <c r="W27" i="18"/>
  <c r="X27" i="18" s="1"/>
  <c r="W279" i="18"/>
  <c r="X279" i="18" s="1"/>
  <c r="W446" i="18"/>
  <c r="X446" i="18" s="1"/>
  <c r="W881" i="18"/>
  <c r="X881" i="18" s="1"/>
  <c r="W696" i="18"/>
  <c r="X696" i="18" s="1"/>
  <c r="W781" i="18"/>
  <c r="X781" i="18" s="1"/>
  <c r="W788" i="18"/>
  <c r="X788" i="18" s="1"/>
  <c r="W675" i="18"/>
  <c r="X675" i="18" s="1"/>
  <c r="W783" i="18"/>
  <c r="X783" i="18" s="1"/>
  <c r="W930" i="18"/>
  <c r="X930" i="18" s="1"/>
  <c r="W854" i="18"/>
  <c r="X854" i="18" s="1"/>
  <c r="W724" i="18"/>
  <c r="X724" i="18" s="1"/>
  <c r="W554" i="18"/>
  <c r="X554" i="18" s="1"/>
  <c r="W909" i="18"/>
  <c r="X909" i="18" s="1"/>
  <c r="W957" i="18"/>
  <c r="X957" i="18" s="1"/>
  <c r="W886" i="18"/>
  <c r="X886" i="18" s="1"/>
  <c r="W709" i="18"/>
  <c r="X709" i="18" s="1"/>
  <c r="W742" i="18"/>
  <c r="X742" i="18" s="1"/>
  <c r="W997" i="18"/>
  <c r="X997" i="18" s="1"/>
  <c r="W977" i="18"/>
  <c r="X977" i="18" s="1"/>
  <c r="W940" i="18"/>
  <c r="X940" i="18" s="1"/>
  <c r="W612" i="18"/>
  <c r="X612" i="18" s="1"/>
  <c r="W591" i="18"/>
  <c r="X591" i="18" s="1"/>
  <c r="W587" i="18"/>
  <c r="X587" i="18" s="1"/>
  <c r="W888" i="18"/>
  <c r="X888" i="18" s="1"/>
  <c r="W639" i="18"/>
  <c r="X639" i="18" s="1"/>
  <c r="W798" i="18"/>
  <c r="X798" i="18" s="1"/>
  <c r="W830" i="18"/>
  <c r="X830" i="18" s="1"/>
  <c r="W684" i="18"/>
  <c r="X684" i="18" s="1"/>
  <c r="W818" i="18"/>
  <c r="X818" i="18" s="1"/>
  <c r="W775" i="18"/>
  <c r="X775" i="18" s="1"/>
  <c r="W948" i="18"/>
  <c r="X948" i="18" s="1"/>
  <c r="W867" i="18"/>
  <c r="X867" i="18" s="1"/>
  <c r="W640" i="18"/>
  <c r="X640" i="18" s="1"/>
  <c r="W963" i="18"/>
  <c r="X963" i="18" s="1"/>
  <c r="W924" i="18"/>
  <c r="X924" i="18" s="1"/>
  <c r="W837" i="18"/>
  <c r="X837" i="18" s="1"/>
  <c r="W992" i="18"/>
  <c r="X992" i="18" s="1"/>
  <c r="W917" i="18"/>
  <c r="X917" i="18" s="1"/>
  <c r="W748" i="18"/>
  <c r="X748" i="18" s="1"/>
  <c r="W802" i="18"/>
  <c r="X802" i="18" s="1"/>
  <c r="W967" i="18"/>
  <c r="X967" i="18" s="1"/>
  <c r="W611" i="18"/>
  <c r="X611" i="18" s="1"/>
  <c r="W835" i="18"/>
  <c r="X835" i="18" s="1"/>
  <c r="W955" i="18"/>
  <c r="X955" i="18" s="1"/>
  <c r="W780" i="18"/>
  <c r="X780" i="18" s="1"/>
  <c r="W968" i="18"/>
  <c r="X968" i="18" s="1"/>
  <c r="W789" i="18"/>
  <c r="X789" i="18" s="1"/>
  <c r="W878" i="18"/>
  <c r="X878" i="18" s="1"/>
  <c r="W952" i="18"/>
  <c r="X952" i="18" s="1"/>
  <c r="W1019" i="18"/>
  <c r="X1019" i="18" s="1"/>
  <c r="W631" i="18"/>
  <c r="X631" i="18" s="1"/>
  <c r="W660" i="18"/>
  <c r="X660" i="18" s="1"/>
  <c r="W564" i="18"/>
  <c r="X564" i="18" s="1"/>
  <c r="W1020" i="18"/>
  <c r="X1020" i="18" s="1"/>
  <c r="W885" i="18"/>
  <c r="X885" i="18" s="1"/>
  <c r="W1007" i="18"/>
  <c r="X1007" i="18" s="1"/>
  <c r="W729" i="18"/>
  <c r="X729" i="18" s="1"/>
  <c r="W712" i="18"/>
  <c r="X712" i="18" s="1"/>
  <c r="W805" i="18"/>
  <c r="X805" i="18" s="1"/>
  <c r="W894" i="18"/>
  <c r="X894" i="18" s="1"/>
  <c r="W700" i="18"/>
  <c r="X700" i="18" s="1"/>
  <c r="W943" i="18"/>
  <c r="X943" i="18" s="1"/>
  <c r="W954" i="18"/>
  <c r="X954" i="18" s="1"/>
  <c r="W944" i="18"/>
  <c r="X944" i="18" s="1"/>
  <c r="W1002" i="18"/>
  <c r="X1002" i="18" s="1"/>
  <c r="W910" i="18"/>
  <c r="X910" i="18" s="1"/>
  <c r="W627" i="18"/>
  <c r="X627" i="18" s="1"/>
  <c r="W721" i="18"/>
  <c r="X721" i="18" s="1"/>
  <c r="W708" i="18"/>
  <c r="X708" i="18" s="1"/>
  <c r="W983" i="18"/>
  <c r="X983" i="18" s="1"/>
  <c r="W1047" i="18"/>
  <c r="X1047" i="18" s="1"/>
  <c r="W962" i="18"/>
  <c r="X962" i="18" s="1"/>
  <c r="W937" i="18"/>
  <c r="X937" i="18" s="1"/>
  <c r="W923" i="18"/>
  <c r="X923" i="18" s="1"/>
  <c r="W723" i="18"/>
  <c r="X723" i="18" s="1"/>
  <c r="W918" i="18"/>
  <c r="X918" i="18" s="1"/>
  <c r="W657" i="18"/>
  <c r="X657" i="18" s="1"/>
  <c r="W1031" i="18"/>
  <c r="X1031" i="18" s="1"/>
  <c r="W901" i="18"/>
  <c r="X901" i="18" s="1"/>
  <c r="W738" i="18"/>
  <c r="X738" i="18" s="1"/>
  <c r="W652" i="18"/>
  <c r="X652" i="18" s="1"/>
  <c r="W600" i="18"/>
  <c r="X600" i="18" s="1"/>
  <c r="W666" i="18"/>
  <c r="X666" i="18" s="1"/>
  <c r="W853" i="18"/>
  <c r="X853" i="18" s="1"/>
  <c r="W978" i="18"/>
  <c r="X978" i="18" s="1"/>
  <c r="W960" i="18"/>
  <c r="X960" i="18" s="1"/>
  <c r="W922" i="18"/>
  <c r="X922" i="18" s="1"/>
  <c r="W844" i="18"/>
  <c r="X844" i="18" s="1"/>
  <c r="W560" i="18"/>
  <c r="X560" i="18" s="1"/>
  <c r="W1053" i="18"/>
  <c r="X1053" i="18" s="1"/>
  <c r="W697" i="18"/>
  <c r="X697" i="18" s="1"/>
  <c r="W758" i="18"/>
  <c r="X758" i="18" s="1"/>
  <c r="W747" i="18"/>
  <c r="X747" i="18" s="1"/>
  <c r="W690" i="18"/>
  <c r="X690" i="18" s="1"/>
  <c r="W791" i="18"/>
  <c r="X791" i="18" s="1"/>
  <c r="W951" i="18"/>
  <c r="X951" i="18" s="1"/>
  <c r="W590" i="18"/>
  <c r="X590" i="18" s="1"/>
  <c r="W682" i="18"/>
  <c r="X682" i="18" s="1"/>
  <c r="W971" i="18"/>
  <c r="X971" i="18" s="1"/>
  <c r="W585" i="18"/>
  <c r="X585" i="18" s="1"/>
  <c r="W817" i="18"/>
  <c r="X817" i="18" s="1"/>
  <c r="W1057" i="18"/>
  <c r="X1057" i="18" s="1"/>
  <c r="W579" i="18"/>
  <c r="X579" i="18" s="1"/>
  <c r="W613" i="18"/>
  <c r="X613" i="18" s="1"/>
  <c r="W959" i="18"/>
  <c r="X959" i="18" s="1"/>
  <c r="W746" i="18"/>
  <c r="X746" i="18" s="1"/>
  <c r="W796" i="18"/>
  <c r="X796" i="18" s="1"/>
  <c r="W566" i="18"/>
  <c r="X566" i="18" s="1"/>
  <c r="W1032" i="18"/>
  <c r="X1032" i="18" s="1"/>
  <c r="W974" i="18"/>
  <c r="X974" i="18" s="1"/>
  <c r="W767" i="18"/>
  <c r="X767" i="18" s="1"/>
  <c r="W953" i="18"/>
  <c r="X953" i="18" s="1"/>
  <c r="W594" i="18"/>
  <c r="X594" i="18" s="1"/>
  <c r="W916" i="18"/>
  <c r="X916" i="18" s="1"/>
  <c r="W810" i="18"/>
  <c r="X810" i="18" s="1"/>
  <c r="W792" i="18"/>
  <c r="X792" i="18" s="1"/>
  <c r="W965" i="18"/>
  <c r="X965" i="18" s="1"/>
  <c r="W813" i="18"/>
  <c r="X813" i="18" s="1"/>
  <c r="W766" i="18"/>
  <c r="X766" i="18" s="1"/>
  <c r="W672" i="18"/>
  <c r="X672" i="18" s="1"/>
  <c r="W950" i="18"/>
  <c r="X950" i="18" s="1"/>
  <c r="W932" i="18"/>
  <c r="X932" i="18" s="1"/>
  <c r="W693" i="18"/>
  <c r="X693" i="18" s="1"/>
  <c r="W664" i="18"/>
  <c r="X664" i="18" s="1"/>
  <c r="W976" i="18"/>
  <c r="X976" i="18" s="1"/>
  <c r="W1043" i="18"/>
  <c r="X1043" i="18" s="1"/>
  <c r="W648" i="18"/>
  <c r="X648" i="18" s="1"/>
  <c r="W685" i="18"/>
  <c r="X685" i="18" s="1"/>
  <c r="W752" i="18"/>
  <c r="X752" i="18" s="1"/>
  <c r="W822" i="18"/>
  <c r="X822" i="18" s="1"/>
  <c r="W947" i="18"/>
  <c r="X947" i="18" s="1"/>
  <c r="W662" i="18"/>
  <c r="X662" i="18" s="1"/>
  <c r="W659" i="18"/>
  <c r="X659" i="18" s="1"/>
  <c r="W956" i="18"/>
  <c r="X956" i="18" s="1"/>
  <c r="W827" i="18"/>
  <c r="X827" i="18" s="1"/>
  <c r="W973" i="18"/>
  <c r="X973" i="18" s="1"/>
  <c r="W1030" i="18"/>
  <c r="X1030" i="18" s="1"/>
  <c r="W832" i="18"/>
  <c r="X832" i="18" s="1"/>
  <c r="W755" i="18"/>
  <c r="X755" i="18" s="1"/>
  <c r="W704" i="18"/>
  <c r="X704" i="18" s="1"/>
  <c r="W592" i="18"/>
  <c r="X592" i="18" s="1"/>
  <c r="W650" i="18"/>
  <c r="X650" i="18" s="1"/>
  <c r="W670" i="18"/>
  <c r="X670" i="18" s="1"/>
  <c r="W914" i="18"/>
  <c r="X914" i="18" s="1"/>
  <c r="W838" i="18"/>
  <c r="X838" i="18" s="1"/>
  <c r="W624" i="18"/>
  <c r="X624" i="18" s="1"/>
  <c r="W1029" i="18"/>
  <c r="X1029" i="18" s="1"/>
  <c r="W577" i="18"/>
  <c r="X577" i="18" s="1"/>
  <c r="W574" i="18"/>
  <c r="X574" i="18" s="1"/>
  <c r="W563" i="18"/>
  <c r="X563" i="18" s="1"/>
  <c r="W588" i="18"/>
  <c r="X588" i="18" s="1"/>
  <c r="W683" i="18"/>
  <c r="X683" i="18" s="1"/>
  <c r="W785" i="18"/>
  <c r="X785" i="18" s="1"/>
  <c r="W896" i="18"/>
  <c r="X896" i="18" s="1"/>
  <c r="W762" i="18"/>
  <c r="X762" i="18" s="1"/>
  <c r="W808" i="18"/>
  <c r="X808" i="18" s="1"/>
  <c r="W877" i="18"/>
  <c r="X877" i="18" s="1"/>
  <c r="W841" i="18"/>
  <c r="X841" i="18" s="1"/>
  <c r="W981" i="18"/>
  <c r="X981" i="18" s="1"/>
  <c r="W689" i="18"/>
  <c r="X689" i="18" s="1"/>
  <c r="W794" i="18"/>
  <c r="X794" i="18" s="1"/>
  <c r="W850" i="18"/>
  <c r="X850" i="18" s="1"/>
  <c r="W1055" i="18"/>
  <c r="X1055" i="18" s="1"/>
  <c r="W636" i="18"/>
  <c r="X636" i="18" s="1"/>
  <c r="W875" i="18"/>
  <c r="X875" i="18" s="1"/>
  <c r="W551" i="18"/>
  <c r="X551" i="18" s="1"/>
  <c r="W908" i="18"/>
  <c r="X908" i="18" s="1"/>
  <c r="W598" i="18"/>
  <c r="X598" i="18" s="1"/>
  <c r="W653" i="18"/>
  <c r="X653" i="18" s="1"/>
  <c r="W1062" i="18"/>
  <c r="X1062" i="18" s="1"/>
  <c r="W1039" i="18"/>
  <c r="X1039" i="18" s="1"/>
  <c r="W578" i="18"/>
  <c r="X578" i="18" s="1"/>
  <c r="W603" i="18"/>
  <c r="X603" i="18" s="1"/>
  <c r="W557" i="18"/>
  <c r="X557" i="18" s="1"/>
  <c r="W843" i="18"/>
  <c r="X843" i="18" s="1"/>
  <c r="W787" i="18"/>
  <c r="X787" i="18" s="1"/>
  <c r="W644" i="18"/>
  <c r="X644" i="18" s="1"/>
  <c r="W825" i="18"/>
  <c r="X825" i="18" s="1"/>
  <c r="W771" i="18"/>
  <c r="X771" i="18" s="1"/>
  <c r="W731" i="18"/>
  <c r="X731" i="18" s="1"/>
  <c r="W961" i="18"/>
  <c r="X961" i="18" s="1"/>
  <c r="W680" i="18"/>
  <c r="X680" i="18" s="1"/>
  <c r="W568" i="18"/>
  <c r="X568" i="18" s="1"/>
  <c r="W857" i="18"/>
  <c r="X857" i="18" s="1"/>
  <c r="W628" i="18"/>
  <c r="X628" i="18" s="1"/>
  <c r="W845" i="18"/>
  <c r="X845" i="18" s="1"/>
  <c r="W750" i="18"/>
  <c r="X750" i="18" s="1"/>
  <c r="W939" i="18"/>
  <c r="X939" i="18" s="1"/>
  <c r="W605" i="18"/>
  <c r="X605" i="18" s="1"/>
  <c r="W784" i="18"/>
  <c r="X784" i="18" s="1"/>
  <c r="W847" i="18"/>
  <c r="X847" i="18" s="1"/>
  <c r="W702" i="18"/>
  <c r="X702" i="18" s="1"/>
  <c r="W859" i="18"/>
  <c r="X859" i="18" s="1"/>
  <c r="W1061" i="18"/>
  <c r="X1061" i="18" s="1"/>
  <c r="W1036" i="18"/>
  <c r="X1036" i="18" s="1"/>
  <c r="W635" i="18"/>
  <c r="X635" i="18" s="1"/>
  <c r="W935" i="18"/>
  <c r="X935" i="18" s="1"/>
  <c r="W561" i="18"/>
  <c r="X561" i="18" s="1"/>
  <c r="W633" i="18"/>
  <c r="X633" i="18" s="1"/>
  <c r="W649" i="18"/>
  <c r="X649" i="18" s="1"/>
  <c r="W736" i="18"/>
  <c r="X736" i="18" s="1"/>
  <c r="W599" i="18"/>
  <c r="X599" i="18" s="1"/>
  <c r="W945" i="18"/>
  <c r="X945" i="18" s="1"/>
  <c r="W989" i="18"/>
  <c r="X989" i="18" s="1"/>
  <c r="W993" i="18"/>
  <c r="X993" i="18" s="1"/>
  <c r="W833" i="18"/>
  <c r="X833" i="18" s="1"/>
  <c r="W851" i="18"/>
  <c r="X851" i="18" s="1"/>
  <c r="W872" i="18"/>
  <c r="X872" i="18" s="1"/>
  <c r="W1013" i="18"/>
  <c r="X1013" i="18" s="1"/>
  <c r="W728" i="18"/>
  <c r="X728" i="18" s="1"/>
  <c r="W811" i="18"/>
  <c r="X811" i="18" s="1"/>
  <c r="W905" i="18"/>
  <c r="X905" i="18" s="1"/>
  <c r="W936" i="18"/>
  <c r="X936" i="18" s="1"/>
  <c r="W713" i="18"/>
  <c r="X713" i="18" s="1"/>
  <c r="W1046" i="18"/>
  <c r="X1046" i="18" s="1"/>
  <c r="W576" i="18"/>
  <c r="X576" i="18" s="1"/>
  <c r="W904" i="18"/>
  <c r="X904" i="18" s="1"/>
  <c r="W806" i="18"/>
  <c r="X806" i="18" s="1"/>
  <c r="W982" i="18"/>
  <c r="X982" i="18" s="1"/>
  <c r="W637" i="18"/>
  <c r="X637" i="18" s="1"/>
  <c r="W655" i="18"/>
  <c r="X655" i="18" s="1"/>
  <c r="W698" i="18"/>
  <c r="X698" i="18" s="1"/>
  <c r="W705" i="18"/>
  <c r="X705" i="18" s="1"/>
  <c r="W1012" i="18"/>
  <c r="X1012" i="18" s="1"/>
  <c r="W754" i="18"/>
  <c r="X754" i="18" s="1"/>
  <c r="W671" i="18"/>
  <c r="X671" i="18" s="1"/>
  <c r="W786" i="18"/>
  <c r="X786" i="18" s="1"/>
  <c r="W608" i="18"/>
  <c r="X608" i="18" s="1"/>
  <c r="W866" i="18"/>
  <c r="X866" i="18" s="1"/>
  <c r="W927" i="18"/>
  <c r="X927" i="18" s="1"/>
  <c r="W814" i="18"/>
  <c r="X814" i="18" s="1"/>
  <c r="W898" i="18"/>
  <c r="X898" i="18" s="1"/>
  <c r="W1051" i="18"/>
  <c r="X1051" i="18" s="1"/>
  <c r="W856" i="18"/>
  <c r="X856" i="18" s="1"/>
  <c r="W987" i="18"/>
  <c r="X987" i="18" s="1"/>
  <c r="W826" i="18"/>
  <c r="X826" i="18" s="1"/>
  <c r="W815" i="18"/>
  <c r="X815" i="18" s="1"/>
  <c r="W1004" i="18"/>
  <c r="X1004" i="18" s="1"/>
  <c r="W891" i="18"/>
  <c r="X891" i="18" s="1"/>
  <c r="W776" i="18"/>
  <c r="X776" i="18" s="1"/>
  <c r="W1044" i="18"/>
  <c r="X1044" i="18" s="1"/>
  <c r="W630" i="18"/>
  <c r="X630" i="18" s="1"/>
  <c r="W834" i="18"/>
  <c r="X834" i="18" s="1"/>
  <c r="W900" i="18"/>
  <c r="X900" i="18" s="1"/>
  <c r="W582" i="18"/>
  <c r="X582" i="18" s="1"/>
  <c r="W946" i="18"/>
  <c r="X946" i="18" s="1"/>
  <c r="W842" i="18"/>
  <c r="X842" i="18" s="1"/>
  <c r="W774" i="18"/>
  <c r="X774" i="18" s="1"/>
  <c r="W625" i="18"/>
  <c r="X625" i="18" s="1"/>
  <c r="W778" i="18"/>
  <c r="X778" i="18" s="1"/>
  <c r="W938" i="18"/>
  <c r="X938" i="18" s="1"/>
  <c r="W638" i="18"/>
  <c r="X638" i="18" s="1"/>
  <c r="W688" i="18"/>
  <c r="X688" i="18" s="1"/>
  <c r="W912" i="18"/>
  <c r="X912" i="18" s="1"/>
  <c r="W969" i="18"/>
  <c r="X969" i="18" s="1"/>
  <c r="W647" i="18"/>
  <c r="X647" i="18" s="1"/>
  <c r="W828" i="18"/>
  <c r="X828" i="18" s="1"/>
  <c r="W816" i="18"/>
  <c r="X816" i="18" s="1"/>
  <c r="W739" i="18"/>
  <c r="X739" i="18" s="1"/>
  <c r="W831" i="18"/>
  <c r="X831" i="18" s="1"/>
  <c r="W966" i="18"/>
  <c r="X966" i="18" s="1"/>
  <c r="W1018" i="18"/>
  <c r="X1018" i="18" s="1"/>
  <c r="W800" i="18"/>
  <c r="X800" i="18" s="1"/>
  <c r="W663" i="18"/>
  <c r="X663" i="18" s="1"/>
  <c r="W641" i="18"/>
  <c r="X641" i="18" s="1"/>
  <c r="W575" i="18"/>
  <c r="X575" i="18" s="1"/>
  <c r="W595" i="18"/>
  <c r="X595" i="18" s="1"/>
  <c r="W984" i="18"/>
  <c r="X984" i="18" s="1"/>
  <c r="W763" i="18"/>
  <c r="X763" i="18" s="1"/>
  <c r="W749" i="18"/>
  <c r="X749" i="18" s="1"/>
  <c r="W980" i="18"/>
  <c r="X980" i="18" s="1"/>
  <c r="W620" i="18"/>
  <c r="X620" i="18" s="1"/>
  <c r="W991" i="18"/>
  <c r="X991" i="18" s="1"/>
  <c r="W893" i="18"/>
  <c r="X893" i="18" s="1"/>
  <c r="W580" i="18"/>
  <c r="X580" i="18" s="1"/>
  <c r="W925" i="18"/>
  <c r="X925" i="18" s="1"/>
  <c r="W1054" i="18"/>
  <c r="X1054" i="18" s="1"/>
  <c r="W777" i="18"/>
  <c r="X777" i="18" s="1"/>
  <c r="W725" i="18"/>
  <c r="X725" i="18" s="1"/>
  <c r="W1058" i="18"/>
  <c r="X1058" i="18" s="1"/>
  <c r="W673" i="18"/>
  <c r="X673" i="18" s="1"/>
  <c r="W676" i="18"/>
  <c r="X676" i="18" s="1"/>
  <c r="W772" i="18"/>
  <c r="X772" i="18" s="1"/>
  <c r="W1008" i="18"/>
  <c r="X1008" i="18" s="1"/>
  <c r="W1001" i="18"/>
  <c r="X1001" i="18" s="1"/>
  <c r="W1000" i="18"/>
  <c r="X1000" i="18" s="1"/>
  <c r="W720" i="18"/>
  <c r="X720" i="18" s="1"/>
  <c r="W793" i="18"/>
  <c r="X793" i="18" s="1"/>
  <c r="W1024" i="18"/>
  <c r="X1024" i="18" s="1"/>
  <c r="W735" i="18"/>
  <c r="X735" i="18" s="1"/>
  <c r="W669" i="18"/>
  <c r="X669" i="18" s="1"/>
  <c r="W869" i="18"/>
  <c r="X869" i="18" s="1"/>
  <c r="W903" i="18"/>
  <c r="X903" i="18" s="1"/>
  <c r="W661" i="18"/>
  <c r="X661" i="18" s="1"/>
  <c r="W919" i="18"/>
  <c r="X919" i="18" s="1"/>
  <c r="W707" i="18"/>
  <c r="X707" i="18" s="1"/>
  <c r="W759" i="18"/>
  <c r="X759" i="18" s="1"/>
  <c r="W615" i="18"/>
  <c r="X615" i="18" s="1"/>
  <c r="W970" i="18"/>
  <c r="X970" i="18" s="1"/>
  <c r="W694" i="18"/>
  <c r="X694" i="18" s="1"/>
  <c r="W862" i="18"/>
  <c r="X862" i="18" s="1"/>
  <c r="W1025" i="18"/>
  <c r="X1025" i="18" s="1"/>
  <c r="W883" i="18"/>
  <c r="X883" i="18" s="1"/>
  <c r="W840" i="18"/>
  <c r="X840" i="18" s="1"/>
  <c r="W864" i="18"/>
  <c r="X864" i="18" s="1"/>
  <c r="W562" i="18"/>
  <c r="X562" i="18" s="1"/>
  <c r="W711" i="18"/>
  <c r="X711" i="18" s="1"/>
  <c r="W964" i="18"/>
  <c r="X964" i="18" s="1"/>
  <c r="W1050" i="18"/>
  <c r="X1050" i="18" s="1"/>
  <c r="W642" i="18"/>
  <c r="X642" i="18" s="1"/>
  <c r="W821" i="18"/>
  <c r="X821" i="18" s="1"/>
  <c r="W1048" i="18"/>
  <c r="X1048" i="18" s="1"/>
  <c r="W874" i="18"/>
  <c r="X874" i="18" s="1"/>
  <c r="W873" i="18"/>
  <c r="X873" i="18" s="1"/>
  <c r="W809" i="18"/>
  <c r="X809" i="18" s="1"/>
  <c r="W769" i="18"/>
  <c r="X769" i="18" s="1"/>
  <c r="W933" i="18"/>
  <c r="X933" i="18" s="1"/>
  <c r="W1005" i="18"/>
  <c r="X1005" i="18" s="1"/>
  <c r="W558" i="18"/>
  <c r="X558" i="18" s="1"/>
  <c r="W677" i="18"/>
  <c r="X677" i="18" s="1"/>
  <c r="W902" i="18"/>
  <c r="X902" i="18" s="1"/>
  <c r="W617" i="18"/>
  <c r="X617" i="18" s="1"/>
  <c r="W768" i="18"/>
  <c r="X768" i="18" s="1"/>
  <c r="W686" i="18"/>
  <c r="X686" i="18" s="1"/>
  <c r="W855" i="18"/>
  <c r="X855" i="18" s="1"/>
  <c r="W871" i="18"/>
  <c r="X871" i="18" s="1"/>
  <c r="W829" i="18"/>
  <c r="X829" i="18" s="1"/>
  <c r="W836" i="18"/>
  <c r="X836" i="18" s="1"/>
  <c r="W616" i="18"/>
  <c r="X616" i="18" s="1"/>
  <c r="W1038" i="18"/>
  <c r="X1038" i="18" s="1"/>
  <c r="W988" i="18"/>
  <c r="X988" i="18" s="1"/>
  <c r="W756" i="18"/>
  <c r="X756" i="18" s="1"/>
  <c r="W1016" i="18"/>
  <c r="X1016" i="18" s="1"/>
  <c r="W699" i="18"/>
  <c r="X699" i="18" s="1"/>
  <c r="W733" i="18"/>
  <c r="X733" i="18" s="1"/>
  <c r="W589" i="18"/>
  <c r="X589" i="18" s="1"/>
  <c r="W892" i="18"/>
  <c r="X892" i="18" s="1"/>
  <c r="W716" i="18"/>
  <c r="X716" i="18" s="1"/>
  <c r="W614" i="18"/>
  <c r="X614" i="18" s="1"/>
  <c r="W607" i="18"/>
  <c r="X607" i="18" s="1"/>
  <c r="W744" i="18"/>
  <c r="X744" i="18" s="1"/>
  <c r="W994" i="18"/>
  <c r="X994" i="18" s="1"/>
  <c r="W979" i="18"/>
  <c r="X979" i="18" s="1"/>
  <c r="W623" i="18"/>
  <c r="X623" i="18" s="1"/>
  <c r="W1059" i="18"/>
  <c r="X1059" i="18" s="1"/>
  <c r="W858" i="18"/>
  <c r="X858" i="18" s="1"/>
  <c r="W586" i="18"/>
  <c r="X586" i="18" s="1"/>
  <c r="W915" i="18"/>
  <c r="X915" i="18" s="1"/>
  <c r="W1014" i="18"/>
  <c r="X1014" i="18" s="1"/>
  <c r="W911" i="18"/>
  <c r="X911" i="18" s="1"/>
  <c r="W846" i="18"/>
  <c r="X846" i="18" s="1"/>
  <c r="W801" i="18"/>
  <c r="X801" i="18" s="1"/>
  <c r="W770" i="18"/>
  <c r="X770" i="18" s="1"/>
  <c r="W722" i="18"/>
  <c r="X722" i="18" s="1"/>
  <c r="W687" i="18"/>
  <c r="X687" i="18" s="1"/>
  <c r="W645" i="18"/>
  <c r="X645" i="18" s="1"/>
  <c r="W975" i="18"/>
  <c r="X975" i="18" s="1"/>
  <c r="W741" i="18"/>
  <c r="X741" i="18" s="1"/>
  <c r="W985" i="18"/>
  <c r="X985" i="18" s="1"/>
  <c r="W880" i="18"/>
  <c r="X880" i="18" s="1"/>
  <c r="W839" i="18"/>
  <c r="X839" i="18" s="1"/>
  <c r="W583" i="18"/>
  <c r="X583" i="18" s="1"/>
  <c r="W727" i="18"/>
  <c r="X727" i="18" s="1"/>
  <c r="W757" i="18"/>
  <c r="X757" i="18" s="1"/>
  <c r="W596" i="18"/>
  <c r="X596" i="18" s="1"/>
  <c r="W929" i="18"/>
  <c r="X929" i="18" s="1"/>
  <c r="W1011" i="18"/>
  <c r="X1011" i="18" s="1"/>
  <c r="W565" i="18"/>
  <c r="X565" i="18" s="1"/>
  <c r="W921" i="18"/>
  <c r="X921" i="18" s="1"/>
  <c r="W899" i="18"/>
  <c r="X899" i="18" s="1"/>
  <c r="W863" i="18"/>
  <c r="X863" i="18" s="1"/>
  <c r="W681" i="18"/>
  <c r="X681" i="18" s="1"/>
  <c r="W926" i="18"/>
  <c r="X926" i="18" s="1"/>
  <c r="W602" i="18"/>
  <c r="X602" i="18" s="1"/>
  <c r="W1006" i="18"/>
  <c r="X1006" i="18" s="1"/>
  <c r="W740" i="18"/>
  <c r="X740" i="18" s="1"/>
  <c r="W799" i="18"/>
  <c r="X799" i="18" s="1"/>
  <c r="W606" i="18"/>
  <c r="X606" i="18" s="1"/>
  <c r="W1033" i="18"/>
  <c r="X1033" i="18" s="1"/>
  <c r="W751" i="18"/>
  <c r="X751" i="18" s="1"/>
  <c r="W679" i="18"/>
  <c r="X679" i="18" s="1"/>
  <c r="W715" i="18"/>
  <c r="X715" i="18" s="1"/>
  <c r="W804" i="18"/>
  <c r="X804" i="18" s="1"/>
  <c r="W692" i="18"/>
  <c r="X692" i="18" s="1"/>
  <c r="W674" i="18"/>
  <c r="X674" i="18" s="1"/>
  <c r="W895" i="18"/>
  <c r="X895" i="18" s="1"/>
  <c r="W643" i="18"/>
  <c r="X643" i="18" s="1"/>
  <c r="W1052" i="18"/>
  <c r="X1052" i="18" s="1"/>
  <c r="W761" i="18"/>
  <c r="X761" i="18" s="1"/>
  <c r="W1034" i="18"/>
  <c r="X1034" i="18" s="1"/>
  <c r="W719" i="18"/>
  <c r="X719" i="18" s="1"/>
  <c r="W610" i="18"/>
  <c r="X610" i="18" s="1"/>
  <c r="W593" i="18"/>
  <c r="X593" i="18" s="1"/>
  <c r="W654" i="18"/>
  <c r="X654" i="18" s="1"/>
  <c r="W823" i="18"/>
  <c r="X823" i="18" s="1"/>
  <c r="W665" i="18"/>
  <c r="X665" i="18" s="1"/>
  <c r="W646" i="18"/>
  <c r="X646" i="18" s="1"/>
  <c r="W790" i="18"/>
  <c r="X790" i="18" s="1"/>
  <c r="W717" i="18"/>
  <c r="X717" i="18" s="1"/>
  <c r="W907" i="18"/>
  <c r="X907" i="18" s="1"/>
  <c r="W876" i="18"/>
  <c r="X876" i="18" s="1"/>
  <c r="W710" i="18"/>
  <c r="X710" i="18" s="1"/>
  <c r="W604" i="18"/>
  <c r="X604" i="18" s="1"/>
  <c r="W1023" i="18"/>
  <c r="X1023" i="18" s="1"/>
  <c r="W765" i="18"/>
  <c r="X765" i="18" s="1"/>
  <c r="W812" i="18"/>
  <c r="X812" i="18" s="1"/>
  <c r="W622" i="18"/>
  <c r="X622" i="18" s="1"/>
  <c r="W706" i="18"/>
  <c r="X706" i="18" s="1"/>
  <c r="W753" i="18"/>
  <c r="X753" i="18" s="1"/>
  <c r="W1060" i="18"/>
  <c r="X1060" i="18" s="1"/>
  <c r="W581" i="18"/>
  <c r="X581" i="18" s="1"/>
  <c r="W730" i="18"/>
  <c r="X730" i="18" s="1"/>
  <c r="W703" i="18"/>
  <c r="X703" i="18" s="1"/>
  <c r="W1010" i="18"/>
  <c r="X1010" i="18" s="1"/>
  <c r="W571" i="18"/>
  <c r="X571" i="18" s="1"/>
  <c r="W1017" i="18"/>
  <c r="X1017" i="18" s="1"/>
  <c r="W553" i="18"/>
  <c r="X553" i="18" s="1"/>
  <c r="W695" i="18"/>
  <c r="X695" i="18" s="1"/>
  <c r="W890" i="18"/>
  <c r="X890" i="18" s="1"/>
  <c r="W667" i="18"/>
  <c r="X667" i="18" s="1"/>
  <c r="W986" i="18"/>
  <c r="X986" i="18" s="1"/>
  <c r="W691" i="18"/>
  <c r="X691" i="18" s="1"/>
  <c r="W658" i="18"/>
  <c r="X658" i="18" s="1"/>
  <c r="W555" i="18"/>
  <c r="X555" i="18" s="1"/>
  <c r="W897" i="18"/>
  <c r="X897" i="18" s="1"/>
  <c r="W996" i="18"/>
  <c r="X996" i="18" s="1"/>
  <c r="W718" i="18"/>
  <c r="X718" i="18" s="1"/>
  <c r="W1026" i="18"/>
  <c r="X1026" i="18" s="1"/>
  <c r="W865" i="18"/>
  <c r="X865" i="18" s="1"/>
  <c r="W559" i="18"/>
  <c r="X559" i="18" s="1"/>
  <c r="W1021" i="18"/>
  <c r="X1021" i="18" s="1"/>
  <c r="W819" i="18"/>
  <c r="X819" i="18" s="1"/>
  <c r="W972" i="18"/>
  <c r="X972" i="18" s="1"/>
  <c r="W949" i="18"/>
  <c r="X949" i="18" s="1"/>
  <c r="W618" i="18"/>
  <c r="X618" i="18" s="1"/>
  <c r="W701" i="18"/>
  <c r="X701" i="18" s="1"/>
  <c r="W726" i="18"/>
  <c r="X726" i="18" s="1"/>
  <c r="W1041" i="18"/>
  <c r="X1041" i="18" s="1"/>
  <c r="W795" i="18"/>
  <c r="X795" i="18" s="1"/>
  <c r="W942" i="18"/>
  <c r="X942" i="18" s="1"/>
  <c r="W797" i="18"/>
  <c r="X797" i="18" s="1"/>
  <c r="W931" i="18"/>
  <c r="X931" i="18" s="1"/>
  <c r="W1022" i="18"/>
  <c r="X1022" i="18" s="1"/>
  <c r="W782" i="18"/>
  <c r="X782" i="18" s="1"/>
  <c r="W870" i="18"/>
  <c r="X870" i="18" s="1"/>
  <c r="W732" i="18"/>
  <c r="X732" i="18" s="1"/>
  <c r="W556" i="18"/>
  <c r="X556" i="18" s="1"/>
  <c r="W999" i="18"/>
  <c r="X999" i="18" s="1"/>
  <c r="W906" i="18"/>
  <c r="X906" i="18" s="1"/>
  <c r="W1049" i="18"/>
  <c r="X1049" i="18" s="1"/>
  <c r="W737" i="18"/>
  <c r="X737" i="18" s="1"/>
  <c r="W743" i="18"/>
  <c r="X743" i="18" s="1"/>
  <c r="W820" i="18"/>
  <c r="X820" i="18" s="1"/>
  <c r="W884" i="18"/>
  <c r="X884" i="18" s="1"/>
  <c r="W668" i="18"/>
  <c r="X668" i="18" s="1"/>
  <c r="W995" i="18"/>
  <c r="X995" i="18" s="1"/>
  <c r="W1003" i="18"/>
  <c r="X1003" i="18" s="1"/>
  <c r="W570" i="18"/>
  <c r="X570" i="18" s="1"/>
  <c r="W619" i="18"/>
  <c r="X619" i="18" s="1"/>
  <c r="W1042" i="18"/>
  <c r="X1042" i="18" s="1"/>
  <c r="W882" i="18"/>
  <c r="X882" i="18" s="1"/>
  <c r="W1009" i="18"/>
  <c r="X1009" i="18" s="1"/>
  <c r="W824" i="18"/>
  <c r="X824" i="18" s="1"/>
  <c r="W1040" i="18"/>
  <c r="X1040" i="18" s="1"/>
  <c r="W807" i="18"/>
  <c r="X807" i="18" s="1"/>
  <c r="W887" i="18"/>
  <c r="X887" i="18" s="1"/>
  <c r="W764" i="18"/>
  <c r="X764" i="18" s="1"/>
  <c r="W1037" i="18"/>
  <c r="X1037" i="18" s="1"/>
  <c r="W745" i="18"/>
  <c r="X745" i="18" s="1"/>
  <c r="W621" i="18"/>
  <c r="X621" i="18" s="1"/>
  <c r="W879" i="18"/>
  <c r="X879" i="18" s="1"/>
  <c r="W868" i="18"/>
  <c r="X868" i="18" s="1"/>
  <c r="W1028" i="18"/>
  <c r="X1028" i="18" s="1"/>
  <c r="W1027" i="18"/>
  <c r="X1027" i="18" s="1"/>
  <c r="W609" i="18"/>
  <c r="X609" i="18" s="1"/>
  <c r="W998" i="18"/>
  <c r="X998" i="18" s="1"/>
  <c r="W913" i="18"/>
  <c r="X913" i="18" s="1"/>
  <c r="W849" i="18"/>
  <c r="X849" i="18" s="1"/>
  <c r="W990" i="18"/>
  <c r="X990" i="18" s="1"/>
  <c r="W1015" i="18"/>
  <c r="X1015" i="18" s="1"/>
  <c r="W651" i="18"/>
  <c r="X651" i="18" s="1"/>
  <c r="W760" i="18"/>
  <c r="X760" i="18" s="1"/>
  <c r="W958" i="18"/>
  <c r="X958" i="18" s="1"/>
  <c r="W714" i="18"/>
  <c r="X714" i="18" s="1"/>
  <c r="W1045" i="18"/>
  <c r="X1045" i="18" s="1"/>
  <c r="W779" i="18"/>
  <c r="X779" i="18" s="1"/>
  <c r="W861" i="18"/>
  <c r="X861" i="18" s="1"/>
  <c r="W734" i="18"/>
  <c r="X734" i="18" s="1"/>
  <c r="W597" i="18"/>
  <c r="X597" i="18" s="1"/>
  <c r="W678" i="18"/>
  <c r="X678" i="18" s="1"/>
  <c r="W552" i="18"/>
  <c r="X552" i="18" s="1"/>
  <c r="W934" i="18"/>
  <c r="X934" i="18" s="1"/>
  <c r="W928" i="18"/>
  <c r="X928" i="18" s="1"/>
  <c r="W803" i="18"/>
  <c r="X803" i="18" s="1"/>
  <c r="W626" i="18"/>
  <c r="X626" i="18" s="1"/>
  <c r="W632" i="18"/>
  <c r="X632" i="18" s="1"/>
  <c r="W634" i="18"/>
  <c r="X634" i="18" s="1"/>
  <c r="W852" i="18"/>
  <c r="X852" i="18" s="1"/>
  <c r="W848" i="18"/>
  <c r="X848" i="18" s="1"/>
  <c r="W569" i="18"/>
  <c r="X569" i="18" s="1"/>
  <c r="W572" i="18"/>
  <c r="X572" i="18" s="1"/>
  <c r="W920" i="18"/>
  <c r="X920" i="18" s="1"/>
  <c r="W1035" i="18"/>
  <c r="X1035" i="18" s="1"/>
  <c r="W601" i="18"/>
  <c r="X601" i="18" s="1"/>
  <c r="W567" i="18"/>
  <c r="X567" i="18" s="1"/>
  <c r="W584" i="18"/>
  <c r="X584" i="18" s="1"/>
  <c r="W629" i="18"/>
  <c r="X629" i="18" s="1"/>
  <c r="W1056" i="18"/>
  <c r="X1056" i="18" s="1"/>
  <c r="W860" i="18"/>
  <c r="X860" i="18" s="1"/>
  <c r="W573" i="18"/>
  <c r="X573" i="18" s="1"/>
  <c r="W773" i="18"/>
  <c r="X773" i="18" s="1"/>
  <c r="W889" i="18"/>
  <c r="X889" i="18" s="1"/>
  <c r="W656" i="18"/>
  <c r="X656" i="18" s="1"/>
  <c r="X531" i="18" l="1"/>
  <c r="Q3" i="18" s="1"/>
  <c r="D182" i="5" s="1"/>
  <c r="D184" i="5" s="1"/>
  <c r="X1064" i="18"/>
  <c r="R3" i="18" s="1"/>
  <c r="E182" i="5" s="1"/>
  <c r="E184" i="5" s="1"/>
  <c r="E190" i="5" s="1"/>
  <c r="B45" i="1" l="1"/>
  <c r="X45" i="2"/>
  <c r="C47" i="1"/>
  <c r="E192" i="5"/>
  <c r="E193" i="5" s="1"/>
  <c r="E195" i="5" s="1"/>
  <c r="C45" i="1"/>
  <c r="D190" i="5"/>
  <c r="B45" i="2"/>
  <c r="D192" i="5"/>
  <c r="B47" i="1"/>
  <c r="C52" i="1" l="1"/>
  <c r="D193" i="5"/>
  <c r="X22" i="2"/>
  <c r="W49" i="4"/>
  <c r="C55" i="1"/>
  <c r="W49" i="3"/>
  <c r="D195" i="5" l="1"/>
  <c r="B55" i="1" s="1"/>
  <c r="B56" i="1" s="1"/>
  <c r="B52" i="1"/>
  <c r="B49" i="3" l="1"/>
  <c r="B49" i="4"/>
  <c r="B22" i="2"/>
  <c r="C56" i="1" l="1"/>
  <c r="B61" i="1"/>
</calcChain>
</file>

<file path=xl/sharedStrings.xml><?xml version="1.0" encoding="utf-8"?>
<sst xmlns="http://schemas.openxmlformats.org/spreadsheetml/2006/main" count="5201" uniqueCount="1887">
  <si>
    <t>Set 1</t>
  </si>
  <si>
    <t>Set 2</t>
  </si>
  <si>
    <t>Target</t>
  </si>
  <si>
    <t>Level</t>
  </si>
  <si>
    <t>General</t>
  </si>
  <si>
    <t>Abyssea</t>
  </si>
  <si>
    <t>Race</t>
  </si>
  <si>
    <t>Hume</t>
  </si>
  <si>
    <t>In Abyssea?</t>
  </si>
  <si>
    <t>Defense</t>
  </si>
  <si>
    <t>Cruor Buff Value</t>
  </si>
  <si>
    <t>Subjob</t>
  </si>
  <si>
    <t>Sam</t>
  </si>
  <si>
    <t>Atma1</t>
  </si>
  <si>
    <t>Razed Ruin</t>
  </si>
  <si>
    <t>Final Def</t>
  </si>
  <si>
    <t>Food</t>
  </si>
  <si>
    <t>Bison Steak</t>
  </si>
  <si>
    <t>Atma2</t>
  </si>
  <si>
    <t>Smiting Blow</t>
  </si>
  <si>
    <t>Evasion</t>
  </si>
  <si>
    <t>Atma3</t>
  </si>
  <si>
    <t>Apocalypse</t>
  </si>
  <si>
    <t>Vit</t>
  </si>
  <si>
    <t>Merits</t>
  </si>
  <si>
    <t>Agi</t>
  </si>
  <si>
    <t>Str</t>
  </si>
  <si>
    <t>Dex</t>
  </si>
  <si>
    <t>Haste</t>
  </si>
  <si>
    <t>Over-TP Rnds:</t>
  </si>
  <si>
    <t>Jump Recast</t>
  </si>
  <si>
    <t>Hasso</t>
  </si>
  <si>
    <t>Jump Over-time</t>
  </si>
  <si>
    <t>High Jump Recast</t>
  </si>
  <si>
    <t>Med. Over-time</t>
  </si>
  <si>
    <t>Polearm Skill</t>
  </si>
  <si>
    <t>Meditate</t>
  </si>
  <si>
    <t>Melee / Weaponskill</t>
  </si>
  <si>
    <t>Weaponskill</t>
  </si>
  <si>
    <t>Drakesbane</t>
  </si>
  <si>
    <t>Berserk</t>
  </si>
  <si>
    <t>Use Warcry?</t>
  </si>
  <si>
    <t>Aggressor</t>
  </si>
  <si>
    <t>Warcry %</t>
  </si>
  <si>
    <t>Chaos Roll</t>
  </si>
  <si>
    <t>Results</t>
  </si>
  <si>
    <t>Tactician's Roll</t>
  </si>
  <si>
    <t>Melee damage per round</t>
  </si>
  <si>
    <t>Melee DPS</t>
  </si>
  <si>
    <t>Adloquium</t>
  </si>
  <si>
    <t>Rounds/WS</t>
  </si>
  <si>
    <t>Stalwart's</t>
  </si>
  <si>
    <t>WS Dmg</t>
  </si>
  <si>
    <t>Jumps</t>
  </si>
  <si>
    <t>Jump type Dmg</t>
  </si>
  <si>
    <t>High Jump type Dmg</t>
  </si>
  <si>
    <t>Jump Type</t>
  </si>
  <si>
    <t>Spirit Jump</t>
  </si>
  <si>
    <t>High Jump Type</t>
  </si>
  <si>
    <t>Soul Jump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</si>
  <si>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</si>
  <si>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</si>
  <si>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</si>
  <si>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</si>
  <si>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</si>
  <si>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</si>
  <si>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</si>
  <si>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</si>
  <si>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TP Set 1</t>
  </si>
  <si>
    <t>TP Set 2</t>
  </si>
  <si>
    <t>Slot</t>
  </si>
  <si>
    <t>Gear</t>
  </si>
  <si>
    <t>Skill</t>
  </si>
  <si>
    <t>Att</t>
  </si>
  <si>
    <t>Acc</t>
  </si>
  <si>
    <t>DA</t>
  </si>
  <si>
    <t>TA</t>
  </si>
  <si>
    <t>QA</t>
  </si>
  <si>
    <t>C.Rate</t>
  </si>
  <si>
    <t>C.Dmg</t>
  </si>
  <si>
    <t>Zanshin</t>
  </si>
  <si>
    <t>Regain</t>
  </si>
  <si>
    <t>STP</t>
  </si>
  <si>
    <t>Weapon</t>
  </si>
  <si>
    <t>Grip</t>
  </si>
  <si>
    <t>Sword Strap</t>
  </si>
  <si>
    <t>Ammo</t>
  </si>
  <si>
    <t>Hagneia Stone</t>
  </si>
  <si>
    <t>Head</t>
  </si>
  <si>
    <t>Neck</t>
  </si>
  <si>
    <t>Earring</t>
  </si>
  <si>
    <t>Body</t>
  </si>
  <si>
    <t>Hands</t>
  </si>
  <si>
    <t>Ring</t>
  </si>
  <si>
    <t>Back</t>
  </si>
  <si>
    <t>Waist</t>
  </si>
  <si>
    <t>Legs</t>
  </si>
  <si>
    <t>Feet</t>
  </si>
  <si>
    <t>Set Bonus</t>
  </si>
  <si>
    <t>Total</t>
  </si>
  <si>
    <t>WS Set 1</t>
  </si>
  <si>
    <t>WS Set 2</t>
  </si>
  <si>
    <t>TP Bonus</t>
  </si>
  <si>
    <t>WSDmg</t>
  </si>
  <si>
    <t>Thew Bomblet</t>
  </si>
  <si>
    <t>WS Dmg:</t>
  </si>
  <si>
    <t>Set DPS:</t>
  </si>
  <si>
    <t>Jump Set 1</t>
  </si>
  <si>
    <t>Jump Set 2</t>
  </si>
  <si>
    <t>JumpTP</t>
  </si>
  <si>
    <t>Jump Dmg</t>
  </si>
  <si>
    <t>Drg</t>
  </si>
  <si>
    <t>Defbuffed:</t>
  </si>
  <si>
    <t>Level Corr:</t>
  </si>
  <si>
    <t>Base+M</t>
  </si>
  <si>
    <t>Atma 1</t>
  </si>
  <si>
    <t>Total 1</t>
  </si>
  <si>
    <t>Atma 2</t>
  </si>
  <si>
    <t>Total 2</t>
  </si>
  <si>
    <t>Mult.</t>
  </si>
  <si>
    <t>Cap</t>
  </si>
  <si>
    <t>Add</t>
  </si>
  <si>
    <t>Atmas (1)</t>
  </si>
  <si>
    <t>Atmas (2)</t>
  </si>
  <si>
    <t>Att Bonus</t>
  </si>
  <si>
    <t>Acc Bonus</t>
  </si>
  <si>
    <t>Job</t>
  </si>
  <si>
    <t>Weapon Dmg</t>
  </si>
  <si>
    <t>Weapon Dly</t>
  </si>
  <si>
    <t>Crit Rate</t>
  </si>
  <si>
    <t>Conserve TP</t>
  </si>
  <si>
    <t>Crit Dmg</t>
  </si>
  <si>
    <t>Food STP</t>
  </si>
  <si>
    <t>Stat</t>
  </si>
  <si>
    <t>TPSet1</t>
  </si>
  <si>
    <t>TPSet2</t>
  </si>
  <si>
    <t>WSSet1</t>
  </si>
  <si>
    <t>WSSet2</t>
  </si>
  <si>
    <t>JumpSet1</t>
  </si>
  <si>
    <t>JumpSet2</t>
  </si>
  <si>
    <t>SpiritSet1</t>
  </si>
  <si>
    <t>SpiritSet2</t>
  </si>
  <si>
    <t>HighSet1</t>
  </si>
  <si>
    <t>HighSet2</t>
  </si>
  <si>
    <t>SoulSet1</t>
  </si>
  <si>
    <t>SoulSet2</t>
  </si>
  <si>
    <t>Base Att</t>
  </si>
  <si>
    <t>Base Acc</t>
  </si>
  <si>
    <t>Food Att</t>
  </si>
  <si>
    <t>Food Acc</t>
  </si>
  <si>
    <t>Warcry</t>
  </si>
  <si>
    <t>Stalwart's (att)</t>
  </si>
  <si>
    <t>Stalwart's (acc)</t>
  </si>
  <si>
    <t>Delay Adj</t>
  </si>
  <si>
    <t>Round Delay</t>
  </si>
  <si>
    <t>TP Delay</t>
  </si>
  <si>
    <t>Base TP/Hit</t>
  </si>
  <si>
    <t>TP/Hit</t>
  </si>
  <si>
    <t>dDex</t>
  </si>
  <si>
    <t>Dex Crit</t>
  </si>
  <si>
    <t>Total C.Dmg</t>
  </si>
  <si>
    <t>Raw Hit Rate</t>
  </si>
  <si>
    <t>Hit Rate</t>
  </si>
  <si>
    <t>Zanshin Hit Rate</t>
  </si>
  <si>
    <t>cRatio</t>
  </si>
  <si>
    <t>WRank</t>
  </si>
  <si>
    <t>fStr</t>
  </si>
  <si>
    <t>Base Dmg</t>
  </si>
  <si>
    <t>Avg Hit</t>
  </si>
  <si>
    <t>Hits/Rnd</t>
  </si>
  <si>
    <t>Avg Dmg/Rnd</t>
  </si>
  <si>
    <t>Magic Haste</t>
  </si>
  <si>
    <t>JA Haste</t>
  </si>
  <si>
    <t>Gear Haste</t>
  </si>
  <si>
    <t>Total Haste</t>
  </si>
  <si>
    <t>Nom. Delay</t>
  </si>
  <si>
    <t>Min Delay</t>
  </si>
  <si>
    <t>Delay/Round</t>
  </si>
  <si>
    <t>TP given</t>
  </si>
  <si>
    <t>Regain/WS</t>
  </si>
  <si>
    <t>Base TP Rnds</t>
  </si>
  <si>
    <t>Base TP Time</t>
  </si>
  <si>
    <t>Jump Delay/Base</t>
  </si>
  <si>
    <t>Med. WS Delay</t>
  </si>
  <si>
    <t>Med. WS Dmg</t>
  </si>
  <si>
    <t>Jump WS Dmg</t>
  </si>
  <si>
    <t>Total Damage</t>
  </si>
  <si>
    <t>Jumps DPS</t>
  </si>
  <si>
    <t>WS 1</t>
  </si>
  <si>
    <t>WS 2</t>
  </si>
  <si>
    <t>Melee TP/Hit:</t>
  </si>
  <si>
    <t>DA:</t>
  </si>
  <si>
    <t>Rnds</t>
  </si>
  <si>
    <t>WS TP/Hit:</t>
  </si>
  <si>
    <t>TA:</t>
  </si>
  <si>
    <t>WS</t>
  </si>
  <si>
    <t>QA:</t>
  </si>
  <si>
    <t>WSC:</t>
  </si>
  <si>
    <t>WS TP/add. Hit:</t>
  </si>
  <si>
    <t>fTP:</t>
  </si>
  <si>
    <t>WS Hit rate:</t>
  </si>
  <si>
    <t>+fTP:</t>
  </si>
  <si>
    <t>Avg TP:</t>
  </si>
  <si>
    <t>Avg fTP:</t>
  </si>
  <si>
    <t>Extra hits:</t>
  </si>
  <si>
    <t>WS Crit%:</t>
  </si>
  <si>
    <t>Over-TP:</t>
  </si>
  <si>
    <t>Offhand:</t>
  </si>
  <si>
    <t>D</t>
  </si>
  <si>
    <t>Crit%:</t>
  </si>
  <si>
    <t>First</t>
  </si>
  <si>
    <t>Main</t>
  </si>
  <si>
    <t>AddMain</t>
  </si>
  <si>
    <t>Off</t>
  </si>
  <si>
    <t>Regain:</t>
  </si>
  <si>
    <t>Offhand</t>
  </si>
  <si>
    <t>Swings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</si>
  <si>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</si>
  <si>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</si>
  <si>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</si>
  <si>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</si>
  <si>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</si>
  <si>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</si>
  <si>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</si>
  <si>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</si>
  <si>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</si>
  <si>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</si>
  <si>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</si>
  <si>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</si>
  <si>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</si>
  <si>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</si>
  <si>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Next TP</t>
  </si>
  <si>
    <t>P(tp)</t>
  </si>
  <si>
    <t>Dmg</t>
  </si>
  <si>
    <t>P(dmg)</t>
  </si>
  <si>
    <t>Sum P:</t>
  </si>
  <si>
    <t>Avg Rnd:</t>
  </si>
  <si>
    <t>Avg Dmg:</t>
  </si>
  <si>
    <t>Avg rounds</t>
  </si>
  <si>
    <t>Melee Hit rate:</t>
  </si>
  <si>
    <t>Probability</t>
  </si>
  <si>
    <t>Sum:</t>
  </si>
  <si>
    <t>Hits remaining</t>
  </si>
  <si>
    <t>Avg:</t>
  </si>
  <si>
    <t>Dly</t>
  </si>
  <si>
    <t>None</t>
  </si>
  <si>
    <t>Claymore Grip</t>
  </si>
  <si>
    <t>Katana Strap</t>
  </si>
  <si>
    <t>Pole Grip</t>
  </si>
  <si>
    <t>Astrolabe</t>
  </si>
  <si>
    <t>Black Tathlum</t>
  </si>
  <si>
    <t>Demonry Core</t>
  </si>
  <si>
    <t>Magnus Stone</t>
  </si>
  <si>
    <t>Tiphia Sting</t>
  </si>
  <si>
    <t>White Tathlum</t>
  </si>
  <si>
    <t>Att Mult</t>
  </si>
  <si>
    <t>Att Mult Cap</t>
  </si>
  <si>
    <t>Att Add</t>
  </si>
  <si>
    <t>Acc Mult</t>
  </si>
  <si>
    <t>Acc Mult Cap</t>
  </si>
  <si>
    <t>Acc Add</t>
  </si>
  <si>
    <t>Crab Sushi</t>
  </si>
  <si>
    <t>Sole Sushi</t>
  </si>
  <si>
    <t>Squid Sushi</t>
  </si>
  <si>
    <t>Bream Sushi</t>
  </si>
  <si>
    <t>Carbonara</t>
  </si>
  <si>
    <t>Coeurl Sub</t>
  </si>
  <si>
    <t>Coeurl Sub +1</t>
  </si>
  <si>
    <t>Yellow Curry</t>
  </si>
  <si>
    <t>Penta Thrust</t>
  </si>
  <si>
    <t>Geirskogul</t>
  </si>
  <si>
    <t>Toggle</t>
  </si>
  <si>
    <t>Atmas</t>
  </si>
  <si>
    <t>Alpha &amp; Omega</t>
  </si>
  <si>
    <t>Baying Moon</t>
  </si>
  <si>
    <t>Demonic Lash</t>
  </si>
  <si>
    <t>Gnarled Horn</t>
  </si>
  <si>
    <t>Griffon's Claw</t>
  </si>
  <si>
    <t>Harvester</t>
  </si>
  <si>
    <t>Plaguebringer</t>
  </si>
  <si>
    <t>S. Scythe</t>
  </si>
  <si>
    <t>Scorpion Queen</t>
  </si>
  <si>
    <t>Stout Arm</t>
  </si>
  <si>
    <t>V. Violet</t>
  </si>
  <si>
    <t>Mobs</t>
  </si>
  <si>
    <t>Subjobs</t>
  </si>
  <si>
    <t>War</t>
  </si>
  <si>
    <t>Rdm</t>
  </si>
  <si>
    <t>Races</t>
  </si>
  <si>
    <t>Mithra</t>
  </si>
  <si>
    <t>Galka</t>
  </si>
  <si>
    <t>Elvaan</t>
  </si>
  <si>
    <t>Tarutaru</t>
  </si>
  <si>
    <t>Jump Types</t>
  </si>
  <si>
    <t>Jump</t>
  </si>
  <si>
    <t>High Jump Types</t>
  </si>
  <si>
    <t>High Jump</t>
  </si>
  <si>
    <t>HP</t>
  </si>
  <si>
    <t>Int</t>
  </si>
  <si>
    <t>Mnd</t>
  </si>
  <si>
    <t>Chr</t>
  </si>
  <si>
    <t>Final Stats</t>
  </si>
  <si>
    <t>Calculations</t>
  </si>
  <si>
    <t>Grades</t>
  </si>
  <si>
    <t>C</t>
  </si>
  <si>
    <t>B</t>
  </si>
  <si>
    <t>E</t>
  </si>
  <si>
    <t>F</t>
  </si>
  <si>
    <t>G</t>
  </si>
  <si>
    <t>A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</si>
  <si>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</si>
  <si>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</si>
  <si>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</si>
  <si>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</si>
  <si>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</si>
  <si>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</si>
  <si>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</si>
  <si>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</si>
  <si>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</si>
  <si>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</si>
  <si>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</si>
  <si>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</si>
  <si>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</si>
  <si>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</si>
  <si>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</si>
  <si>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</si>
  <si>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</si>
  <si>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</si>
  <si>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</si>
  <si>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</si>
  <si>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 Rates</t>
  </si>
  <si>
    <t>HPBase</t>
  </si>
  <si>
    <t>HP60</t>
  </si>
  <si>
    <t>HP30+</t>
  </si>
  <si>
    <t>HP75</t>
  </si>
  <si>
    <t>HP99</t>
  </si>
  <si>
    <t>StatBase</t>
  </si>
  <si>
    <t>Stat60</t>
  </si>
  <si>
    <t>Stat75</t>
  </si>
  <si>
    <t>Stat99</t>
  </si>
  <si>
    <t>Bonus</t>
  </si>
  <si>
    <t>WS Att Boost</t>
  </si>
  <si>
    <t>Weaponskills</t>
  </si>
  <si>
    <t>Conserve TP:</t>
  </si>
  <si>
    <t>Save TP:</t>
  </si>
  <si>
    <t>Stardiver</t>
  </si>
  <si>
    <t>TP Adjustments</t>
  </si>
  <si>
    <t>Voidwatch</t>
  </si>
  <si>
    <t>N/A</t>
  </si>
  <si>
    <t>CTP</t>
  </si>
  <si>
    <t>Relic Bonus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</si>
  <si>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</si>
  <si>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</si>
  <si>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</si>
  <si>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</si>
  <si>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</si>
  <si>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</si>
  <si>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</si>
  <si>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</si>
  <si>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</si>
  <si>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</si>
  <si>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Combined</t>
  </si>
  <si>
    <t>Swings:</t>
  </si>
  <si>
    <t>Prob:</t>
  </si>
  <si>
    <t>OAx</t>
  </si>
  <si>
    <t>Zanshin Rate</t>
  </si>
  <si>
    <t>Jump 1</t>
  </si>
  <si>
    <t>Jump 2</t>
  </si>
  <si>
    <t>Spirit 1</t>
  </si>
  <si>
    <t>Spirit 2</t>
  </si>
  <si>
    <t>High 1</t>
  </si>
  <si>
    <t>High 2</t>
  </si>
  <si>
    <t>Soul 1</t>
  </si>
  <si>
    <t>Soul 2</t>
  </si>
  <si>
    <t>Qilin</t>
  </si>
  <si>
    <t>Att%</t>
  </si>
  <si>
    <t>Minimum WS TP</t>
  </si>
  <si>
    <t>Other TP Gain/Loss</t>
  </si>
  <si>
    <t>Min TP:</t>
  </si>
  <si>
    <t>TP&gt;Ready</t>
  </si>
  <si>
    <t>Hits&gt;Ready</t>
  </si>
  <si>
    <t>Embrava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</si>
  <si>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</si>
  <si>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</si>
  <si>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</si>
  <si>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</si>
  <si>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</si>
  <si>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</si>
  <si>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</si>
  <si>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</si>
  <si>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</si>
  <si>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</si>
  <si>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</si>
  <si>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</si>
  <si>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</si>
  <si>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</si>
  <si>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</si>
  <si>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Att1</t>
  </si>
  <si>
    <t>Att2</t>
  </si>
  <si>
    <t>Crit0</t>
  </si>
  <si>
    <t>Crit1</t>
  </si>
  <si>
    <t>Crit2</t>
  </si>
  <si>
    <t>WSDmg:</t>
  </si>
  <si>
    <t>Job Buffs</t>
  </si>
  <si>
    <t>Other Player Buffs</t>
  </si>
  <si>
    <t>Main Job</t>
  </si>
  <si>
    <t>Haste Samba</t>
  </si>
  <si>
    <t>Whm</t>
  </si>
  <si>
    <t>Enhancing Skill</t>
  </si>
  <si>
    <t>Support Job</t>
  </si>
  <si>
    <t>Boost-Str</t>
  </si>
  <si>
    <t>Boost-Dex</t>
  </si>
  <si>
    <t>Brd</t>
  </si>
  <si>
    <t>Soul Voice</t>
  </si>
  <si>
    <t>Area Buffs</t>
  </si>
  <si>
    <t>Smn</t>
  </si>
  <si>
    <t>Summoning Skill</t>
  </si>
  <si>
    <t>Ifrit Enfire</t>
  </si>
  <si>
    <t>Atmacite 1</t>
  </si>
  <si>
    <t>Atmacite 2</t>
  </si>
  <si>
    <t>Sch</t>
  </si>
  <si>
    <t>Atmacite 3</t>
  </si>
  <si>
    <t>Enspell</t>
  </si>
  <si>
    <t>Dnc</t>
  </si>
  <si>
    <t>Cor</t>
  </si>
  <si>
    <t>Fighter's Roll</t>
  </si>
  <si>
    <t>Rogue's Roll</t>
  </si>
  <si>
    <t>Hasso (acc)</t>
  </si>
  <si>
    <t>Boost Potency</t>
  </si>
  <si>
    <t>Brd AF3 Potency</t>
  </si>
  <si>
    <t>Mythic Level</t>
  </si>
  <si>
    <t>AM2</t>
  </si>
  <si>
    <t>Def Down %</t>
  </si>
  <si>
    <t>Ifrit Enspell Dmg</t>
  </si>
  <si>
    <t>Sch Enspell Dmg</t>
  </si>
  <si>
    <t>Enspell Dmg</t>
  </si>
  <si>
    <t>Miser's Roll</t>
  </si>
  <si>
    <t>AM3</t>
  </si>
  <si>
    <t>AM3-2</t>
  </si>
  <si>
    <t>AM3-3</t>
  </si>
  <si>
    <t>Save TP</t>
  </si>
  <si>
    <t>Sonic Thrust</t>
  </si>
  <si>
    <t>Att %</t>
  </si>
  <si>
    <t>DA %</t>
  </si>
  <si>
    <t>Store TP</t>
  </si>
  <si>
    <t>Bluffalo EM</t>
  </si>
  <si>
    <t>Ig-Alima</t>
  </si>
  <si>
    <t>CritDef</t>
  </si>
  <si>
    <t>CritRate</t>
  </si>
  <si>
    <t>Crit Def Bonus</t>
  </si>
  <si>
    <t>Crit Rate Mod</t>
  </si>
  <si>
    <t>Day for fTP Bonus</t>
  </si>
  <si>
    <t>fTP</t>
  </si>
  <si>
    <t>DfTP</t>
  </si>
  <si>
    <t>Spirit Surge</t>
  </si>
  <si>
    <t>Spirit Surge Str</t>
  </si>
  <si>
    <t>Spirit Surge Acc</t>
  </si>
  <si>
    <t>Arrabbiata</t>
  </si>
  <si>
    <t>Pieces</t>
  </si>
  <si>
    <t>Gear sets</t>
  </si>
  <si>
    <t>Mod</t>
  </si>
  <si>
    <t>TPSet1Gear</t>
  </si>
  <si>
    <t>TPSet2Gear</t>
  </si>
  <si>
    <t>WSSet1Gear</t>
  </si>
  <si>
    <t>WSSet2Gear</t>
  </si>
  <si>
    <t>JumpSet1Gear</t>
  </si>
  <si>
    <t>JumpSet2Gear</t>
  </si>
  <si>
    <t>SpiritSet1Gear</t>
  </si>
  <si>
    <t>SpiritSet2Gear</t>
  </si>
  <si>
    <t>HighSet1Gear</t>
  </si>
  <si>
    <t>HighSet2Gear</t>
  </si>
  <si>
    <t>SoulSet1Gear</t>
  </si>
  <si>
    <t>SoulSet2Gear</t>
  </si>
  <si>
    <t>Custom</t>
  </si>
  <si>
    <t>Level Correct</t>
  </si>
  <si>
    <t>Yes</t>
  </si>
  <si>
    <t>Chapuli (102)</t>
  </si>
  <si>
    <t>No</t>
  </si>
  <si>
    <t>Chapuli (100)</t>
  </si>
  <si>
    <t>Gear2</t>
  </si>
  <si>
    <t>KA</t>
  </si>
  <si>
    <t>DW</t>
  </si>
  <si>
    <t>S1</t>
  </si>
  <si>
    <t>S2</t>
  </si>
  <si>
    <t>S3</t>
  </si>
  <si>
    <t>Upukirex</t>
  </si>
  <si>
    <t>Delve Fodder</t>
  </si>
  <si>
    <t>Hunter's Roll</t>
  </si>
  <si>
    <t>Avg TP Rt</t>
  </si>
  <si>
    <t>Rose Strap</t>
  </si>
  <si>
    <t>dStr</t>
  </si>
  <si>
    <t>Lambda</t>
  </si>
  <si>
    <t>CombatSkill</t>
  </si>
  <si>
    <t>Tojil</t>
  </si>
  <si>
    <t>Rounds/WS:</t>
  </si>
  <si>
    <t>Kuku Stone</t>
  </si>
  <si>
    <t>Jukukik Feather</t>
  </si>
  <si>
    <t>Ionis Att</t>
  </si>
  <si>
    <t>Ionis Acc</t>
  </si>
  <si>
    <t>Adoulin</t>
  </si>
  <si>
    <t>Ionis</t>
  </si>
  <si>
    <t>Ionis Crit</t>
  </si>
  <si>
    <t>Relic Level</t>
  </si>
  <si>
    <t>Relic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</si>
  <si>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</si>
  <si>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</si>
  <si>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</si>
  <si>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</si>
  <si>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</si>
  <si>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</si>
  <si>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</si>
  <si>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</si>
  <si>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</si>
  <si>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</si>
  <si>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</si>
  <si>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</si>
  <si>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</si>
  <si>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</si>
  <si>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</si>
  <si>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</si>
  <si>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</si>
  <si>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</si>
  <si>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pDif:</t>
  </si>
  <si>
    <t>Lentus Grip</t>
  </si>
  <si>
    <t>2HDly</t>
  </si>
  <si>
    <t>Tardus Grip</t>
  </si>
  <si>
    <t>Espial</t>
  </si>
  <si>
    <t>Ginsen</t>
  </si>
  <si>
    <t>Trivial</t>
  </si>
  <si>
    <t>DC Dynamis</t>
  </si>
  <si>
    <t>Serac Rabbit</t>
  </si>
  <si>
    <t>Terebrokath</t>
  </si>
  <si>
    <t>Terebrokath +1</t>
  </si>
  <si>
    <t>Magma Steak</t>
  </si>
  <si>
    <t>S. Salis. Steak</t>
  </si>
  <si>
    <t>C. Salis. Steak</t>
  </si>
  <si>
    <t>Tengu-no-Hane (Day)</t>
  </si>
  <si>
    <t>Madrigal Merit</t>
  </si>
  <si>
    <t>Double Thrust</t>
  </si>
  <si>
    <t>Leg Sweep</t>
  </si>
  <si>
    <t>Vorpal Thrust</t>
  </si>
  <si>
    <t>Impulse Drive</t>
  </si>
  <si>
    <t>Skewer</t>
  </si>
  <si>
    <t>Wheeling Thrust</t>
  </si>
  <si>
    <t>Kamihr Raaz</t>
  </si>
  <si>
    <t>Fly High</t>
  </si>
  <si>
    <t>Hastes</t>
  </si>
  <si>
    <t>Haste II</t>
  </si>
  <si>
    <t>Boosts</t>
  </si>
  <si>
    <t>Sweordfaetels</t>
  </si>
  <si>
    <t>Sweordfaetels +1</t>
  </si>
  <si>
    <t>Hasty Pinion +1</t>
  </si>
  <si>
    <t>Item</t>
  </si>
  <si>
    <t>R.Acc</t>
  </si>
  <si>
    <t>R.Att</t>
  </si>
  <si>
    <t>M.Acc</t>
  </si>
  <si>
    <t>MAB</t>
  </si>
  <si>
    <t>MDmg</t>
  </si>
  <si>
    <t>WS Def Ignored</t>
  </si>
  <si>
    <t>Mob Def</t>
  </si>
  <si>
    <t>Total Def Ignored</t>
  </si>
  <si>
    <t>DefIg0</t>
  </si>
  <si>
    <t>DefIg1</t>
  </si>
  <si>
    <t>DefIg2</t>
  </si>
  <si>
    <t>Wyvern Att%</t>
  </si>
  <si>
    <t>Spirit Surge Att%</t>
  </si>
  <si>
    <t>TRISHULA</t>
  </si>
  <si>
    <t>Areadbhar (Max)</t>
  </si>
  <si>
    <t>Amar Cluster</t>
  </si>
  <si>
    <t>Ryunohige</t>
  </si>
  <si>
    <t>Rhongomiant</t>
  </si>
  <si>
    <t>Habile Mazrak</t>
  </si>
  <si>
    <t>Annealed Lance</t>
  </si>
  <si>
    <t>Blurred Lance</t>
  </si>
  <si>
    <t>Blurred Lance +1</t>
  </si>
  <si>
    <t>Pelagos Lance</t>
  </si>
  <si>
    <t>Nativus Halberd</t>
  </si>
  <si>
    <t>Lembing</t>
  </si>
  <si>
    <t>Arasy Lance</t>
  </si>
  <si>
    <t>Arasy Lance +1</t>
  </si>
  <si>
    <t>Kuakuakait (OAT+STP)</t>
  </si>
  <si>
    <t>Homestead Lance (Reive)</t>
  </si>
  <si>
    <t>Eminent Lance (Latent)</t>
  </si>
  <si>
    <t>Areadbhar (Base)</t>
  </si>
  <si>
    <t>Kuakuakait (Base)</t>
  </si>
  <si>
    <t>Koresuke (Base)</t>
  </si>
  <si>
    <t>Koresuke (Perfect)</t>
  </si>
  <si>
    <t>Kumalo (Base)</t>
  </si>
  <si>
    <t>RYUNOHIGE AG</t>
  </si>
  <si>
    <t>RHONGOMIANT AG</t>
  </si>
  <si>
    <t>GUNGNIR AG</t>
  </si>
  <si>
    <t>Aetosaur Helm</t>
  </si>
  <si>
    <t>Aetosaur Helm +1</t>
  </si>
  <si>
    <t>Alhazen Hat</t>
  </si>
  <si>
    <t>Alhazen Hat +1</t>
  </si>
  <si>
    <t>Blistering Sallet</t>
  </si>
  <si>
    <t>Blistering Sallet +1</t>
  </si>
  <si>
    <t>Espial Cap</t>
  </si>
  <si>
    <t>Gavialis Helm</t>
  </si>
  <si>
    <t>Gefechtschaller</t>
  </si>
  <si>
    <t>Gorney Morion +1</t>
  </si>
  <si>
    <t>Halitus Helm</t>
  </si>
  <si>
    <t>Highwing Helm</t>
  </si>
  <si>
    <t>Ighwa Cap</t>
  </si>
  <si>
    <t>Lithelimb Cap</t>
  </si>
  <si>
    <t>Loess Barbuta</t>
  </si>
  <si>
    <t>Loess Barbuta +1</t>
  </si>
  <si>
    <t>Ma'iitsoh Haube</t>
  </si>
  <si>
    <t>Peltast's Mezail</t>
  </si>
  <si>
    <t>Peltast's Mezail +1</t>
  </si>
  <si>
    <t>Rabid Visor</t>
  </si>
  <si>
    <t>Sahip Helm</t>
  </si>
  <si>
    <t>Sulevia's Mask</t>
  </si>
  <si>
    <t>Sulevia's Mask +1</t>
  </si>
  <si>
    <t>Terminal Helm</t>
  </si>
  <si>
    <t>Vishap Armet</t>
  </si>
  <si>
    <t>Vishap Armet +1</t>
  </si>
  <si>
    <t>Wildheitschaller</t>
  </si>
  <si>
    <t>Yaoyotl Helm</t>
  </si>
  <si>
    <t>Ynglinga Sallet</t>
  </si>
  <si>
    <t>Acro Helm (Base)</t>
  </si>
  <si>
    <t>Olyndicus (Base)</t>
  </si>
  <si>
    <t>Qatsunoci +2 (Base)</t>
  </si>
  <si>
    <t>Adorned Helm (First)</t>
  </si>
  <si>
    <t>Adorned Helm (Last)</t>
  </si>
  <si>
    <t>Adorned Helm +1 (First)</t>
  </si>
  <si>
    <t>Adorned Helm +1 (Last)</t>
  </si>
  <si>
    <t>Cizin Helm +1 (Base)</t>
  </si>
  <si>
    <t>Founder's Corona (Base)</t>
  </si>
  <si>
    <t>Stinger Helm (First)</t>
  </si>
  <si>
    <t>Stinger Helm (Last)</t>
  </si>
  <si>
    <t>Stinger Helm +1 (First)</t>
  </si>
  <si>
    <t>Stinger Helm +1 (Last)</t>
  </si>
  <si>
    <t>Otomi Helm (Base)</t>
  </si>
  <si>
    <t>Quiahuiz Helm (Base)</t>
  </si>
  <si>
    <t>Sukeroku Hachi. (WS)</t>
  </si>
  <si>
    <t>Reienkyo (Base)</t>
  </si>
  <si>
    <t>Escha</t>
  </si>
  <si>
    <t>Vorseal Multiplier</t>
  </si>
  <si>
    <t>Cruor</t>
  </si>
  <si>
    <t>Vorseals</t>
  </si>
  <si>
    <t>Vorseal Acc</t>
  </si>
  <si>
    <t>Vorseal Att</t>
  </si>
  <si>
    <t>Jump DA</t>
  </si>
  <si>
    <t>Job Points / Gifts</t>
  </si>
  <si>
    <t>Total JP Spent</t>
  </si>
  <si>
    <t>Spirit Surge Effect</t>
  </si>
  <si>
    <t>Fly High Effect</t>
  </si>
  <si>
    <t>Jump Effect</t>
  </si>
  <si>
    <t>High Jump Effect</t>
  </si>
  <si>
    <t>Wyvern Attr. Increase Effect</t>
  </si>
  <si>
    <t>STR</t>
  </si>
  <si>
    <t>DEX</t>
  </si>
  <si>
    <t>VIT</t>
  </si>
  <si>
    <t>Critical Hit Rate</t>
  </si>
  <si>
    <t>Gift Att</t>
  </si>
  <si>
    <t>Gift Acc</t>
  </si>
  <si>
    <t>Wyvern JP Att</t>
  </si>
  <si>
    <t>Marinara Pizza</t>
  </si>
  <si>
    <t>Marinara Pizza +1</t>
  </si>
  <si>
    <t>Honor March</t>
  </si>
  <si>
    <t>Sublime Sushi</t>
  </si>
  <si>
    <t>Geo</t>
  </si>
  <si>
    <t>Bolster</t>
  </si>
  <si>
    <t>Geomancy+</t>
  </si>
  <si>
    <t>Jump Att%Bonus</t>
  </si>
  <si>
    <t>Jump JP Att</t>
  </si>
  <si>
    <t>Founder's Corona (Perfect)</t>
  </si>
  <si>
    <t>Taeon Chapeau (Base)</t>
  </si>
  <si>
    <t>Valorous Mask (Base)</t>
  </si>
  <si>
    <t>Jumalik Helm (Perfect)</t>
  </si>
  <si>
    <t>Jumalik Helm (Base)</t>
  </si>
  <si>
    <t>Rhomphaia [C]</t>
  </si>
  <si>
    <t>Rhomphaia [B]</t>
  </si>
  <si>
    <t>Rhomphaia [A]</t>
  </si>
  <si>
    <t>Rhomphaia [D]</t>
  </si>
  <si>
    <t>Nibiru Lance [A]</t>
  </si>
  <si>
    <t>Nibiru Lance [B]</t>
  </si>
  <si>
    <t>Nibiru Lance [D]</t>
  </si>
  <si>
    <t>Gungnir</t>
  </si>
  <si>
    <t>Nibiru Lance [C]</t>
  </si>
  <si>
    <t>Homestead Lance (Default)</t>
  </si>
  <si>
    <t>Eminent Lance (Default)</t>
  </si>
  <si>
    <t>Carmine +1</t>
  </si>
  <si>
    <t>Lustratio +1</t>
  </si>
  <si>
    <t>Emicho +1</t>
  </si>
  <si>
    <t>Pteroslaver Armet</t>
  </si>
  <si>
    <t>Pteroslaver Armet +1</t>
  </si>
  <si>
    <t>Sukeroku Hachi. (Default)</t>
  </si>
  <si>
    <t>Cheers</t>
  </si>
  <si>
    <t>Seamonk Larva</t>
  </si>
  <si>
    <t>Seamonk</t>
  </si>
  <si>
    <t>Blue Seamonk</t>
  </si>
  <si>
    <t>Uragnite Young</t>
  </si>
  <si>
    <t>Immature Crab</t>
  </si>
  <si>
    <t>Crab</t>
  </si>
  <si>
    <t>Porter Crab</t>
  </si>
  <si>
    <t>Coeurl Cub</t>
  </si>
  <si>
    <t>Coeurl</t>
  </si>
  <si>
    <t>Lynx</t>
  </si>
  <si>
    <t>Buffalo Calf</t>
  </si>
  <si>
    <t>Buffalo</t>
  </si>
  <si>
    <t>Mini Slime</t>
  </si>
  <si>
    <t>Slime</t>
  </si>
  <si>
    <t>Clot</t>
  </si>
  <si>
    <t>Bugard</t>
  </si>
  <si>
    <t>Abyssobugard</t>
  </si>
  <si>
    <t>Baby Adamantoise</t>
  </si>
  <si>
    <t>Adamantoise</t>
  </si>
  <si>
    <t>Great Adamantoise</t>
  </si>
  <si>
    <t>Behemoth Cub</t>
  </si>
  <si>
    <t>Behemoth</t>
  </si>
  <si>
    <t>King Behemoth</t>
  </si>
  <si>
    <t>Pequetender</t>
  </si>
  <si>
    <t>Sabotender</t>
  </si>
  <si>
    <t>Dragon Hatchling</t>
  </si>
  <si>
    <t>Wyvern</t>
  </si>
  <si>
    <t>Blue Wyvern</t>
  </si>
  <si>
    <t>Green Wyvern</t>
  </si>
  <si>
    <t>Atma</t>
  </si>
  <si>
    <t>Cheer</t>
  </si>
  <si>
    <t>Camlann's Torment</t>
  </si>
  <si>
    <t>Cheer Att</t>
  </si>
  <si>
    <t>Cheer Acc</t>
  </si>
  <si>
    <t>Geo-Fury</t>
  </si>
  <si>
    <t>Geomancy</t>
  </si>
  <si>
    <t>Regular</t>
  </si>
  <si>
    <t>Entrust</t>
  </si>
  <si>
    <t>Blaze of Glory</t>
  </si>
  <si>
    <t>Ecliptic+Blaze</t>
  </si>
  <si>
    <t>Multiplier</t>
  </si>
  <si>
    <t>Eva Down #</t>
  </si>
  <si>
    <t>Final Eva</t>
  </si>
  <si>
    <t>Mage</t>
  </si>
  <si>
    <t>Combined Skill</t>
  </si>
  <si>
    <t>Geo-STR</t>
  </si>
  <si>
    <t>Geo-Precision</t>
  </si>
  <si>
    <t>Geo-DEX</t>
  </si>
  <si>
    <t>Geo-Haste</t>
  </si>
  <si>
    <t>GeoPlus</t>
  </si>
  <si>
    <t>Set Winner</t>
  </si>
  <si>
    <t>Smite II</t>
  </si>
  <si>
    <t>Crystal Blessing</t>
  </si>
  <si>
    <t>Warder of Courage</t>
  </si>
  <si>
    <t>Gae Derg (First)</t>
  </si>
  <si>
    <t>Gae Derg (Last)</t>
  </si>
  <si>
    <t>Gae Derg +1 (First)</t>
  </si>
  <si>
    <t>Gae Derg +1 (Last)</t>
  </si>
  <si>
    <t>Carmine Mask [A]</t>
  </si>
  <si>
    <t>Carmine Mask [B]</t>
  </si>
  <si>
    <t>Carmine Mask [C]</t>
  </si>
  <si>
    <t>Carmine Mask [D]</t>
  </si>
  <si>
    <t>Carmine Mask +1 [A]</t>
  </si>
  <si>
    <t>Carmine Mask +1 [B]</t>
  </si>
  <si>
    <t>Carmine Mask +1 [C]</t>
  </si>
  <si>
    <t>Carmine Mask +1 [D]</t>
  </si>
  <si>
    <t>Xaddi Headgear [A]</t>
  </si>
  <si>
    <t>Xaddi Headgear [B]</t>
  </si>
  <si>
    <t>Xaddi Headgear [C]</t>
  </si>
  <si>
    <t>Jump Acc</t>
  </si>
  <si>
    <t>Wyvern Alive+Boost</t>
  </si>
  <si>
    <t>Emicho Coronet [A]</t>
  </si>
  <si>
    <t>Emicho Coronet [B]</t>
  </si>
  <si>
    <t>Emicho Coronet [C]</t>
  </si>
  <si>
    <t>Emicho Coronet [D]</t>
  </si>
  <si>
    <t>Emicho Coronet +1 [A]</t>
  </si>
  <si>
    <t>Emicho Coronet +1 [B]</t>
  </si>
  <si>
    <t>Emicho Coronet +1 [C]</t>
  </si>
  <si>
    <t>Emicho Coronet +1 [D]</t>
  </si>
  <si>
    <t>Lustratio Cap [A]</t>
  </si>
  <si>
    <t>Lustratio Cap [B]</t>
  </si>
  <si>
    <t>Lustratio Cap [C]</t>
  </si>
  <si>
    <t>Lustratio Cap [D]</t>
  </si>
  <si>
    <t>Lustratio Cap +1 [A]</t>
  </si>
  <si>
    <t>Lustratio Cap +1 [B]</t>
  </si>
  <si>
    <t>Lustratio Cap +1 [C]</t>
  </si>
  <si>
    <t>Lustratio Cap +1 [D]</t>
  </si>
  <si>
    <t>Spirit Surge JP</t>
  </si>
  <si>
    <t>Aetosaur Gloves</t>
  </si>
  <si>
    <t>Composer's Mitts</t>
  </si>
  <si>
    <t>Crusher Gauntlets</t>
  </si>
  <si>
    <t>Espial Bracers</t>
  </si>
  <si>
    <t>Gefechthentzes</t>
  </si>
  <si>
    <t>Gorney Moufles +1</t>
  </si>
  <si>
    <t>Iktomi Dastanas</t>
  </si>
  <si>
    <t>Regimen Mittens</t>
  </si>
  <si>
    <t>Sulevia's Gauntlets</t>
  </si>
  <si>
    <t>Umuthi Gloves</t>
  </si>
  <si>
    <t>Wildheithentzes</t>
  </si>
  <si>
    <t>Vishap Fin. Gaunt</t>
  </si>
  <si>
    <t>Vishap Fin. Gaunt. +1</t>
  </si>
  <si>
    <t>Sulevia's Gauntlets +1</t>
  </si>
  <si>
    <t>Peltast's Vambraces</t>
  </si>
  <si>
    <t>Peltast's Vambraces +1</t>
  </si>
  <si>
    <t>Aetosaur Gloves +1</t>
  </si>
  <si>
    <t>Xaddi Gauntlets [A]</t>
  </si>
  <si>
    <t>Xaddi Gauntlets [B]</t>
  </si>
  <si>
    <t>Xaddi Gauntlets [C]</t>
  </si>
  <si>
    <t>Valorous Mitts (Base)</t>
  </si>
  <si>
    <t>Taeon Gloves (Base)</t>
  </si>
  <si>
    <t>Leyline Gloves (Base)</t>
  </si>
  <si>
    <t>Leyline Gloves (Perfect)</t>
  </si>
  <si>
    <t>Despair Fin. Gaunt. [A]</t>
  </si>
  <si>
    <t>Despair Fin. Gaunt. [B]</t>
  </si>
  <si>
    <t>Despair Fin. Gaunt. [C]</t>
  </si>
  <si>
    <t>Despair Fin. Gaunt. [D]</t>
  </si>
  <si>
    <t>Cizin Mufflers +1 (Base)</t>
  </si>
  <si>
    <t>Acro Gauntlets (Base)</t>
  </si>
  <si>
    <t>Buremte Gloves (Base)</t>
  </si>
  <si>
    <t>Despair Helm [A]</t>
  </si>
  <si>
    <t>Despair Helm [B]</t>
  </si>
  <si>
    <t>Despair Helm [C]</t>
  </si>
  <si>
    <t>Despair Helm [D]</t>
  </si>
  <si>
    <t>Carmine Fin. Ga. [A]</t>
  </si>
  <si>
    <t>Carmine Fin. Ga. [B]</t>
  </si>
  <si>
    <t>Carmine Fin. Ga. [C]</t>
  </si>
  <si>
    <t>Carmine Fin. Ga. [D]</t>
  </si>
  <si>
    <t>Carmine Fin. Ga. +1 [A]</t>
  </si>
  <si>
    <t>Carmine Fin. Ga. +1 [B]</t>
  </si>
  <si>
    <t>Carmine Fin. Ga. +1 [C]</t>
  </si>
  <si>
    <t>Carmine Fin. Ga. +1 [D]</t>
  </si>
  <si>
    <t>Lustratio Mittens [A]</t>
  </si>
  <si>
    <t>Lustratio Mittens [B]</t>
  </si>
  <si>
    <t>Lustratio Mittens [C]</t>
  </si>
  <si>
    <t>Lustratio Mittens [D]</t>
  </si>
  <si>
    <t>Lustratio Mittens +1 [A]</t>
  </si>
  <si>
    <t>Lustratio Mittens +1 [B]</t>
  </si>
  <si>
    <t>Lustratio Mittens +1 [C]</t>
  </si>
  <si>
    <t>Lustratio Mittens +1 [D]</t>
  </si>
  <si>
    <t>Emicho Gauntlets [A]</t>
  </si>
  <si>
    <t>Emicho Gauntlets [B]</t>
  </si>
  <si>
    <t>Emicho Gauntlets [C]</t>
  </si>
  <si>
    <t>Emicho Gauntlets [D]</t>
  </si>
  <si>
    <t>Emicho Gauntlets +1 [A]</t>
  </si>
  <si>
    <t>Emicho Gauntlets +1 [B]</t>
  </si>
  <si>
    <t>Emicho Gauntlets +1 [C]</t>
  </si>
  <si>
    <t>Emicho Gauntlets +1 [D]</t>
  </si>
  <si>
    <t>Pteroslaver Fin. Gaunt.</t>
  </si>
  <si>
    <t>Pteroslaver Fin. Gaunt. +1</t>
  </si>
  <si>
    <t>Aetosaur Jerkin</t>
  </si>
  <si>
    <t>Aetosaur Jerkin +1</t>
  </si>
  <si>
    <t>Chozoron Coselete</t>
  </si>
  <si>
    <t>Cizin Mail +1</t>
  </si>
  <si>
    <t>Espial Gambison</t>
  </si>
  <si>
    <t>Gefechtbrust</t>
  </si>
  <si>
    <t>Gorney Haubert +1</t>
  </si>
  <si>
    <t>Karmesin Vest</t>
  </si>
  <si>
    <t>Kubira Meikogai</t>
  </si>
  <si>
    <t>Makora Meikogai</t>
  </si>
  <si>
    <t>Nzingha Cuirass</t>
  </si>
  <si>
    <t>Peltast's Plackart</t>
  </si>
  <si>
    <t>Peltast's Plackart +1</t>
  </si>
  <si>
    <t>Pteroslaver Mail</t>
  </si>
  <si>
    <t>Pteroslaver Mail +1</t>
  </si>
  <si>
    <t>Ravenous Breastplate</t>
  </si>
  <si>
    <t>Ravenous Breastplate +1</t>
  </si>
  <si>
    <t>Sulevia's Platemail</t>
  </si>
  <si>
    <t>Sulevia's Platemail +1</t>
  </si>
  <si>
    <t>Tartarus Platemail</t>
  </si>
  <si>
    <t>Terminal Plate</t>
  </si>
  <si>
    <t>Vatic Byrnie</t>
  </si>
  <si>
    <t>Vishap Mail</t>
  </si>
  <si>
    <t>Vishap Mail +1</t>
  </si>
  <si>
    <t>Wildheitbrust</t>
  </si>
  <si>
    <t>Xaddi Mail [A]</t>
  </si>
  <si>
    <t>Xaddi Mail [B]</t>
  </si>
  <si>
    <t>Xaddi Mail [C]</t>
  </si>
  <si>
    <t>Acro Surcoat (Base)</t>
  </si>
  <si>
    <t>Agony Jerkin (First)</t>
  </si>
  <si>
    <t>Agony Jerkin (Last)</t>
  </si>
  <si>
    <t>Agony Jerkin +1 (First)</t>
  </si>
  <si>
    <t>Agony Jerkin +1 (Last)</t>
  </si>
  <si>
    <t>Taeon Tabard (Base)</t>
  </si>
  <si>
    <t>Valorous Mail (Base)</t>
  </si>
  <si>
    <t>Jumalik Mail (Base)</t>
  </si>
  <si>
    <t>Jumalik Mail (Perfect)</t>
  </si>
  <si>
    <t>Lustratio Harness +1 [A]</t>
  </si>
  <si>
    <t>Lustratio Harness +1 [B]</t>
  </si>
  <si>
    <t>Lustratio Harness +1 [C]</t>
  </si>
  <si>
    <t>Lustratio Harness +1 [D]</t>
  </si>
  <si>
    <t>Lustratio Harness [A]</t>
  </si>
  <si>
    <t>Lustratio Harness [B]</t>
  </si>
  <si>
    <t>Lustratio Harness [C]</t>
  </si>
  <si>
    <t>Lustratio Harness [D]</t>
  </si>
  <si>
    <t>Emet Harness +1 (Last)</t>
  </si>
  <si>
    <t>Emet Harness +1 (First)</t>
  </si>
  <si>
    <t>Emet Harness (First)</t>
  </si>
  <si>
    <t>Emet Harness (Last)</t>
  </si>
  <si>
    <t>Despair Mail [A]</t>
  </si>
  <si>
    <t>Despair Mail [B]</t>
  </si>
  <si>
    <t>Despair Mail [C]</t>
  </si>
  <si>
    <t>Despair Mail [D]</t>
  </si>
  <si>
    <t>Emicho Haubert [A]</t>
  </si>
  <si>
    <t>Emicho Haubert [B]</t>
  </si>
  <si>
    <t>Emicho Haubert +1 [A]</t>
  </si>
  <si>
    <t>Emicho Haubert +1 [B]</t>
  </si>
  <si>
    <t>Emicho Haubert [C/D]</t>
  </si>
  <si>
    <t>Emicho Haubert +1 [C/D]</t>
  </si>
  <si>
    <t>Carmine Scale Mail +1 [A]</t>
  </si>
  <si>
    <t>Carmine Scale Mail +1 [B]</t>
  </si>
  <si>
    <t>Carmine Scale Mail +1 [C]</t>
  </si>
  <si>
    <t>Carmine Scale Mail +1 [D]</t>
  </si>
  <si>
    <t>Carmine Scale Mail [A]</t>
  </si>
  <si>
    <t>Carmine Scale Mail [B]</t>
  </si>
  <si>
    <t>Carmine Scale Mail [C]</t>
  </si>
  <si>
    <t>Carmine Scale Mail [D]</t>
  </si>
  <si>
    <t>Aetosaur Trousers</t>
  </si>
  <si>
    <t>Aetosaur Trousers +1</t>
  </si>
  <si>
    <t>Dashing Subligar</t>
  </si>
  <si>
    <t>Espial Hose</t>
  </si>
  <si>
    <t>Gefechtdiechlings</t>
  </si>
  <si>
    <t>Gorney Brayettes +1</t>
  </si>
  <si>
    <t>Limbo Trousers</t>
  </si>
  <si>
    <t>Osmium Cuisses</t>
  </si>
  <si>
    <t>Peltast's Cuissots +1</t>
  </si>
  <si>
    <t>Peltast's Cuissots</t>
  </si>
  <si>
    <t>Pteroslaver Brais +1</t>
  </si>
  <si>
    <t>Pteroslaver Brais</t>
  </si>
  <si>
    <t>Scuffler's Cosciales</t>
  </si>
  <si>
    <t>Selvans Subligar</t>
  </si>
  <si>
    <t>Sulevia's Cuisses +1</t>
  </si>
  <si>
    <t>Sulevia's Cuisses</t>
  </si>
  <si>
    <t>Vishap Brais</t>
  </si>
  <si>
    <t>Vishap Brais +1</t>
  </si>
  <si>
    <t>Wildheitdiechlings</t>
  </si>
  <si>
    <t>Xaddi Cuisses [A]</t>
  </si>
  <si>
    <t>Xaddi Cuisses [B]</t>
  </si>
  <si>
    <t>Xaddi Cuisses [C]</t>
  </si>
  <si>
    <t>Zoar Subligar (First)</t>
  </si>
  <si>
    <t>Zoar Subligar (Last)</t>
  </si>
  <si>
    <t>Zoar Subligar +1 (First)</t>
  </si>
  <si>
    <t>Zoar Subligar +1 (Last)</t>
  </si>
  <si>
    <t>Cizin Breeches +1 (Base)</t>
  </si>
  <si>
    <t>Acro Breeches (Base)</t>
  </si>
  <si>
    <t>Founder's Hose (Base)</t>
  </si>
  <si>
    <t>Taeon Tights (Base)</t>
  </si>
  <si>
    <t>Valorous Hose (Base)</t>
  </si>
  <si>
    <t>Augury Cuisses (First)</t>
  </si>
  <si>
    <t>Augury Cuisses (Last)</t>
  </si>
  <si>
    <t>Augury Cuisses +1 (First)</t>
  </si>
  <si>
    <t>Augury Cuisses +1 (Last)</t>
  </si>
  <si>
    <t>Carmine Cuisses [A]</t>
  </si>
  <si>
    <t>Carmine Cuisses [B]</t>
  </si>
  <si>
    <t>Carmine Cuisses [C]</t>
  </si>
  <si>
    <t>Carmine Cuisses [D]</t>
  </si>
  <si>
    <t>Carmine Cuisses +1 [A]</t>
  </si>
  <si>
    <t>Carmine Cuisses +1 [B]</t>
  </si>
  <si>
    <t>Carmine Cuisses +1 [C]</t>
  </si>
  <si>
    <t>Carmine Cuisses +1 [D]</t>
  </si>
  <si>
    <t>Founder's Hose (Perfect)</t>
  </si>
  <si>
    <t>Emicho Hose [A]</t>
  </si>
  <si>
    <t>Emicho Hose [B]</t>
  </si>
  <si>
    <t>Emicho Hose [C]</t>
  </si>
  <si>
    <t>Emicho Hose [D]</t>
  </si>
  <si>
    <t>Emicho Hose +1 [A]</t>
  </si>
  <si>
    <t>Emicho Hose +1 [B]</t>
  </si>
  <si>
    <t>Emicho Hose +1 [C]</t>
  </si>
  <si>
    <t>Emicho Hose +1 [D]</t>
  </si>
  <si>
    <t>Lustratio Subligar +1 [A]</t>
  </si>
  <si>
    <t>Lustratio Subligar +1 [B]</t>
  </si>
  <si>
    <t>Lustratio Subligar +1 [C]</t>
  </si>
  <si>
    <t>Lustratio Subligar +1 [D]</t>
  </si>
  <si>
    <t>Lustratio Subligar [A]</t>
  </si>
  <si>
    <t>Lustratio Subligar [B]</t>
  </si>
  <si>
    <t>Lustratio Subligar [C]</t>
  </si>
  <si>
    <t>Lustratio Subligar [D]</t>
  </si>
  <si>
    <t>Despair Cuisses [A]</t>
  </si>
  <si>
    <t>Despair Cuisses [B]</t>
  </si>
  <si>
    <t>Despair Cuisses [C]</t>
  </si>
  <si>
    <t>Despair Cuisses [D]</t>
  </si>
  <si>
    <t>Aetosaur Ledelsens</t>
  </si>
  <si>
    <t>Aetosaur Ledelsens +1</t>
  </si>
  <si>
    <t>Composer's Sabots</t>
  </si>
  <si>
    <t>Espial Socks</t>
  </si>
  <si>
    <t>Gefechtschuhs</t>
  </si>
  <si>
    <t>Gigantes Boots +1</t>
  </si>
  <si>
    <t>Gorney Sollerets +1</t>
  </si>
  <si>
    <t>Maenadic Gambieras</t>
  </si>
  <si>
    <t>Ostro Greaves</t>
  </si>
  <si>
    <t>Peltast's Schynbalds</t>
  </si>
  <si>
    <t>Peltast's Schynbalds +1</t>
  </si>
  <si>
    <t>Pteroslaver Greaves</t>
  </si>
  <si>
    <t>Pteroslaver Greaves +1</t>
  </si>
  <si>
    <t>Rager Ledelsens +1</t>
  </si>
  <si>
    <t>Sulevia's Leggings</t>
  </si>
  <si>
    <t>Sulevia's Leggings +1</t>
  </si>
  <si>
    <t>Thereoid Greaves</t>
  </si>
  <si>
    <t>Vanir Boots</t>
  </si>
  <si>
    <t>Vishap Greaves</t>
  </si>
  <si>
    <t>Vishap Greaves +1</t>
  </si>
  <si>
    <t>Whirlpool Greaves</t>
  </si>
  <si>
    <t>Wildheitschuhs</t>
  </si>
  <si>
    <t>Xaddi Boots [A]</t>
  </si>
  <si>
    <t>Xaddi Boots [B]</t>
  </si>
  <si>
    <t>Xaddi Boots [C]</t>
  </si>
  <si>
    <t>Amm Greaves (Base)</t>
  </si>
  <si>
    <t>Acro Leggings (Base)</t>
  </si>
  <si>
    <t>Amm Greaves (Perfect)</t>
  </si>
  <si>
    <t>Cizin Greaves +1 (Base)</t>
  </si>
  <si>
    <t>Ejekamal Boots (Base)</t>
  </si>
  <si>
    <t>Founder's Greaves (Base)</t>
  </si>
  <si>
    <t>Founder's Greaves (Perfect)</t>
  </si>
  <si>
    <t>Taeon Boots (Base)</t>
  </si>
  <si>
    <t>Valorous Greaves (Base)</t>
  </si>
  <si>
    <t>Despair Greaves [A]</t>
  </si>
  <si>
    <t>Despair Greaves [B]</t>
  </si>
  <si>
    <t>Despair Greaves [C]</t>
  </si>
  <si>
    <t>Despair Greaves [D]</t>
  </si>
  <si>
    <t>Carmine Greaves [A]</t>
  </si>
  <si>
    <t>Carmine Greaves [B]</t>
  </si>
  <si>
    <t>Carmine Greaves [C]</t>
  </si>
  <si>
    <t>Carmine Greaves [D]</t>
  </si>
  <si>
    <t>Carmine Greaves +1 [A]</t>
  </si>
  <si>
    <t>Carmine Greaves +1 [B]</t>
  </si>
  <si>
    <t>Carmine Greaves +1 [C]</t>
  </si>
  <si>
    <t>Carmine Greaves +1 [D]</t>
  </si>
  <si>
    <t>Emicho Gambieras [A]</t>
  </si>
  <si>
    <t>Emicho Gambieras [B]</t>
  </si>
  <si>
    <t>Emicho Gambieras [C]</t>
  </si>
  <si>
    <t>Emicho Gambieras [D]</t>
  </si>
  <si>
    <t>Emicho Gambieras +1 [A]</t>
  </si>
  <si>
    <t>Emicho Gambieras +1 [B]</t>
  </si>
  <si>
    <t>Emicho Gambieras +1 [C]</t>
  </si>
  <si>
    <t>Emicho Gambieras +1 [D]</t>
  </si>
  <si>
    <t>Lustratio Leggings [A]</t>
  </si>
  <si>
    <t>Lustratio Leggings [B]</t>
  </si>
  <si>
    <t>Lustratio Leggings [C]</t>
  </si>
  <si>
    <t>Lustratio Leggings [D]</t>
  </si>
  <si>
    <t>Lustratio Leggings +1 [A]</t>
  </si>
  <si>
    <t>Lustratio Leggings +1 [B]</t>
  </si>
  <si>
    <t>Lustratio Leggings +1 [C]</t>
  </si>
  <si>
    <t>Lustratio Leggings +1 [D]</t>
  </si>
  <si>
    <t>Peacock Charm</t>
  </si>
  <si>
    <t>Ygnas's Resolve +1 (Reive)</t>
  </si>
  <si>
    <t>Love Torque</t>
  </si>
  <si>
    <t>Combatant's Torque</t>
  </si>
  <si>
    <t>Nefarious Collar +1</t>
  </si>
  <si>
    <t>Ocachi Gorget</t>
  </si>
  <si>
    <t>Portus Collar</t>
  </si>
  <si>
    <t>Rancorous Collar (Max)</t>
  </si>
  <si>
    <t>Shifting Necklace +1</t>
  </si>
  <si>
    <t>Tjukurrpa Medal</t>
  </si>
  <si>
    <t>Tlamiztli Collar</t>
  </si>
  <si>
    <t>Ziel Charm</t>
  </si>
  <si>
    <t>Nefarious Collar</t>
  </si>
  <si>
    <t>Mujin Necklace</t>
  </si>
  <si>
    <t>Lancer's Torque</t>
  </si>
  <si>
    <t>Lacono Necklace +1</t>
  </si>
  <si>
    <t>Justiciar's Torque</t>
  </si>
  <si>
    <t>Ishtar's Collar</t>
  </si>
  <si>
    <t>Ire Torque</t>
  </si>
  <si>
    <t>Iqabi Necklace</t>
  </si>
  <si>
    <t xml:space="preserve">Houyi's Gorget </t>
  </si>
  <si>
    <t>[WS] Gorget</t>
  </si>
  <si>
    <t>Maskirova Torque</t>
  </si>
  <si>
    <t>Ire Torque +1</t>
  </si>
  <si>
    <t>Gaudryi Necklace</t>
  </si>
  <si>
    <t>Ganesha's Mala</t>
  </si>
  <si>
    <t>Chivalrous Chain</t>
  </si>
  <si>
    <t>Sanctity Necklace</t>
  </si>
  <si>
    <t>Subtlety Spectacles</t>
  </si>
  <si>
    <t>Dampener's Torque</t>
  </si>
  <si>
    <t>Lissome Necklace</t>
  </si>
  <si>
    <t>Caro Necklace</t>
  </si>
  <si>
    <t>Clotharius Torque</t>
  </si>
  <si>
    <t>Ainia Collar</t>
  </si>
  <si>
    <t>Agasaya's Collar</t>
  </si>
  <si>
    <t>Asperity Necklace</t>
  </si>
  <si>
    <t>Almah Torque</t>
  </si>
  <si>
    <t>Apathy Gorget</t>
  </si>
  <si>
    <t>Backlash Torque</t>
  </si>
  <si>
    <t>Lacono Necklace</t>
  </si>
  <si>
    <t>Shifting Necklace</t>
  </si>
  <si>
    <t>Vim Torque</t>
  </si>
  <si>
    <t>Vim Torque +1</t>
  </si>
  <si>
    <t>Defiant Collar</t>
  </si>
  <si>
    <t>Zoran's Belt</t>
  </si>
  <si>
    <t>Windbuffet Belt +1</t>
  </si>
  <si>
    <t>Windbuffet Belt</t>
  </si>
  <si>
    <t>Warwolf Belt</t>
  </si>
  <si>
    <t>Wanion Belt</t>
  </si>
  <si>
    <t>Tempus Fugit</t>
  </si>
  <si>
    <t>Tempus Fugit +1</t>
  </si>
  <si>
    <t>Caudata Belt (WS)</t>
  </si>
  <si>
    <t>Caudata Belt (Base)</t>
  </si>
  <si>
    <t>Cetl Belt</t>
  </si>
  <si>
    <t>Chuq'aba Belt</t>
  </si>
  <si>
    <t>[WS] Belt</t>
  </si>
  <si>
    <t>Dynamic Belt</t>
  </si>
  <si>
    <t>Dynamic Belt +1</t>
  </si>
  <si>
    <t>Eschan Stone</t>
  </si>
  <si>
    <t>Gevaudan Belt (Night)</t>
  </si>
  <si>
    <t>Gevaudan Belt (Day)</t>
  </si>
  <si>
    <t>Goading Belt</t>
  </si>
  <si>
    <t>Grunfeld Rope</t>
  </si>
  <si>
    <t>Istio Belt</t>
  </si>
  <si>
    <t>Life Belt</t>
  </si>
  <si>
    <t>Beir Belt</t>
  </si>
  <si>
    <t>Beir Belt +1</t>
  </si>
  <si>
    <t>Anguinus Belt</t>
  </si>
  <si>
    <t>Accursed Belt</t>
  </si>
  <si>
    <t>Bullwhip Belt</t>
  </si>
  <si>
    <t>Speed Belt</t>
  </si>
  <si>
    <t>Swift Belt</t>
  </si>
  <si>
    <t>Ioskeha Belt</t>
  </si>
  <si>
    <t>Ioskeha Belt +1</t>
  </si>
  <si>
    <t>Kentarch Belt (First)</t>
  </si>
  <si>
    <t>Kentarch Belt +1 (First)</t>
  </si>
  <si>
    <t>Kentarch Belt +1 (Last)</t>
  </si>
  <si>
    <t>Kentarch Belt (Last)</t>
  </si>
  <si>
    <t>Kerygma Belt</t>
  </si>
  <si>
    <t>Klouskap Sash</t>
  </si>
  <si>
    <t>Klouskap Sash +1</t>
  </si>
  <si>
    <t>Metalsinger Belt</t>
  </si>
  <si>
    <t>Olseni Belt</t>
  </si>
  <si>
    <t>Moepapa Stone</t>
  </si>
  <si>
    <t>Ninurta's Sash</t>
  </si>
  <si>
    <t>Patentia Sash</t>
  </si>
  <si>
    <t>Phasmida Belt</t>
  </si>
  <si>
    <t>Phos Belt</t>
  </si>
  <si>
    <t>Phos Belt +1</t>
  </si>
  <si>
    <t>Pipilaka Belt</t>
  </si>
  <si>
    <t>Potent Belt</t>
  </si>
  <si>
    <t>Prosilio Belt</t>
  </si>
  <si>
    <t>Prosilio Belt +1 (Base)</t>
  </si>
  <si>
    <t>Prosilio Belt +1 (WS)</t>
  </si>
  <si>
    <t>Pya'ekue Belt</t>
  </si>
  <si>
    <t>Pya'ekue Belt +1</t>
  </si>
  <si>
    <t>Reiki Yotai</t>
  </si>
  <si>
    <t>Sailifi Belt (First)</t>
  </si>
  <si>
    <t>Sailifi Belt (Last)</t>
  </si>
  <si>
    <t>Sailifi Belt +1 (First)</t>
  </si>
  <si>
    <t>Sailifi Belt +1 (Last)</t>
  </si>
  <si>
    <t>Sarissaphoroi Belt</t>
  </si>
  <si>
    <t>Sentry Belt</t>
  </si>
  <si>
    <t>Sulla Belt</t>
  </si>
  <si>
    <t>Virtuoso Belt</t>
  </si>
  <si>
    <t>Anastasi Earring</t>
  </si>
  <si>
    <t>Assauge Earring</t>
  </si>
  <si>
    <t>Aesir Ear Pendant (Base)</t>
  </si>
  <si>
    <t>Aesir Ear Pendant (Dark)</t>
  </si>
  <si>
    <t>Bladeborn Earring</t>
  </si>
  <si>
    <t>Brutal Earring</t>
  </si>
  <si>
    <t>Cessance Earring</t>
  </si>
  <si>
    <t>Dedition Earring</t>
  </si>
  <si>
    <t>Dignitary's Earring</t>
  </si>
  <si>
    <t>Dominance Earring (First)</t>
  </si>
  <si>
    <t>Dominance Earring (Last)</t>
  </si>
  <si>
    <t>Dudgeon Earring</t>
  </si>
  <si>
    <t>Enervating Earring</t>
  </si>
  <si>
    <t>Ghillie Earring</t>
  </si>
  <si>
    <t>Ghillie Earring +1</t>
  </si>
  <si>
    <t>Heartseeker Earring</t>
  </si>
  <si>
    <t>Hollow Earring</t>
  </si>
  <si>
    <t>Ethereal Earring</t>
  </si>
  <si>
    <t>Ishvara Earring</t>
  </si>
  <si>
    <t>Kemas Earring</t>
  </si>
  <si>
    <t>Kokou's Earring</t>
  </si>
  <si>
    <t>Kuwunga Earring</t>
  </si>
  <si>
    <t>Moonshade (Att+Regain)</t>
  </si>
  <si>
    <t>Moonshade (Acc+Regain)</t>
  </si>
  <si>
    <t>Steelflash Earring</t>
  </si>
  <si>
    <t>Mache Earring</t>
  </si>
  <si>
    <t>Mache Earring +1</t>
  </si>
  <si>
    <t>Neritic Earring</t>
  </si>
  <si>
    <t>Odnowa Earring (First)</t>
  </si>
  <si>
    <t>Odnowa Earring (Last)</t>
  </si>
  <si>
    <t>Odnowa Earring +1 (First)</t>
  </si>
  <si>
    <t>Odnowa Earring +1 (Last)</t>
  </si>
  <si>
    <t>Tati Earring</t>
  </si>
  <si>
    <t>Tati Earring +1</t>
  </si>
  <si>
    <t>Telos Earring</t>
  </si>
  <si>
    <t>Tripudio Earring</t>
  </si>
  <si>
    <t>Trux Earring</t>
  </si>
  <si>
    <t>Vulcan's Earring</t>
  </si>
  <si>
    <t>Vulcan's Pearl</t>
  </si>
  <si>
    <t>Zennaroi Earring</t>
  </si>
  <si>
    <t>Zwazo Earring (First)</t>
  </si>
  <si>
    <t>Zwazo Earring +1 (Last)</t>
  </si>
  <si>
    <t>Zwazo Earring (Last)</t>
  </si>
  <si>
    <t>Zwazo Earring +1 (First)</t>
  </si>
  <si>
    <t>Bloodrain Strap</t>
  </si>
  <si>
    <t>Alber Strap</t>
  </si>
  <si>
    <t>Arbuda Grip</t>
  </si>
  <si>
    <t>Axe Grip</t>
  </si>
  <si>
    <t>Brave Grip</t>
  </si>
  <si>
    <t>Danger Grip</t>
  </si>
  <si>
    <t>Dilettante's Grip</t>
  </si>
  <si>
    <t>Dilettante's Grip +1</t>
  </si>
  <si>
    <t>Duplus Grip</t>
  </si>
  <si>
    <t>Flanged Grip</t>
  </si>
  <si>
    <t>Gracile Grip</t>
  </si>
  <si>
    <t>Gracile Grip +1</t>
  </si>
  <si>
    <t>Immolation Grip</t>
  </si>
  <si>
    <t>Nepenthe Grip</t>
  </si>
  <si>
    <t>Nepenthe Grip +1</t>
  </si>
  <si>
    <t>Potent Grip</t>
  </si>
  <si>
    <t>Rigorous Grip (First)</t>
  </si>
  <si>
    <t>Rigorous Grip +1 (First)</t>
  </si>
  <si>
    <t>Rigorous Grip +1 (Last)</t>
  </si>
  <si>
    <t>Rigorous Grip (Last)</t>
  </si>
  <si>
    <t>Tzacab Grip</t>
  </si>
  <si>
    <t>Cheruski Needle</t>
  </si>
  <si>
    <t>Floestone</t>
  </si>
  <si>
    <t>Focal Orb</t>
  </si>
  <si>
    <t>Tengu-no-Hane (Night)</t>
  </si>
  <si>
    <t>Vanir Battery</t>
  </si>
  <si>
    <t>Potestas Bomblet</t>
  </si>
  <si>
    <t>Hasty Pinion</t>
  </si>
  <si>
    <t>Atk.+, Rng. Atk.+</t>
  </si>
  <si>
    <t>Acc.+, Eva.+</t>
  </si>
  <si>
    <t>STR+, VIT+</t>
  </si>
  <si>
    <t>DEX+, AGI+</t>
  </si>
  <si>
    <t>Acc.++</t>
  </si>
  <si>
    <t>Adoulin Ring</t>
  </si>
  <si>
    <t>Apate Ring</t>
  </si>
  <si>
    <t>Beeline Ring</t>
  </si>
  <si>
    <t>Blitz Ring</t>
  </si>
  <si>
    <t>Begruding Ring (Max)</t>
  </si>
  <si>
    <t>Cacoethic Ring</t>
  </si>
  <si>
    <t>Cacoethic Ring +1</t>
  </si>
  <si>
    <t>Candent Ring</t>
  </si>
  <si>
    <t>Chirich Ring</t>
  </si>
  <si>
    <t>Chirich Ring +1</t>
  </si>
  <si>
    <t>Cho'j Band</t>
  </si>
  <si>
    <t>Ecphoria Ring</t>
  </si>
  <si>
    <t>Enlivened Ring</t>
  </si>
  <si>
    <t>Hoard Ring</t>
  </si>
  <si>
    <t>Ifrit Ring</t>
  </si>
  <si>
    <t>Ifrit Ring +1</t>
  </si>
  <si>
    <t>Etana Ring</t>
  </si>
  <si>
    <t>Hetairoi Ring</t>
  </si>
  <si>
    <t>Karieyh Ring (Base)</t>
  </si>
  <si>
    <t>Karieyh Ring (WS)</t>
  </si>
  <si>
    <t>K'ayres Ring</t>
  </si>
  <si>
    <t>Mouflon Ring</t>
  </si>
  <si>
    <t>Patricius Ring</t>
  </si>
  <si>
    <t>Pernicious Ring</t>
  </si>
  <si>
    <t>Petrov Ring</t>
  </si>
  <si>
    <t>Rajas Ring</t>
  </si>
  <si>
    <t>Ramuh Ring</t>
  </si>
  <si>
    <t>Ramuh Ring +1</t>
  </si>
  <si>
    <t>Rufescent Ring (Base)</t>
  </si>
  <si>
    <t>Rufescent Ring (WS)</t>
  </si>
  <si>
    <t>Shukuyu Ring</t>
  </si>
  <si>
    <t>Sljor Ring</t>
  </si>
  <si>
    <t>Sniper's Ring</t>
  </si>
  <si>
    <t>Sniper's Ring +1</t>
  </si>
  <si>
    <t>Spiral Ring</t>
  </si>
  <si>
    <t>Strigoi Ring</t>
  </si>
  <si>
    <t>Titan Ring</t>
  </si>
  <si>
    <t>Titan Ring +1</t>
  </si>
  <si>
    <t>Supershear Ring</t>
  </si>
  <si>
    <t>Toreador Ring</t>
  </si>
  <si>
    <t>Tyrant's Ring</t>
  </si>
  <si>
    <t>Ulthalam's Ring (Base)</t>
  </si>
  <si>
    <t>Ulthalam's Ring (Assault)</t>
  </si>
  <si>
    <t>Varar Ring</t>
  </si>
  <si>
    <t>Varar Ring +1</t>
  </si>
  <si>
    <t>Vehemence Ring</t>
  </si>
  <si>
    <t>Yacuruna Ring</t>
  </si>
  <si>
    <t>Yacuruna Ring +1</t>
  </si>
  <si>
    <t>Agema Cape</t>
  </si>
  <si>
    <t>Aife's Mantle</t>
  </si>
  <si>
    <t>Amemet Mantle</t>
  </si>
  <si>
    <t>Amemet Mantle +1</t>
  </si>
  <si>
    <t>Annealed Mantle (Base)</t>
  </si>
  <si>
    <t>Annealed Mantle (Fire)</t>
  </si>
  <si>
    <t>Argochampsa Mantle</t>
  </si>
  <si>
    <t>Atheling Mantle</t>
  </si>
  <si>
    <t>Attacker's Mantle</t>
  </si>
  <si>
    <t>Bleating Mantle</t>
  </si>
  <si>
    <t>Brigantia's Mantle (Base)</t>
  </si>
  <si>
    <t>Buquwik Cape</t>
  </si>
  <si>
    <t>Cerberus Mantle</t>
  </si>
  <si>
    <t>Cerberus Mantle +1</t>
  </si>
  <si>
    <t>Cuchulain's Mantle</t>
  </si>
  <si>
    <t>Dauntless Mantle</t>
  </si>
  <si>
    <t>Earthcry Mantle</t>
  </si>
  <si>
    <t>Enuma Mantle</t>
  </si>
  <si>
    <t>Feline Mantle</t>
  </si>
  <si>
    <t>Forager's Mantle</t>
  </si>
  <si>
    <t>Grounded Mantle (First)</t>
  </si>
  <si>
    <t>Grounded Mantle (Last)</t>
  </si>
  <si>
    <t>Grounded Mantle +1 (First)</t>
  </si>
  <si>
    <t>Grounded Mantle +1 (Last)</t>
  </si>
  <si>
    <t>Iximulew Cape</t>
  </si>
  <si>
    <t>Impassive Mantle</t>
  </si>
  <si>
    <t>Kayapa Cape</t>
  </si>
  <si>
    <t>Laic Mantle</t>
  </si>
  <si>
    <t>Lancer's Pelerine</t>
  </si>
  <si>
    <t>Letalis Mantle</t>
  </si>
  <si>
    <t>Lupine Cape</t>
  </si>
  <si>
    <t>Moondoe Mantle +1</t>
  </si>
  <si>
    <t>Phalangite Mantle</t>
  </si>
  <si>
    <t>Radical Mantle</t>
  </si>
  <si>
    <t>Radical Mantle +1</t>
  </si>
  <si>
    <t>Relucent Cape</t>
  </si>
  <si>
    <t>Rancorous Mantle (Max)</t>
  </si>
  <si>
    <t>Sokolski Mantle</t>
  </si>
  <si>
    <t>Tantalic Cape</t>
  </si>
  <si>
    <t>Trepidity Cape (Darksday)</t>
  </si>
  <si>
    <t>Tactical Mantle</t>
  </si>
  <si>
    <t>Updraft Mantle (Base)</t>
  </si>
  <si>
    <t>Updraft Mantle (Max)</t>
  </si>
  <si>
    <t>Vellaunus' Mantle</t>
  </si>
  <si>
    <t>Vellaunus' Mantle +1</t>
  </si>
  <si>
    <t>Vespid Mantle (Base)</t>
  </si>
  <si>
    <t>Vespid Mantle (WS)</t>
  </si>
  <si>
    <t>Xucau Mantle</t>
  </si>
  <si>
    <t>DA Hits</t>
  </si>
  <si>
    <t>TA Hits</t>
  </si>
  <si>
    <t>DA Dmg+/Rnd</t>
  </si>
  <si>
    <t>TA Dmg+/Rnd</t>
  </si>
  <si>
    <t>Chiner's Belt +1</t>
  </si>
  <si>
    <t>Chiner's Belt</t>
  </si>
  <si>
    <t>Sublime Sushi +1</t>
  </si>
  <si>
    <t>Mythic AM2 Att</t>
  </si>
  <si>
    <t>Mythic AM1 Acc</t>
  </si>
  <si>
    <t>Acc = TRUNC((TP - 1000)/50)+30</t>
  </si>
  <si>
    <t>Att = TRUNC((TP - 2000)/(50/3))+40</t>
  </si>
  <si>
    <t>High Set 1</t>
  </si>
  <si>
    <t>Soul Set 1</t>
  </si>
  <si>
    <t>Soul Set 2</t>
  </si>
  <si>
    <t>High Set 2</t>
  </si>
  <si>
    <t>Spirit Set 1</t>
  </si>
  <si>
    <t>Spirit Set 2</t>
  </si>
  <si>
    <t>Founder's Gaunt. (Perfect)</t>
  </si>
  <si>
    <t>Founder's Gaunt. (Base)</t>
  </si>
  <si>
    <t>Founder's Breast. (Perfect)</t>
  </si>
  <si>
    <t>Founder's Breast. (Base)</t>
  </si>
  <si>
    <t>Moonshade (Acc+TP)</t>
  </si>
  <si>
    <t>Moonshade (Att+TP)</t>
  </si>
  <si>
    <t>Dominance Ear. +1 (First)</t>
  </si>
  <si>
    <t>Dominance Ear. +1 (Last)</t>
  </si>
  <si>
    <t>Jump D/Rnd</t>
  </si>
  <si>
    <t>Spirit Dmg</t>
  </si>
  <si>
    <t>Spirit D/Rnd</t>
  </si>
  <si>
    <t>High Dmg</t>
  </si>
  <si>
    <t>High D/Rnd</t>
  </si>
  <si>
    <t>Soul Dmg</t>
  </si>
  <si>
    <t>Soul D/Rnd</t>
  </si>
  <si>
    <t>Madrigal+</t>
  </si>
  <si>
    <t>Minuet+</t>
  </si>
  <si>
    <t>March+</t>
  </si>
  <si>
    <t>EmpyreanAM</t>
  </si>
  <si>
    <t>Empy Dmg/Rnd</t>
  </si>
  <si>
    <t>Empyrean Aftermath</t>
  </si>
  <si>
    <t>None - 0%</t>
  </si>
  <si>
    <t>Lv.2 - 40%</t>
  </si>
  <si>
    <t>Lv.1 - 30%</t>
  </si>
  <si>
    <t>Lv.3 - 50%</t>
  </si>
  <si>
    <t>Relic Aftermath</t>
  </si>
  <si>
    <t>Mythic Aftermath</t>
  </si>
  <si>
    <t>MythicAM</t>
  </si>
  <si>
    <t>Lv.1 - Accuracy</t>
  </si>
  <si>
    <t>Lv.2 - Attack</t>
  </si>
  <si>
    <t>Mythic AM2 (Att) TP</t>
  </si>
  <si>
    <t>Mythic AM1 (Acc) TP</t>
  </si>
  <si>
    <t>Lv.3 - OA2-3</t>
  </si>
  <si>
    <t>Onca Suit</t>
  </si>
  <si>
    <t>Onca Suit (Unrestricted)</t>
  </si>
  <si>
    <t>- restrict zone bonuses to a single area type (VW, Abyssea, Adoulin, Escha)</t>
  </si>
  <si>
    <t>Empy AM</t>
  </si>
  <si>
    <t>Fotia Gorget</t>
  </si>
  <si>
    <t>Fotia Belt</t>
  </si>
  <si>
    <t>Fotia Chance</t>
  </si>
  <si>
    <t>- compile list of Staves</t>
  </si>
  <si>
    <t>- implement Magic WS damage formulas</t>
  </si>
  <si>
    <t>- add INT/MND/CHR and other magic stats into Data</t>
  </si>
  <si>
    <t>Consider adding support for Staff and other Magic WS:</t>
  </si>
  <si>
    <t>Apex Crab Lv130</t>
  </si>
  <si>
    <t>Apex Raptor Lv127</t>
  </si>
  <si>
    <t>Apex Bat Lv136</t>
  </si>
  <si>
    <t>Haste Samba (5/5 Merit)</t>
  </si>
  <si>
    <t>Split Food/Cheer/Abyssea/Vorseal stuff on the top of the Data page instead of sharing whatever Set 1 uses</t>
  </si>
  <si>
    <t>Stuff I'll do eventually maybe (maaaybe):</t>
  </si>
  <si>
    <t>Setup page could use a bunch of things:</t>
  </si>
  <si>
    <t>Ecliptic Attr.</t>
  </si>
  <si>
    <t>Flamma Zucchetto</t>
  </si>
  <si>
    <t>Flamma Zucchetto +1</t>
  </si>
  <si>
    <t>Flamma Korazin</t>
  </si>
  <si>
    <t>Flamma Korazin +1</t>
  </si>
  <si>
    <t>Flamma Manopolas</t>
  </si>
  <si>
    <t>Flamma Manopolas +1</t>
  </si>
  <si>
    <t>Flamma Dirs</t>
  </si>
  <si>
    <t>Flamma Dirs +1</t>
  </si>
  <si>
    <t>Flamma Gambieras</t>
  </si>
  <si>
    <t>Flamma Gambieras +1</t>
  </si>
  <si>
    <t>Base Item</t>
  </si>
  <si>
    <t>Olyndicus</t>
  </si>
  <si>
    <t>Reienkyo</t>
  </si>
  <si>
    <t>Nickname</t>
  </si>
  <si>
    <t>Custom 1</t>
  </si>
  <si>
    <t>Custom 2</t>
  </si>
  <si>
    <t>Acro Helm</t>
  </si>
  <si>
    <t>Taeon Chapeau</t>
  </si>
  <si>
    <t>Valorous Mask</t>
  </si>
  <si>
    <t>Custom 3</t>
  </si>
  <si>
    <t>Custom 4</t>
  </si>
  <si>
    <t>Custom 5</t>
  </si>
  <si>
    <t>Custom 6</t>
  </si>
  <si>
    <t>Acro Surcoat</t>
  </si>
  <si>
    <t>Taeon Tabard</t>
  </si>
  <si>
    <t>Valorous Mail</t>
  </si>
  <si>
    <t>Acro Gauntlets</t>
  </si>
  <si>
    <t>Taeon Gloves</t>
  </si>
  <si>
    <t>Valorous Mitts</t>
  </si>
  <si>
    <t>Brigantia's Mantle</t>
  </si>
  <si>
    <t>Acro Breeches</t>
  </si>
  <si>
    <t>Valorous Hose</t>
  </si>
  <si>
    <t>Taeon Tights</t>
  </si>
  <si>
    <t>Valorous Greaves</t>
  </si>
  <si>
    <t>Taeon Boots</t>
  </si>
  <si>
    <t>Acro Leggings</t>
  </si>
  <si>
    <t>Empy Set Bonus</t>
  </si>
  <si>
    <t>Brigantia's Mantle (DEX+STP)</t>
  </si>
  <si>
    <t>Brigantia's Mantle (STR+DA)</t>
  </si>
  <si>
    <t>DEX+Crit</t>
  </si>
  <si>
    <t>DEX+DA</t>
  </si>
  <si>
    <t>DEX+Haste</t>
  </si>
  <si>
    <t>DEX+STP</t>
  </si>
  <si>
    <t>DEX+WSD</t>
  </si>
  <si>
    <t>STR+Crit</t>
  </si>
  <si>
    <t>STR+DA</t>
  </si>
  <si>
    <t>STR+Haste</t>
  </si>
  <si>
    <t>STR+STP</t>
  </si>
  <si>
    <t>STR+WSD</t>
  </si>
  <si>
    <t>DA+DMG</t>
  </si>
  <si>
    <t>STP+STR/DEX</t>
  </si>
  <si>
    <t>Augmentable Armor</t>
  </si>
  <si>
    <t>Harpoon</t>
  </si>
  <si>
    <t>FullName</t>
  </si>
  <si>
    <t>Augmentable Weapon</t>
  </si>
  <si>
    <t>Rhongomiant (fake)</t>
  </si>
  <si>
    <t>RHONGOMIANT (fake) AG</t>
  </si>
  <si>
    <t>- possibly add a Sylvie option to Geomancy (pretty sure she uses regular Fury/Precision/Haste, so no need to mess around with her Entrust bubbles)</t>
  </si>
  <si>
    <t>- include various other buffs (Impact, Savagery Warcry, etc.), probably giving a big overhaul to simplify Party buffs</t>
  </si>
  <si>
    <t>Add various Data stats (att ratio, hit rate, TP/hit, etc.) to Gear tabs to see changes without changing tabs constantly</t>
  </si>
  <si>
    <t>Acro Breeches (STP)</t>
  </si>
  <si>
    <t>Family</t>
  </si>
  <si>
    <t>Other</t>
  </si>
  <si>
    <t>Beast</t>
  </si>
  <si>
    <t>Vermin</t>
  </si>
  <si>
    <t>Demon</t>
  </si>
  <si>
    <t>Lizard</t>
  </si>
  <si>
    <t>Aquan</t>
  </si>
  <si>
    <t>Bird</t>
  </si>
  <si>
    <t>Kouryu</t>
  </si>
  <si>
    <t>Dragon</t>
  </si>
  <si>
    <t>Mob Type</t>
  </si>
  <si>
    <t>NM</t>
  </si>
  <si>
    <t>Red Curry</t>
  </si>
  <si>
    <t>Killer</t>
  </si>
  <si>
    <t>Undead+5</t>
  </si>
  <si>
    <t>Dragon+5</t>
  </si>
  <si>
    <t>Hellsteak</t>
  </si>
  <si>
    <t>Hellsteak +1</t>
  </si>
  <si>
    <t>Sub Job</t>
  </si>
  <si>
    <t>Main Job +1</t>
  </si>
  <si>
    <t>Demon+4</t>
  </si>
  <si>
    <t>Demon+6</t>
  </si>
  <si>
    <t>Behemoth Steak</t>
  </si>
  <si>
    <t>Lizard+4</t>
  </si>
  <si>
    <t>Behemoth Steak +1</t>
  </si>
  <si>
    <t>Lizard+5</t>
  </si>
  <si>
    <t>Cookie</t>
  </si>
  <si>
    <t>Cookie +1</t>
  </si>
  <si>
    <t>Cookie+10</t>
  </si>
  <si>
    <t>Cookie+12</t>
  </si>
  <si>
    <t>The following families have cookies with killer effects:</t>
  </si>
  <si>
    <t>Killer Gear</t>
  </si>
  <si>
    <t>Founder's Corona</t>
  </si>
  <si>
    <t>Founder's Gauntlets</t>
  </si>
  <si>
    <t>Founder's Hose</t>
  </si>
  <si>
    <t>Founder's Greaves</t>
  </si>
  <si>
    <t>Rhomphaia</t>
  </si>
  <si>
    <t>Habile Mazraq</t>
  </si>
  <si>
    <t>Zwazo Earring +1</t>
  </si>
  <si>
    <t>All+2</t>
  </si>
  <si>
    <t>Dragon+10</t>
  </si>
  <si>
    <t>Dragon+20</t>
  </si>
  <si>
    <t>Bird+4</t>
  </si>
  <si>
    <t>Bird+5</t>
  </si>
  <si>
    <t>Plantoid+5</t>
  </si>
  <si>
    <t>Beast King</t>
  </si>
  <si>
    <t>Beast+10</t>
  </si>
  <si>
    <t>Hell's Guardian</t>
  </si>
  <si>
    <t>Demon+10</t>
  </si>
  <si>
    <t>Dragon Rider</t>
  </si>
  <si>
    <t>Impenetrable</t>
  </si>
  <si>
    <t>Lizard+10</t>
  </si>
  <si>
    <t>Hybrid Beast</t>
  </si>
  <si>
    <t>Arcana+10</t>
  </si>
  <si>
    <t>Circles</t>
  </si>
  <si>
    <t>Undead</t>
  </si>
  <si>
    <t>Arcana</t>
  </si>
  <si>
    <t>Zwazo Earring</t>
  </si>
  <si>
    <t>Base Killer Rate</t>
  </si>
  <si>
    <t>Gear Killer Bonus</t>
  </si>
  <si>
    <t>Food Killer Bonus</t>
  </si>
  <si>
    <t>Final Killer Rate</t>
  </si>
  <si>
    <t>Abyssal Wyrm</t>
  </si>
  <si>
    <t>Family Dmg+ %</t>
  </si>
  <si>
    <t>Plantoid</t>
  </si>
  <si>
    <t>Amorph</t>
  </si>
  <si>
    <t>Families</t>
  </si>
  <si>
    <t>Undead, Beast, Lizard, Vermin, Plantoid, Aquan, Amorph, Bird</t>
  </si>
  <si>
    <t>Circle Killer Bonus</t>
  </si>
  <si>
    <t>Circle Dmg+ %</t>
  </si>
  <si>
    <t>Potency</t>
  </si>
  <si>
    <t>Killer Effects+</t>
  </si>
  <si>
    <t>This is not a reference; don't add items here and expect them to work</t>
  </si>
  <si>
    <t>Base</t>
  </si>
  <si>
    <t>HBV</t>
  </si>
  <si>
    <t>Healing Breath</t>
  </si>
  <si>
    <t>Range:</t>
  </si>
  <si>
    <t>Vermin+5</t>
  </si>
  <si>
    <t>Magma Steak +1</t>
  </si>
  <si>
    <t>Vermin+6</t>
  </si>
  <si>
    <t>Riverfin Soup</t>
  </si>
  <si>
    <t>Amorph+6</t>
  </si>
  <si>
    <t>Oceanfin Soup</t>
  </si>
  <si>
    <t>Amorph+5</t>
  </si>
  <si>
    <t>Homemade Other</t>
  </si>
  <si>
    <t>Homemade Stew</t>
  </si>
  <si>
    <t>Homemade Rice Ball</t>
  </si>
  <si>
    <t>Homemade Steak</t>
  </si>
  <si>
    <t>Homemade Salisbury</t>
  </si>
  <si>
    <t>Squid Sushi +1</t>
  </si>
  <si>
    <t>Sole Sushi +1</t>
  </si>
  <si>
    <t>Bream Sushi +1</t>
  </si>
  <si>
    <t>Crab Sushi +1</t>
  </si>
  <si>
    <t>Meat Mithkabob</t>
  </si>
  <si>
    <t>Meat Chiefkabob</t>
  </si>
  <si>
    <t>Yellow Curry +1</t>
  </si>
  <si>
    <t>Red Curry +1</t>
  </si>
  <si>
    <t>Marbled Steak</t>
  </si>
  <si>
    <t>Carbonara +1</t>
  </si>
  <si>
    <t>Pork Cutlet Bowl</t>
  </si>
  <si>
    <t>Pork Cutlet Bowl +1</t>
  </si>
  <si>
    <t>Arrabbiata +1</t>
  </si>
  <si>
    <t>Wyvern Gear</t>
  </si>
  <si>
    <t>None/Other</t>
  </si>
  <si>
    <t>Saurian Helm</t>
  </si>
  <si>
    <t>HP%</t>
  </si>
  <si>
    <t>BrA</t>
  </si>
  <si>
    <t>BrG</t>
  </si>
  <si>
    <t>DBA</t>
  </si>
  <si>
    <t>Wyrm Armet</t>
  </si>
  <si>
    <t>Wyrm Armet +1</t>
  </si>
  <si>
    <t>Wyrm Armet +2</t>
  </si>
  <si>
    <t>Wyrm Armet +2 (Aug)</t>
  </si>
  <si>
    <t>Chanoix's Gorget</t>
  </si>
  <si>
    <t>Lancer's Earring</t>
  </si>
  <si>
    <t>Emicho Haubert [D]</t>
  </si>
  <si>
    <t>Emicho Haubert +1 [D]</t>
  </si>
  <si>
    <t>Wyvern Mail</t>
  </si>
  <si>
    <t>Despair Finger Gauntlets</t>
  </si>
  <si>
    <t>Ostreger Mitts</t>
  </si>
  <si>
    <t>Drachen Brais</t>
  </si>
  <si>
    <t>Drachen Brais +1</t>
  </si>
  <si>
    <t>Emicho Hose</t>
  </si>
  <si>
    <t>Emicho Hose +1</t>
  </si>
  <si>
    <t>Falconer's Hose</t>
  </si>
  <si>
    <t>Updraft Mantle</t>
  </si>
  <si>
    <t>Updraft Mantle (Custom)</t>
  </si>
  <si>
    <t>Alluvion Head (Custom)</t>
  </si>
  <si>
    <t>Alluvion Head (Max)</t>
  </si>
  <si>
    <t>Alluvion Body (Custom)</t>
  </si>
  <si>
    <t>Alluvion Body (Max)</t>
  </si>
  <si>
    <t>Alluvion Hands (Custom)</t>
  </si>
  <si>
    <t>Alluvion Hands (Max)</t>
  </si>
  <si>
    <t>Glassblower's Belt</t>
  </si>
  <si>
    <t>Alluvion Legs (Custom)</t>
  </si>
  <si>
    <t>Alluvion Legs (Max)</t>
  </si>
  <si>
    <t>Homam Gambieras</t>
  </si>
  <si>
    <t>Enif Gambieras</t>
  </si>
  <si>
    <t>Wyrm Greaves +2</t>
  </si>
  <si>
    <t>Alluvion Feet (Custom)</t>
  </si>
  <si>
    <t>Alluvion Feet (Max)</t>
  </si>
  <si>
    <t>Healing Set 1</t>
  </si>
  <si>
    <t>Healing Set 2</t>
  </si>
  <si>
    <t>Elemental Set 1</t>
  </si>
  <si>
    <t>Elemental Set 2</t>
  </si>
  <si>
    <t>With DB:</t>
  </si>
  <si>
    <t>Recovery:</t>
  </si>
  <si>
    <t>Wyvern Level</t>
  </si>
  <si>
    <t>Alluvion Head</t>
  </si>
  <si>
    <t>Alluvion Body</t>
  </si>
  <si>
    <t>Alluvion Legs</t>
  </si>
  <si>
    <t>Custom Augments</t>
  </si>
  <si>
    <t>Alluvion Hands</t>
  </si>
  <si>
    <t>Alluvion Feet</t>
  </si>
  <si>
    <t>Job Points</t>
  </si>
  <si>
    <t>Wyvern Max HP</t>
  </si>
  <si>
    <t>Wyvern Breath</t>
  </si>
  <si>
    <t>Wyvern EXP</t>
  </si>
  <si>
    <t>Deep Breathing</t>
  </si>
  <si>
    <t>Use Set 1</t>
  </si>
  <si>
    <t>Use Set 2</t>
  </si>
  <si>
    <t>Settings</t>
  </si>
  <si>
    <t>Statistics</t>
  </si>
  <si>
    <t>Use Defaults</t>
  </si>
  <si>
    <t>Override</t>
  </si>
  <si>
    <t>Healing Sets</t>
  </si>
  <si>
    <t>Elemental Sets</t>
  </si>
  <si>
    <t>Set</t>
  </si>
  <si>
    <t>Base HP</t>
  </si>
  <si>
    <t>Gear HP</t>
  </si>
  <si>
    <t>JP Max HP</t>
  </si>
  <si>
    <t>Final Base HP</t>
  </si>
  <si>
    <t>Wyvern EXP HP%</t>
  </si>
  <si>
    <t>Settings Used</t>
  </si>
  <si>
    <t>Gearset Used</t>
  </si>
  <si>
    <t>Gear HP%</t>
  </si>
  <si>
    <t>Final HP%</t>
  </si>
  <si>
    <t>Final Max HP</t>
  </si>
  <si>
    <t>Pre-Gear Max HP</t>
  </si>
  <si>
    <t>Gear Modifier</t>
  </si>
  <si>
    <t>HB Modifier</t>
  </si>
  <si>
    <t>Regular Modifier</t>
  </si>
  <si>
    <t>Deep Breathing Level</t>
  </si>
  <si>
    <t>DB Modifier (HB)</t>
  </si>
  <si>
    <t>DB Multiplier (EB)</t>
  </si>
  <si>
    <t>DB Augment+ (HB)</t>
  </si>
  <si>
    <t>DB Augment+ (EB)</t>
  </si>
  <si>
    <t>Deep Breathing Aug.</t>
  </si>
  <si>
    <t>Final DB Mod (HB)</t>
  </si>
  <si>
    <t>Final DB Multi (EB)</t>
  </si>
  <si>
    <t>Breath Base</t>
  </si>
  <si>
    <t>JP Breath Bonus</t>
  </si>
  <si>
    <t>Final Breath Base</t>
  </si>
  <si>
    <t>Augment + DB (EB)</t>
  </si>
  <si>
    <t>Base + Result (HB + DB)</t>
  </si>
  <si>
    <t>Base + Result (Regular)</t>
  </si>
  <si>
    <t>Regular Result</t>
  </si>
  <si>
    <t>HB + DB Result (HB)</t>
  </si>
  <si>
    <t>Final Healing Breath (Reg)</t>
  </si>
  <si>
    <t>Final Healing Breath (DB)</t>
  </si>
  <si>
    <t>Final Elemental Breath (Max)</t>
  </si>
  <si>
    <t>Final Elemental Breath (Min)</t>
  </si>
  <si>
    <t>Final Elemental + DB (Min)</t>
  </si>
  <si>
    <t>Final Elemental + DB (Max)</t>
  </si>
  <si>
    <t>MinHP Result (EB)</t>
  </si>
  <si>
    <t>MaxHP Result (EB)</t>
  </si>
  <si>
    <t>Base + Result (EB Max)</t>
  </si>
  <si>
    <t>Base + Result (EB Min)</t>
  </si>
  <si>
    <t>Final Elemental Breath (Reg)</t>
  </si>
  <si>
    <t>Final Elemental + DB (Reg)</t>
  </si>
  <si>
    <t>Augment Multiplier</t>
  </si>
  <si>
    <t>Damage:</t>
  </si>
  <si>
    <t>DB Range:</t>
  </si>
  <si>
    <t>MinHP * Gear Mod (EB)</t>
  </si>
  <si>
    <t>Regular * Gear Mod (EB)</t>
  </si>
  <si>
    <t>MaxHP * Gear Mod (EB)</t>
  </si>
  <si>
    <t>- add more subjobs/sub buffs and include GEO and RUN to Stats page</t>
  </si>
  <si>
    <t>GEO</t>
  </si>
  <si>
    <t>RUN</t>
  </si>
  <si>
    <t>Cizin Mail +1 (Base)</t>
  </si>
  <si>
    <t>Cizin Helm +1</t>
  </si>
  <si>
    <t>Jumalik Helm</t>
  </si>
  <si>
    <t>Otomi Helm</t>
  </si>
  <si>
    <t>Quiahuiz Helm</t>
  </si>
  <si>
    <t>Founder's Breast.</t>
  </si>
  <si>
    <t>Jumalik Mail</t>
  </si>
  <si>
    <t>Buremte Gloves</t>
  </si>
  <si>
    <t>Cizin Mufflers +1</t>
  </si>
  <si>
    <t>Founder's Gaunt.</t>
  </si>
  <si>
    <t>Leyline Gloves</t>
  </si>
  <si>
    <t>Cizin Breeches +1</t>
  </si>
  <si>
    <t>Amm Greaves</t>
  </si>
  <si>
    <t>Cizin Greaves +1</t>
  </si>
  <si>
    <t>Ejekamal Boots</t>
  </si>
  <si>
    <t>Kuakuakait</t>
  </si>
  <si>
    <t>Koresuke</t>
  </si>
  <si>
    <t>Qatsunoci +2</t>
  </si>
  <si>
    <t>Healing Breath II</t>
  </si>
  <si>
    <t>Healing Breath III</t>
  </si>
  <si>
    <t>Healing Breath IV</t>
  </si>
  <si>
    <t>Circle Restrictions</t>
  </si>
  <si>
    <t>No Circle Effects</t>
  </si>
  <si>
    <t>All Circles Available</t>
  </si>
  <si>
    <t>Main Job Only</t>
  </si>
  <si>
    <t>Restrictions</t>
  </si>
  <si>
    <t>Killer Instinct is always "Main Job" ingame and no Circles exist for any "Other" families</t>
  </si>
  <si>
    <t>BreathToWS</t>
  </si>
  <si>
    <t>Minimum</t>
  </si>
  <si>
    <t>Maximum</t>
  </si>
  <si>
    <t>Disabled</t>
  </si>
  <si>
    <t>Standard</t>
  </si>
  <si>
    <t>Standard (DB)</t>
  </si>
  <si>
    <t>Minimum (DB)</t>
  </si>
  <si>
    <t>Maximum (DB)</t>
  </si>
  <si>
    <t>Breath Dmg</t>
  </si>
  <si>
    <t>Raw WS Dmg</t>
  </si>
  <si>
    <t>WS+Breath Dmg</t>
  </si>
  <si>
    <t>Circle Effect</t>
  </si>
  <si>
    <t>Vishap Brais +2</t>
  </si>
  <si>
    <t>Vishap Brais +3</t>
  </si>
  <si>
    <t>Vishap Greaves +2</t>
  </si>
  <si>
    <t>Vishap Greaves +3</t>
  </si>
  <si>
    <t>Vishap Fin. Gaunt. +2</t>
  </si>
  <si>
    <t>Vishap Fin. Gaunt. +3</t>
  </si>
  <si>
    <t>Dagon Breastplate</t>
  </si>
  <si>
    <t>Vishap Mail +2</t>
  </si>
  <si>
    <t>Vishap Mail +3</t>
  </si>
  <si>
    <t>Vishap Armet +2</t>
  </si>
  <si>
    <t>Vishap Armet +3</t>
  </si>
  <si>
    <t>Utu Grip</t>
  </si>
  <si>
    <t>WS Mods</t>
  </si>
  <si>
    <t>Gear Mod+</t>
  </si>
  <si>
    <t>WS Mod</t>
  </si>
  <si>
    <t>- maybe add different levels of Wyvern parameter to Setup page (Dead/+0/+1/+2/+3/+4/+5)</t>
  </si>
  <si>
    <t>Verify Jump: Accuracy+ effect on individual Jumps (currently applied to all Jumps)</t>
  </si>
  <si>
    <t>- simplify Haste/Haste II to one droplist instead of two, or possibly add other hastes (Embrava, MG, Refueling, Spy's Drink)</t>
  </si>
  <si>
    <t>Knobkierrie</t>
  </si>
  <si>
    <t>Anu Torque</t>
  </si>
  <si>
    <t>Shulmanu Collar</t>
  </si>
  <si>
    <t>Sherida Earring</t>
  </si>
  <si>
    <t>Niqmaddu Ring</t>
  </si>
  <si>
    <t>Add support for Empy Body in Breath page</t>
  </si>
  <si>
    <t>Phorcys Korazin</t>
  </si>
  <si>
    <t>Overbearing Ring</t>
  </si>
  <si>
    <t>thanks to Brimstone for creating macro support</t>
  </si>
  <si>
    <t>originally made by Motenten, updated/maintained by Braden</t>
  </si>
  <si>
    <t>Apex Bats Lv130</t>
  </si>
  <si>
    <t>Apex Jagil Lv133</t>
  </si>
  <si>
    <t>Minuet Merit+JP</t>
  </si>
  <si>
    <t>Samurai Roll</t>
  </si>
  <si>
    <t>Roll States</t>
  </si>
  <si>
    <t>Crooked</t>
  </si>
  <si>
    <t>Subbed</t>
  </si>
  <si>
    <t>Trust</t>
  </si>
  <si>
    <t>RollLists</t>
  </si>
  <si>
    <t>ChaosRoll</t>
  </si>
  <si>
    <t>I</t>
  </si>
  <si>
    <t>II - Lucky!</t>
  </si>
  <si>
    <t>III</t>
  </si>
  <si>
    <t>IV</t>
  </si>
  <si>
    <t>V</t>
  </si>
  <si>
    <t>VI - Unlucky!</t>
  </si>
  <si>
    <t>SamuraiRoll</t>
  </si>
  <si>
    <t>II</t>
  </si>
  <si>
    <t>VI</t>
  </si>
  <si>
    <t>VII</t>
  </si>
  <si>
    <t>VIII</t>
  </si>
  <si>
    <t>IX</t>
  </si>
  <si>
    <t>X</t>
  </si>
  <si>
    <t>XI</t>
  </si>
  <si>
    <t>IV - Lucky!</t>
  </si>
  <si>
    <t>VIII - Unlucky!</t>
  </si>
  <si>
    <t>HuntersRoll</t>
  </si>
  <si>
    <t>FightersRoll</t>
  </si>
  <si>
    <t>V - Lucky!</t>
  </si>
  <si>
    <t>IX - Unlucky!</t>
  </si>
  <si>
    <t>RoguesRoll</t>
  </si>
  <si>
    <t>TacticiansRoll</t>
  </si>
  <si>
    <t>MisersRoll</t>
  </si>
  <si>
    <t>VII - Unlucky!</t>
  </si>
  <si>
    <t>CORChaosList</t>
  </si>
  <si>
    <t>CORHunterList</t>
  </si>
  <si>
    <t>CORFightersList</t>
  </si>
  <si>
    <t>CORRoguesList</t>
  </si>
  <si>
    <t>CORSamuraiList</t>
  </si>
  <si>
    <t>CORTacticianList</t>
  </si>
  <si>
    <t>CORMiserList</t>
  </si>
  <si>
    <t>CORRollStates</t>
  </si>
  <si>
    <t>CORRollResults</t>
  </si>
  <si>
    <t>CORrollplus</t>
  </si>
  <si>
    <t>Merirosvo Ring</t>
  </si>
  <si>
    <t>Barataria Ring</t>
  </si>
  <si>
    <t>Regal Necklace</t>
  </si>
  <si>
    <t>Gear3</t>
  </si>
  <si>
    <t>Vishap +2</t>
  </si>
  <si>
    <t>Vishap +3</t>
  </si>
  <si>
    <t>Regal Ring</t>
  </si>
  <si>
    <t>Moonbeam Ring</t>
  </si>
  <si>
    <t>Moonlight Ring</t>
  </si>
  <si>
    <t>Regal Gloves</t>
  </si>
  <si>
    <t>Honor+</t>
  </si>
  <si>
    <t>AF3 Set Bonus</t>
  </si>
  <si>
    <t>Victory March (II)</t>
  </si>
  <si>
    <t>Advancing March (I)</t>
  </si>
  <si>
    <t>Valor Minuet III</t>
  </si>
  <si>
    <t>Valor Minuet IV</t>
  </si>
  <si>
    <t>Valor Minuet V</t>
  </si>
  <si>
    <t>Sword Madrigal (I)</t>
  </si>
  <si>
    <t>Blade Madrigal (II)</t>
  </si>
  <si>
    <t>Regular+7 (DRK)</t>
  </si>
  <si>
    <t>Regular+5</t>
  </si>
  <si>
    <t>Crooked+7</t>
  </si>
  <si>
    <t>Crooked+7 (RNG)</t>
  </si>
  <si>
    <t>Subbed (WAR)</t>
  </si>
  <si>
    <t>Crooked+5 (THF)</t>
  </si>
  <si>
    <t>Crit Rate %</t>
  </si>
  <si>
    <t>BRDsongs</t>
  </si>
  <si>
    <t>Marcato</t>
  </si>
  <si>
    <t>Setting</t>
  </si>
  <si>
    <t>Song+</t>
  </si>
  <si>
    <t>BRDpotency</t>
  </si>
  <si>
    <t>Valor Minuet</t>
  </si>
  <si>
    <t>Valor Minuet II</t>
  </si>
  <si>
    <t>Sword Madrigal</t>
  </si>
  <si>
    <t>Blade Madrigal</t>
  </si>
  <si>
    <t>Advancing March</t>
  </si>
  <si>
    <t>168 att</t>
  </si>
  <si>
    <t>42 acc</t>
  </si>
  <si>
    <t>127 haste</t>
  </si>
  <si>
    <t>Victory March</t>
  </si>
  <si>
    <t>Songs Att</t>
  </si>
  <si>
    <t>Songs Acc</t>
  </si>
  <si>
    <t>Regular+3</t>
  </si>
  <si>
    <t>Regular+7</t>
  </si>
  <si>
    <t>Crooked+3</t>
  </si>
  <si>
    <t>Crooked+5</t>
  </si>
  <si>
    <t>Subbed (DRK)</t>
  </si>
  <si>
    <t>Subbed (RNG)</t>
  </si>
  <si>
    <t>Subbed (THF)</t>
  </si>
  <si>
    <t>Subbed (SAM)</t>
  </si>
  <si>
    <t>Regular (Empy)</t>
  </si>
  <si>
    <t>Regular (DRK)</t>
  </si>
  <si>
    <t>Regular (RNG)</t>
  </si>
  <si>
    <t>Regular (WAR)</t>
  </si>
  <si>
    <t>Regular (THF)</t>
  </si>
  <si>
    <t>Regular (SAM)</t>
  </si>
  <si>
    <t>Regular+3 (Empy)</t>
  </si>
  <si>
    <t>Regular+3 (DRK)</t>
  </si>
  <si>
    <t>Regular+3 (RNG)</t>
  </si>
  <si>
    <t>Regular+3 (WAR)</t>
  </si>
  <si>
    <t>Regular+3 (THF)</t>
  </si>
  <si>
    <t>Regular+3 (SAM)</t>
  </si>
  <si>
    <t>Regular+5 (Empy)</t>
  </si>
  <si>
    <t>Regular+5 (DRK)</t>
  </si>
  <si>
    <t>Regular+5 (RNG)</t>
  </si>
  <si>
    <t>Regular+5 (WAR)</t>
  </si>
  <si>
    <t>Regular+5 (THF)</t>
  </si>
  <si>
    <t>Regular+5 (SAM)</t>
  </si>
  <si>
    <t>Regular+7 (Empy)</t>
  </si>
  <si>
    <t>Regular+7 (RNG)</t>
  </si>
  <si>
    <t>Regular+7 (WAR)</t>
  </si>
  <si>
    <t>Regular+7 (THF)</t>
  </si>
  <si>
    <t>Regular+7 (SAM)</t>
  </si>
  <si>
    <t>Crooked (Empy)</t>
  </si>
  <si>
    <t>Crooked (DRK)</t>
  </si>
  <si>
    <t>Crooked (RNG)</t>
  </si>
  <si>
    <t>Crooked (WAR)</t>
  </si>
  <si>
    <t>Crooked (THF)</t>
  </si>
  <si>
    <t>Crooked (SAM)</t>
  </si>
  <si>
    <t>Crooked+3 (Empy)</t>
  </si>
  <si>
    <t>Crooked+3 (DRK)</t>
  </si>
  <si>
    <t>Crooked+3 (RNG)</t>
  </si>
  <si>
    <t>Crooked+3 (WAR)</t>
  </si>
  <si>
    <t>Crooked+3 (THF)</t>
  </si>
  <si>
    <t>Crooked+3 (SAM)</t>
  </si>
  <si>
    <t>Crooked+5 (Empy)</t>
  </si>
  <si>
    <t>Crooked+5 (DRK)</t>
  </si>
  <si>
    <t>Crooked+5 (RNG)</t>
  </si>
  <si>
    <t>Crooked+5 (WAR)</t>
  </si>
  <si>
    <t>Crooked+5 (SAM)</t>
  </si>
  <si>
    <t>Crooked+7 (Empy)</t>
  </si>
  <si>
    <t>Crooked+7 (DRK)</t>
  </si>
  <si>
    <t>Crooked+7 (WAR)</t>
  </si>
  <si>
    <t>Crooked+7 (THF)</t>
  </si>
  <si>
    <t>Crooked+7 (SAM)</t>
  </si>
  <si>
    <t>this isn't a reference, I just didn't want to check the wiki every 5 minutes</t>
  </si>
  <si>
    <t>I'm a lazy man</t>
  </si>
  <si>
    <t>Add more targets, verify evasion values post-February 2017 update for existing targets</t>
  </si>
  <si>
    <t>Sulevia's Ring</t>
  </si>
  <si>
    <t>Sulevia's Mask +2</t>
  </si>
  <si>
    <t>Sulevia's Platemail +2</t>
  </si>
  <si>
    <t>Sulevia's Gauntlets +2</t>
  </si>
  <si>
    <t>Sulevia's Cuisses +2</t>
  </si>
  <si>
    <t>Sulevia's Leggings +2</t>
  </si>
  <si>
    <t>Arke Zuchetto</t>
  </si>
  <si>
    <t>Arke Zuchetto +1</t>
  </si>
  <si>
    <t>Arke Corazza</t>
  </si>
  <si>
    <t>Arke Corazza +1</t>
  </si>
  <si>
    <t>Arke Manopolas</t>
  </si>
  <si>
    <t>Arke Manopolas +1</t>
  </si>
  <si>
    <t>Arke Cosciales</t>
  </si>
  <si>
    <t>Arke Cosciales +1</t>
  </si>
  <si>
    <t>Arke Gambieras</t>
  </si>
  <si>
    <t>Arke Gambieras +1</t>
  </si>
  <si>
    <t>Shining One</t>
  </si>
  <si>
    <t>Flamma Zucchetto +2</t>
  </si>
  <si>
    <t>Flamma Gambieras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</si>
</sst>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0.0000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ill="0" applyBorder="0" applyAlignment="0" applyProtection="0"/>
  </cellStyleXfs>
  <cellXfs count="28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9" fontId="4" fillId="0" borderId="0" xfId="0" applyNumberFormat="1" applyFont="1"/>
    <xf numFmtId="9" fontId="0" fillId="0" borderId="0" xfId="0" applyNumberFormat="1"/>
    <xf numFmtId="0" fontId="4" fillId="0" borderId="0" xfId="0" applyNumberFormat="1" applyFon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0" fontId="0" fillId="2" borderId="0" xfId="0" applyNumberFormat="1" applyFont="1" applyFill="1" applyProtection="1">
      <protection locked="0"/>
    </xf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2" borderId="0" xfId="0" applyNumberFormat="1" applyFill="1" applyProtection="1">
      <protection locked="0"/>
    </xf>
    <xf numFmtId="0" fontId="0" fillId="0" borderId="0" xfId="0" applyNumberFormat="1" applyFill="1" applyProtection="1"/>
    <xf numFmtId="0" fontId="0" fillId="0" borderId="0" xfId="0" applyFill="1" applyProtection="1"/>
    <xf numFmtId="0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1" fontId="0" fillId="0" borderId="0" xfId="0" applyNumberFormat="1" applyFont="1"/>
    <xf numFmtId="9" fontId="0" fillId="0" borderId="0" xfId="0" applyNumberFormat="1" applyFont="1"/>
    <xf numFmtId="0" fontId="0" fillId="0" borderId="0" xfId="0" applyNumberFormat="1" applyFont="1"/>
    <xf numFmtId="0" fontId="3" fillId="0" borderId="1" xfId="0" applyFont="1" applyBorder="1"/>
    <xf numFmtId="0" fontId="0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1" fontId="3" fillId="0" borderId="0" xfId="0" applyNumberFormat="1" applyFont="1"/>
    <xf numFmtId="1" fontId="3" fillId="0" borderId="1" xfId="0" applyNumberFormat="1" applyFont="1" applyBorder="1"/>
    <xf numFmtId="9" fontId="0" fillId="0" borderId="5" xfId="0" applyNumberForma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1" xfId="0" applyNumberFormat="1" applyBorder="1"/>
    <xf numFmtId="9" fontId="0" fillId="0" borderId="5" xfId="0" applyNumberFormat="1" applyFont="1" applyBorder="1"/>
    <xf numFmtId="10" fontId="0" fillId="0" borderId="1" xfId="0" applyNumberFormat="1" applyBorder="1"/>
    <xf numFmtId="10" fontId="0" fillId="0" borderId="3" xfId="0" applyNumberFormat="1" applyBorder="1"/>
    <xf numFmtId="166" fontId="0" fillId="0" borderId="0" xfId="0" applyNumberFormat="1"/>
    <xf numFmtId="166" fontId="0" fillId="0" borderId="6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7" fontId="0" fillId="0" borderId="0" xfId="0" applyNumberFormat="1" applyBorder="1"/>
    <xf numFmtId="164" fontId="0" fillId="0" borderId="4" xfId="0" applyNumberFormat="1" applyBorder="1"/>
    <xf numFmtId="0" fontId="3" fillId="0" borderId="5" xfId="0" applyFont="1" applyBorder="1"/>
    <xf numFmtId="0" fontId="0" fillId="0" borderId="6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3" xfId="0" applyNumberFormat="1" applyBorder="1"/>
    <xf numFmtId="0" fontId="3" fillId="0" borderId="7" xfId="0" applyFon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0" fillId="0" borderId="0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" fontId="0" fillId="0" borderId="5" xfId="0" applyNumberFormat="1" applyFont="1" applyBorder="1"/>
    <xf numFmtId="1" fontId="4" fillId="0" borderId="0" xfId="0" applyNumberFormat="1" applyFont="1"/>
    <xf numFmtId="2" fontId="0" fillId="0" borderId="0" xfId="0" applyNumberFormat="1" applyFont="1"/>
    <xf numFmtId="2" fontId="0" fillId="0" borderId="5" xfId="0" applyNumberFormat="1" applyFont="1" applyBorder="1"/>
    <xf numFmtId="164" fontId="0" fillId="0" borderId="5" xfId="0" applyNumberFormat="1" applyBorder="1"/>
    <xf numFmtId="164" fontId="5" fillId="0" borderId="0" xfId="0" applyNumberFormat="1" applyFont="1"/>
    <xf numFmtId="2" fontId="0" fillId="0" borderId="0" xfId="0" applyNumberFormat="1" applyBorder="1"/>
    <xf numFmtId="10" fontId="0" fillId="0" borderId="0" xfId="0" applyNumberFormat="1" applyBorder="1"/>
    <xf numFmtId="167" fontId="0" fillId="0" borderId="0" xfId="0" applyNumberFormat="1" applyFill="1" applyBorder="1"/>
    <xf numFmtId="0" fontId="0" fillId="0" borderId="0" xfId="0" applyFill="1"/>
    <xf numFmtId="0" fontId="0" fillId="0" borderId="10" xfId="0" applyBorder="1"/>
    <xf numFmtId="0" fontId="7" fillId="0" borderId="0" xfId="0" applyFont="1"/>
    <xf numFmtId="0" fontId="0" fillId="0" borderId="11" xfId="0" applyFont="1" applyBorder="1"/>
    <xf numFmtId="0" fontId="8" fillId="0" borderId="0" xfId="0" applyFont="1"/>
    <xf numFmtId="0" fontId="0" fillId="0" borderId="12" xfId="0" applyFont="1" applyBorder="1"/>
    <xf numFmtId="9" fontId="2" fillId="0" borderId="0" xfId="3"/>
    <xf numFmtId="9" fontId="2" fillId="0" borderId="5" xfId="3" applyBorder="1"/>
    <xf numFmtId="0" fontId="2" fillId="0" borderId="0" xfId="2"/>
    <xf numFmtId="166" fontId="2" fillId="0" borderId="0" xfId="2" applyNumberFormat="1"/>
    <xf numFmtId="0" fontId="2" fillId="0" borderId="0" xfId="2" applyBorder="1"/>
    <xf numFmtId="9" fontId="2" fillId="0" borderId="0" xfId="2" applyNumberFormat="1"/>
    <xf numFmtId="0" fontId="2" fillId="0" borderId="10" xfId="2" applyBorder="1"/>
    <xf numFmtId="0" fontId="2" fillId="0" borderId="10" xfId="2" applyFill="1" applyBorder="1"/>
    <xf numFmtId="2" fontId="2" fillId="0" borderId="0" xfId="2" applyNumberFormat="1"/>
    <xf numFmtId="9" fontId="2" fillId="0" borderId="11" xfId="2" applyNumberFormat="1" applyBorder="1"/>
    <xf numFmtId="10" fontId="2" fillId="0" borderId="0" xfId="2" applyNumberFormat="1" applyBorder="1"/>
    <xf numFmtId="0" fontId="2" fillId="0" borderId="0" xfId="2" applyNumberFormat="1"/>
    <xf numFmtId="10" fontId="2" fillId="0" borderId="11" xfId="2" applyNumberFormat="1" applyBorder="1"/>
    <xf numFmtId="10" fontId="2" fillId="0" borderId="11" xfId="4" applyNumberFormat="1" applyBorder="1"/>
    <xf numFmtId="0" fontId="2" fillId="0" borderId="0" xfId="2" applyFill="1" applyBorder="1"/>
    <xf numFmtId="10" fontId="2" fillId="0" borderId="13" xfId="2" applyNumberFormat="1" applyBorder="1"/>
    <xf numFmtId="10" fontId="2" fillId="0" borderId="10" xfId="2" applyNumberFormat="1" applyBorder="1"/>
    <xf numFmtId="167" fontId="2" fillId="0" borderId="0" xfId="2" applyNumberFormat="1"/>
    <xf numFmtId="10" fontId="2" fillId="0" borderId="0" xfId="2" applyNumberFormat="1" applyFill="1" applyBorder="1"/>
    <xf numFmtId="167" fontId="2" fillId="0" borderId="0" xfId="2" applyNumberFormat="1" applyFill="1" applyBorder="1"/>
    <xf numFmtId="0" fontId="2" fillId="0" borderId="0" xfId="2" applyFill="1"/>
    <xf numFmtId="0" fontId="2" fillId="0" borderId="0" xfId="1" applyNumberFormat="1" applyBorder="1"/>
    <xf numFmtId="10" fontId="2" fillId="0" borderId="0" xfId="2" applyNumberFormat="1"/>
    <xf numFmtId="0" fontId="2" fillId="0" borderId="0" xfId="2" applyNumberFormat="1" applyFill="1" applyBorder="1"/>
    <xf numFmtId="2" fontId="2" fillId="0" borderId="0" xfId="2" applyNumberFormat="1" applyBorder="1"/>
    <xf numFmtId="0" fontId="2" fillId="0" borderId="0" xfId="2" applyFont="1"/>
    <xf numFmtId="1" fontId="3" fillId="0" borderId="14" xfId="0" applyNumberFormat="1" applyFont="1" applyBorder="1"/>
    <xf numFmtId="1" fontId="0" fillId="0" borderId="11" xfId="0" applyNumberFormat="1" applyBorder="1"/>
    <xf numFmtId="9" fontId="2" fillId="0" borderId="11" xfId="3" applyBorder="1"/>
    <xf numFmtId="164" fontId="0" fillId="0" borderId="11" xfId="0" applyNumberFormat="1" applyBorder="1"/>
    <xf numFmtId="164" fontId="5" fillId="0" borderId="11" xfId="0" applyNumberFormat="1" applyFont="1" applyBorder="1"/>
    <xf numFmtId="2" fontId="0" fillId="0" borderId="12" xfId="0" applyNumberFormat="1" applyBorder="1"/>
    <xf numFmtId="0" fontId="0" fillId="0" borderId="6" xfId="0" applyNumberFormat="1" applyBorder="1"/>
    <xf numFmtId="0" fontId="3" fillId="0" borderId="0" xfId="2" applyFont="1"/>
    <xf numFmtId="1" fontId="2" fillId="0" borderId="0" xfId="2" applyNumberFormat="1"/>
    <xf numFmtId="9" fontId="2" fillId="0" borderId="0" xfId="4"/>
    <xf numFmtId="164" fontId="2" fillId="0" borderId="0" xfId="2" applyNumberFormat="1" applyBorder="1"/>
    <xf numFmtId="165" fontId="2" fillId="0" borderId="0" xfId="2" applyNumberFormat="1"/>
    <xf numFmtId="0" fontId="2" fillId="0" borderId="0" xfId="2" quotePrefix="1"/>
    <xf numFmtId="164" fontId="2" fillId="0" borderId="0" xfId="2" applyNumberFormat="1"/>
    <xf numFmtId="2" fontId="2" fillId="0" borderId="0" xfId="2" applyNumberFormat="1" applyFill="1" applyBorder="1"/>
    <xf numFmtId="0" fontId="0" fillId="0" borderId="10" xfId="0" quotePrefix="1" applyBorder="1"/>
    <xf numFmtId="0" fontId="0" fillId="0" borderId="10" xfId="0" applyFill="1" applyBorder="1"/>
    <xf numFmtId="0" fontId="0" fillId="0" borderId="0" xfId="0" applyNumberFormat="1" applyFill="1" applyBorder="1"/>
    <xf numFmtId="9" fontId="2" fillId="0" borderId="0" xfId="3" applyFill="1" applyBorder="1"/>
    <xf numFmtId="0" fontId="0" fillId="0" borderId="0" xfId="0" applyFill="1" applyBorder="1"/>
    <xf numFmtId="0" fontId="3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16" fontId="0" fillId="0" borderId="0" xfId="0" quotePrefix="1" applyNumberFormat="1"/>
    <xf numFmtId="0" fontId="0" fillId="0" borderId="0" xfId="0" quotePrefix="1"/>
    <xf numFmtId="2" fontId="7" fillId="0" borderId="0" xfId="0" applyNumberFormat="1" applyFont="1"/>
    <xf numFmtId="0" fontId="7" fillId="0" borderId="0" xfId="0" applyNumberFormat="1" applyFont="1"/>
    <xf numFmtId="0" fontId="0" fillId="0" borderId="0" xfId="0" quotePrefix="1" applyBorder="1"/>
    <xf numFmtId="0" fontId="0" fillId="0" borderId="15" xfId="0" quotePrefix="1" applyBorder="1"/>
    <xf numFmtId="0" fontId="0" fillId="0" borderId="11" xfId="0" quotePrefix="1" applyBorder="1"/>
    <xf numFmtId="1" fontId="0" fillId="0" borderId="10" xfId="0" applyNumberFormat="1" applyBorder="1"/>
    <xf numFmtId="1" fontId="0" fillId="0" borderId="14" xfId="0" applyNumberFormat="1" applyBorder="1"/>
    <xf numFmtId="0" fontId="0" fillId="0" borderId="0" xfId="0" applyNumberFormat="1" applyFill="1"/>
    <xf numFmtId="1" fontId="0" fillId="0" borderId="16" xfId="0" applyNumberFormat="1" applyBorder="1"/>
    <xf numFmtId="1" fontId="0" fillId="0" borderId="15" xfId="0" applyNumberFormat="1" applyBorder="1"/>
    <xf numFmtId="0" fontId="10" fillId="0" borderId="0" xfId="0" applyFont="1" applyBorder="1"/>
    <xf numFmtId="0" fontId="10" fillId="0" borderId="6" xfId="0" applyFont="1" applyBorder="1"/>
    <xf numFmtId="0" fontId="10" fillId="0" borderId="5" xfId="0" applyFont="1" applyBorder="1"/>
    <xf numFmtId="0" fontId="10" fillId="0" borderId="10" xfId="0" applyFont="1" applyBorder="1"/>
    <xf numFmtId="0" fontId="10" fillId="0" borderId="17" xfId="0" applyFont="1" applyBorder="1"/>
    <xf numFmtId="0" fontId="10" fillId="0" borderId="16" xfId="0" applyFont="1" applyBorder="1"/>
    <xf numFmtId="10" fontId="0" fillId="0" borderId="11" xfId="0" applyNumberFormat="1" applyBorder="1"/>
    <xf numFmtId="10" fontId="2" fillId="0" borderId="11" xfId="3" applyNumberFormat="1" applyBorder="1"/>
    <xf numFmtId="9" fontId="2" fillId="0" borderId="0" xfId="3" applyFont="1"/>
    <xf numFmtId="2" fontId="0" fillId="0" borderId="14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10" fillId="0" borderId="0" xfId="0" applyFont="1"/>
    <xf numFmtId="9" fontId="10" fillId="0" borderId="0" xfId="0" applyNumberFormat="1" applyFont="1"/>
    <xf numFmtId="0" fontId="10" fillId="0" borderId="10" xfId="0" applyFont="1" applyFill="1" applyBorder="1"/>
    <xf numFmtId="0" fontId="0" fillId="0" borderId="0" xfId="0" applyFont="1" applyFill="1" applyProtection="1">
      <protection locked="0"/>
    </xf>
    <xf numFmtId="0" fontId="0" fillId="0" borderId="1" xfId="0" applyBorder="1"/>
    <xf numFmtId="0" fontId="2" fillId="0" borderId="11" xfId="0" applyFont="1" applyBorder="1"/>
    <xf numFmtId="9" fontId="2" fillId="0" borderId="0" xfId="0" applyNumberFormat="1" applyFont="1"/>
    <xf numFmtId="0" fontId="2" fillId="0" borderId="0" xfId="0" applyNumberFormat="1" applyFont="1"/>
    <xf numFmtId="0" fontId="2" fillId="0" borderId="10" xfId="0" applyFont="1" applyBorder="1"/>
    <xf numFmtId="0" fontId="2" fillId="0" borderId="0" xfId="0" applyFont="1" applyFill="1" applyBorder="1"/>
    <xf numFmtId="9" fontId="0" fillId="0" borderId="11" xfId="0" applyNumberFormat="1" applyFont="1" applyBorder="1"/>
    <xf numFmtId="164" fontId="0" fillId="0" borderId="12" xfId="0" applyNumberFormat="1" applyBorder="1"/>
    <xf numFmtId="167" fontId="2" fillId="0" borderId="0" xfId="0" applyNumberFormat="1" applyFont="1"/>
    <xf numFmtId="167" fontId="2" fillId="0" borderId="5" xfId="0" applyNumberFormat="1" applyFont="1" applyBorder="1"/>
    <xf numFmtId="167" fontId="2" fillId="0" borderId="11" xfId="0" applyNumberFormat="1" applyFont="1" applyBorder="1"/>
    <xf numFmtId="10" fontId="2" fillId="0" borderId="0" xfId="3" applyNumberFormat="1" applyFont="1"/>
    <xf numFmtId="10" fontId="2" fillId="0" borderId="11" xfId="3" applyNumberFormat="1" applyFont="1" applyBorder="1"/>
    <xf numFmtId="10" fontId="2" fillId="0" borderId="0" xfId="0" applyNumberFormat="1" applyFont="1"/>
    <xf numFmtId="10" fontId="2" fillId="0" borderId="11" xfId="0" applyNumberFormat="1" applyFont="1" applyBorder="1"/>
    <xf numFmtId="167" fontId="2" fillId="0" borderId="10" xfId="0" applyNumberFormat="1" applyFont="1" applyBorder="1"/>
    <xf numFmtId="167" fontId="2" fillId="0" borderId="16" xfId="0" applyNumberFormat="1" applyFont="1" applyBorder="1"/>
    <xf numFmtId="0" fontId="0" fillId="0" borderId="19" xfId="0" applyBorder="1"/>
    <xf numFmtId="167" fontId="0" fillId="0" borderId="19" xfId="0" applyNumberFormat="1" applyBorder="1"/>
    <xf numFmtId="167" fontId="0" fillId="0" borderId="18" xfId="0" applyNumberFormat="1" applyBorder="1"/>
    <xf numFmtId="0" fontId="0" fillId="0" borderId="15" xfId="0" applyBorder="1"/>
    <xf numFmtId="0" fontId="0" fillId="0" borderId="11" xfId="0" applyNumberFormat="1" applyBorder="1"/>
    <xf numFmtId="167" fontId="2" fillId="0" borderId="15" xfId="0" applyNumberFormat="1" applyFont="1" applyBorder="1"/>
    <xf numFmtId="0" fontId="10" fillId="0" borderId="11" xfId="0" applyFont="1" applyBorder="1"/>
    <xf numFmtId="0" fontId="0" fillId="0" borderId="14" xfId="0" applyNumberFormat="1" applyBorder="1"/>
    <xf numFmtId="0" fontId="11" fillId="0" borderId="0" xfId="0" applyFont="1"/>
    <xf numFmtId="1" fontId="0" fillId="0" borderId="10" xfId="0" quotePrefix="1" applyNumberFormat="1" applyBorder="1"/>
    <xf numFmtId="1" fontId="0" fillId="0" borderId="16" xfId="0" quotePrefix="1" applyNumberFormat="1" applyBorder="1"/>
    <xf numFmtId="0" fontId="0" fillId="0" borderId="12" xfId="0" applyNumberFormat="1" applyBorder="1"/>
    <xf numFmtId="0" fontId="12" fillId="0" borderId="0" xfId="0" applyFont="1"/>
    <xf numFmtId="1" fontId="2" fillId="0" borderId="0" xfId="0" applyNumberFormat="1" applyFont="1"/>
    <xf numFmtId="1" fontId="0" fillId="0" borderId="12" xfId="0" applyNumberFormat="1" applyBorder="1"/>
    <xf numFmtId="0" fontId="0" fillId="0" borderId="10" xfId="0" applyFont="1" applyFill="1" applyBorder="1"/>
    <xf numFmtId="1" fontId="0" fillId="0" borderId="20" xfId="0" applyNumberFormat="1" applyBorder="1"/>
    <xf numFmtId="0" fontId="0" fillId="0" borderId="10" xfId="0" applyFont="1" applyBorder="1"/>
    <xf numFmtId="1" fontId="3" fillId="0" borderId="12" xfId="0" applyNumberFormat="1" applyFont="1" applyBorder="1"/>
    <xf numFmtId="164" fontId="3" fillId="0" borderId="0" xfId="0" applyNumberFormat="1" applyFont="1" applyAlignment="1">
      <alignment horizontal="right"/>
    </xf>
    <xf numFmtId="9" fontId="0" fillId="0" borderId="14" xfId="0" applyNumberFormat="1" applyBorder="1"/>
    <xf numFmtId="0" fontId="3" fillId="0" borderId="0" xfId="0" applyNumberFormat="1" applyFont="1"/>
    <xf numFmtId="0" fontId="2" fillId="0" borderId="0" xfId="6"/>
    <xf numFmtId="0" fontId="2" fillId="0" borderId="0" xfId="6" applyFont="1"/>
    <xf numFmtId="0" fontId="0" fillId="0" borderId="0" xfId="6" applyFont="1"/>
    <xf numFmtId="0" fontId="0" fillId="0" borderId="0" xfId="0" applyFont="1" applyFill="1"/>
    <xf numFmtId="0" fontId="12" fillId="0" borderId="0" xfId="0" applyFont="1" applyFill="1"/>
    <xf numFmtId="0" fontId="13" fillId="0" borderId="0" xfId="0" applyFont="1" applyFill="1"/>
    <xf numFmtId="9" fontId="4" fillId="0" borderId="0" xfId="0" applyNumberFormat="1" applyFont="1" applyAlignment="1">
      <alignment horizontal="right"/>
    </xf>
    <xf numFmtId="9" fontId="0" fillId="0" borderId="10" xfId="0" applyNumberFormat="1" applyBorder="1"/>
    <xf numFmtId="9" fontId="0" fillId="0" borderId="0" xfId="0" applyNumberFormat="1" applyFill="1" applyBorder="1"/>
    <xf numFmtId="0" fontId="7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2" applyFont="1"/>
    <xf numFmtId="0" fontId="0" fillId="0" borderId="0" xfId="0" applyFont="1" applyAlignment="1">
      <alignment horizontal="right"/>
    </xf>
    <xf numFmtId="9" fontId="0" fillId="0" borderId="10" xfId="0" applyNumberFormat="1" applyFont="1" applyFill="1" applyBorder="1"/>
    <xf numFmtId="9" fontId="0" fillId="0" borderId="10" xfId="0" applyNumberFormat="1" applyFill="1" applyBorder="1"/>
    <xf numFmtId="0" fontId="0" fillId="0" borderId="22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1" xfId="0" applyFont="1" applyBorder="1"/>
    <xf numFmtId="1" fontId="10" fillId="0" borderId="0" xfId="0" applyNumberFormat="1" applyFont="1" applyBorder="1"/>
    <xf numFmtId="1" fontId="10" fillId="0" borderId="15" xfId="0" applyNumberFormat="1" applyFont="1" applyBorder="1"/>
    <xf numFmtId="0" fontId="3" fillId="0" borderId="0" xfId="0" applyFont="1" applyBorder="1"/>
    <xf numFmtId="1" fontId="10" fillId="0" borderId="11" xfId="0" applyNumberFormat="1" applyFont="1" applyBorder="1"/>
    <xf numFmtId="9" fontId="10" fillId="0" borderId="10" xfId="0" applyNumberFormat="1" applyFont="1" applyBorder="1"/>
    <xf numFmtId="0" fontId="0" fillId="0" borderId="13" xfId="0" applyBorder="1"/>
    <xf numFmtId="9" fontId="14" fillId="0" borderId="0" xfId="0" applyNumberFormat="1" applyFont="1" applyFill="1" applyBorder="1"/>
    <xf numFmtId="9" fontId="10" fillId="0" borderId="0" xfId="0" applyNumberFormat="1" applyFont="1" applyBorder="1"/>
    <xf numFmtId="9" fontId="10" fillId="0" borderId="11" xfId="0" applyNumberFormat="1" applyFont="1" applyBorder="1"/>
    <xf numFmtId="9" fontId="10" fillId="0" borderId="16" xfId="0" applyNumberFormat="1" applyFont="1" applyBorder="1"/>
    <xf numFmtId="9" fontId="10" fillId="0" borderId="17" xfId="0" applyNumberFormat="1" applyFont="1" applyBorder="1"/>
    <xf numFmtId="164" fontId="0" fillId="0" borderId="15" xfId="0" applyNumberFormat="1" applyBorder="1"/>
    <xf numFmtId="0" fontId="0" fillId="0" borderId="11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9" fontId="0" fillId="0" borderId="11" xfId="0" applyNumberFormat="1" applyBorder="1"/>
    <xf numFmtId="0" fontId="3" fillId="0" borderId="15" xfId="0" applyFont="1" applyBorder="1"/>
    <xf numFmtId="0" fontId="3" fillId="0" borderId="24" xfId="0" applyFont="1" applyBorder="1"/>
    <xf numFmtId="9" fontId="0" fillId="0" borderId="16" xfId="0" applyNumberFormat="1" applyBorder="1"/>
    <xf numFmtId="0" fontId="0" fillId="0" borderId="11" xfId="0" applyFill="1" applyBorder="1"/>
    <xf numFmtId="0" fontId="0" fillId="0" borderId="26" xfId="0" applyBorder="1"/>
    <xf numFmtId="0" fontId="0" fillId="0" borderId="16" xfId="0" applyFill="1" applyBorder="1"/>
    <xf numFmtId="9" fontId="0" fillId="0" borderId="26" xfId="0" applyNumberFormat="1" applyBorder="1"/>
    <xf numFmtId="9" fontId="0" fillId="0" borderId="13" xfId="0" applyNumberFormat="1" applyBorder="1"/>
    <xf numFmtId="9" fontId="0" fillId="0" borderId="25" xfId="0" applyNumberFormat="1" applyBorder="1"/>
    <xf numFmtId="9" fontId="0" fillId="0" borderId="15" xfId="0" applyNumberFormat="1" applyBorder="1"/>
    <xf numFmtId="0" fontId="3" fillId="0" borderId="11" xfId="0" applyFont="1" applyFill="1" applyBorder="1"/>
    <xf numFmtId="0" fontId="0" fillId="0" borderId="24" xfId="0" applyFont="1" applyBorder="1"/>
    <xf numFmtId="0" fontId="0" fillId="0" borderId="11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6" xfId="0" applyFont="1" applyFill="1" applyBorder="1"/>
    <xf numFmtId="0" fontId="3" fillId="0" borderId="0" xfId="0" applyFont="1" applyProtection="1"/>
    <xf numFmtId="0" fontId="0" fillId="0" borderId="0" xfId="0" applyProtection="1"/>
    <xf numFmtId="0" fontId="0" fillId="0" borderId="0" xfId="0" applyFont="1" applyProtection="1"/>
    <xf numFmtId="9" fontId="0" fillId="0" borderId="0" xfId="0" applyNumberFormat="1" applyProtection="1"/>
    <xf numFmtId="1" fontId="0" fillId="0" borderId="0" xfId="0" applyNumberFormat="1" applyFont="1" applyProtection="1"/>
    <xf numFmtId="0" fontId="3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right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12" fillId="0" borderId="0" xfId="0" applyNumberFormat="1" applyFont="1"/>
    <xf numFmtId="1" fontId="0" fillId="0" borderId="11" xfId="0" applyNumberFormat="1" applyFont="1" applyBorder="1"/>
    <xf numFmtId="0" fontId="0" fillId="0" borderId="0" xfId="0" applyFill="1" applyProtection="1">
      <protection locked="0"/>
    </xf>
    <xf numFmtId="0" fontId="0" fillId="5" borderId="0" xfId="0" applyFill="1"/>
    <xf numFmtId="9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2" fillId="5" borderId="0" xfId="0" applyFont="1" applyFill="1"/>
    <xf numFmtId="9" fontId="2" fillId="5" borderId="0" xfId="0" applyNumberFormat="1" applyFont="1" applyFill="1"/>
    <xf numFmtId="0" fontId="2" fillId="5" borderId="0" xfId="0" applyNumberFormat="1" applyFont="1" applyFill="1"/>
    <xf numFmtId="1" fontId="2" fillId="5" borderId="0" xfId="0" applyNumberFormat="1" applyFont="1" applyFill="1"/>
  </cellXfs>
  <cellStyles count="8">
    <cellStyle name="Comma_DPS Calculator - Mnk" xfId="1" xr:uid="{00000000-0005-0000-0000-000000000000}"/>
    <cellStyle name="Normal" xfId="0" builtinId="0"/>
    <cellStyle name="Normal 2" xfId="6" xr:uid="{00000000-0005-0000-0000-000002000000}"/>
    <cellStyle name="Normal 3" xfId="5" xr:uid="{00000000-0005-0000-0000-000003000000}"/>
    <cellStyle name="Normal_DPS Calculator - Mnk" xfId="2" xr:uid="{00000000-0005-0000-0000-000004000000}"/>
    <cellStyle name="Percent" xfId="3" builtinId="5"/>
    <cellStyle name="Percent 2" xfId="7" xr:uid="{00000000-0005-0000-0000-000006000000}"/>
    <cellStyle name="Percent_DPS Calculator - Mnk" xfId="4" xr:uid="{00000000-0005-0000-0000-000007000000}"/>
  </cellStyles>
  <dxfs count="13">
    <dxf>
      <font>
        <b val="0"/>
        <condense val="0"/>
        <extend val="0"/>
        <color indexed="57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7"/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19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N61"/>
  <sheetViews>
    <sheetView topLeftCell="A22" workbookViewId="0">
      <selection activeCell="A56" sqref="A56:C56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6.42578125" customWidth="1"/>
    <col min="12" max="12" width="13.85546875" customWidth="1"/>
    <col min="13" max="14" width="16.7109375" customWidth="1"/>
  </cols>
  <sheetData>
    <row r="1" spans="1:14" x14ac:dyDescent="0.2">
      <c r="B1" s="1" t="s">
        <v>0</v>
      </c>
      <c r="C1" s="1" t="s">
        <v>1</v>
      </c>
      <c r="E1" s="142" t="s">
        <v>403</v>
      </c>
      <c r="F1" s="1" t="s">
        <v>0</v>
      </c>
      <c r="G1" s="1" t="s">
        <v>1</v>
      </c>
      <c r="H1" s="1"/>
      <c r="I1" s="1" t="s">
        <v>404</v>
      </c>
      <c r="J1" s="1" t="s">
        <v>0</v>
      </c>
      <c r="K1" s="1" t="s">
        <v>1</v>
      </c>
      <c r="M1" s="1" t="s">
        <v>2</v>
      </c>
      <c r="N1" s="2" t="s">
        <v>1373</v>
      </c>
    </row>
    <row r="2" spans="1:14" x14ac:dyDescent="0.2">
      <c r="E2" s="143"/>
      <c r="F2" s="143"/>
      <c r="G2" s="143"/>
      <c r="M2" t="s">
        <v>3</v>
      </c>
      <c r="N2" s="3">
        <f>VLOOKUP($N$1,Mobs,MATCH($M2,MobHeader,0),FALSE)</f>
        <v>136</v>
      </c>
    </row>
    <row r="3" spans="1:14" x14ac:dyDescent="0.2">
      <c r="A3" s="1" t="s">
        <v>4</v>
      </c>
      <c r="E3" s="142" t="s">
        <v>405</v>
      </c>
      <c r="F3" s="143"/>
      <c r="G3" s="143"/>
      <c r="I3" s="1" t="s">
        <v>733</v>
      </c>
      <c r="M3" t="s">
        <v>1450</v>
      </c>
      <c r="N3" s="226" t="str">
        <f>VLOOKUP($N$1,Mobs,MATCH($M3,MobHeader,0),FALSE)</f>
        <v>Regular</v>
      </c>
    </row>
    <row r="4" spans="1:14" x14ac:dyDescent="0.2">
      <c r="A4" s="3" t="s">
        <v>6</v>
      </c>
      <c r="B4" s="2" t="s">
        <v>7</v>
      </c>
      <c r="C4" t="str">
        <f>B4</f>
        <v>Hume</v>
      </c>
      <c r="I4" s="204" t="s">
        <v>547</v>
      </c>
      <c r="J4" s="92">
        <v>1</v>
      </c>
      <c r="K4" s="92">
        <v>1</v>
      </c>
      <c r="M4" t="s">
        <v>1440</v>
      </c>
      <c r="N4" s="226" t="str">
        <f>VLOOKUP($N$1,Mobs,MATCH($M4,MobHeader,0),FALSE)</f>
        <v>Bird</v>
      </c>
    </row>
    <row r="5" spans="1:14" x14ac:dyDescent="0.2">
      <c r="A5" s="3" t="s">
        <v>3</v>
      </c>
      <c r="B5" s="5">
        <v>99</v>
      </c>
      <c r="C5" s="6">
        <f>B5</f>
        <v>99</v>
      </c>
      <c r="E5" s="1" t="s">
        <v>53</v>
      </c>
      <c r="H5" s="6"/>
      <c r="M5" t="s">
        <v>9</v>
      </c>
      <c r="N5" s="3">
        <f>VLOOKUP($N$1,Mobs,MATCH($M5,MobHeader,0),FALSE)</f>
        <v>1439</v>
      </c>
    </row>
    <row r="6" spans="1:14" x14ac:dyDescent="0.2">
      <c r="A6" t="s">
        <v>11</v>
      </c>
      <c r="B6" s="2" t="s">
        <v>12</v>
      </c>
      <c r="C6" s="3" t="str">
        <f>B6</f>
        <v>Sam</v>
      </c>
      <c r="E6" t="s">
        <v>760</v>
      </c>
      <c r="F6" s="2">
        <v>1</v>
      </c>
      <c r="G6" s="92">
        <v>1</v>
      </c>
      <c r="H6" s="144"/>
      <c r="I6" s="1" t="s">
        <v>407</v>
      </c>
      <c r="M6" t="s">
        <v>432</v>
      </c>
      <c r="N6" s="7">
        <v>0.52</v>
      </c>
    </row>
    <row r="7" spans="1:14" x14ac:dyDescent="0.2">
      <c r="A7" t="s">
        <v>16</v>
      </c>
      <c r="B7" s="2" t="s">
        <v>661</v>
      </c>
      <c r="C7" s="3" t="str">
        <f>B7</f>
        <v>Sublime Sushi</v>
      </c>
      <c r="E7" t="s">
        <v>56</v>
      </c>
      <c r="F7" s="2" t="s">
        <v>57</v>
      </c>
      <c r="G7" s="92" t="s">
        <v>57</v>
      </c>
      <c r="H7" s="144"/>
      <c r="I7" s="3" t="s">
        <v>408</v>
      </c>
      <c r="J7" s="145">
        <v>500</v>
      </c>
      <c r="K7" s="146">
        <v>500</v>
      </c>
      <c r="M7" t="s">
        <v>15</v>
      </c>
      <c r="N7" s="4">
        <f>MAX(N5-TRUNC(N5*N6),1)</f>
        <v>691</v>
      </c>
    </row>
    <row r="8" spans="1:14" x14ac:dyDescent="0.2">
      <c r="A8" t="s">
        <v>720</v>
      </c>
      <c r="B8" s="218" t="s">
        <v>717</v>
      </c>
      <c r="C8" s="219" t="str">
        <f>B8</f>
        <v>Blue Wyvern</v>
      </c>
      <c r="E8" t="s">
        <v>58</v>
      </c>
      <c r="F8" s="2" t="s">
        <v>59</v>
      </c>
      <c r="G8" s="92" t="s">
        <v>59</v>
      </c>
      <c r="I8" s="204" t="s">
        <v>410</v>
      </c>
      <c r="J8" s="2">
        <v>0</v>
      </c>
      <c r="K8" s="2">
        <v>0</v>
      </c>
      <c r="M8" t="s">
        <v>20</v>
      </c>
      <c r="N8" s="3">
        <f>VLOOKUP($N$1,Mobs,MATCH($M8,MobHeader,0),FALSE)</f>
        <v>1254</v>
      </c>
    </row>
    <row r="9" spans="1:14" x14ac:dyDescent="0.2">
      <c r="E9" t="s">
        <v>32</v>
      </c>
      <c r="F9" s="146">
        <v>10</v>
      </c>
      <c r="G9" s="146">
        <v>10</v>
      </c>
      <c r="M9" t="s">
        <v>731</v>
      </c>
      <c r="N9" s="204">
        <v>100</v>
      </c>
    </row>
    <row r="10" spans="1:14" x14ac:dyDescent="0.2">
      <c r="A10" s="1" t="s">
        <v>24</v>
      </c>
      <c r="E10" t="s">
        <v>454</v>
      </c>
      <c r="F10" s="2">
        <v>0</v>
      </c>
      <c r="G10" s="92">
        <v>0</v>
      </c>
      <c r="I10" s="1" t="s">
        <v>415</v>
      </c>
      <c r="M10" t="s">
        <v>732</v>
      </c>
      <c r="N10" s="3">
        <f>MAX(N8-N9,1)</f>
        <v>1154</v>
      </c>
    </row>
    <row r="11" spans="1:14" x14ac:dyDescent="0.2">
      <c r="A11" t="s">
        <v>651</v>
      </c>
      <c r="B11" s="2">
        <v>15</v>
      </c>
      <c r="C11" s="4">
        <f>B11</f>
        <v>15</v>
      </c>
      <c r="E11" t="s">
        <v>545</v>
      </c>
      <c r="F11" s="2">
        <v>0</v>
      </c>
      <c r="G11" s="92">
        <v>0</v>
      </c>
      <c r="I11" s="144" t="s">
        <v>416</v>
      </c>
      <c r="J11" s="145">
        <v>500</v>
      </c>
      <c r="K11" s="146">
        <v>500</v>
      </c>
      <c r="M11" t="s">
        <v>23</v>
      </c>
      <c r="N11" s="3">
        <f>VLOOKUP($N$1,Mobs,MATCH($M11,MobHeader,0),FALSE)</f>
        <v>300</v>
      </c>
    </row>
    <row r="12" spans="1:14" x14ac:dyDescent="0.2">
      <c r="A12" t="s">
        <v>652</v>
      </c>
      <c r="B12" s="2">
        <v>15</v>
      </c>
      <c r="C12" s="4">
        <f>B12</f>
        <v>15</v>
      </c>
      <c r="I12" s="144" t="s">
        <v>417</v>
      </c>
      <c r="J12" s="92">
        <v>0</v>
      </c>
      <c r="K12" s="92">
        <v>0</v>
      </c>
      <c r="M12" t="s">
        <v>25</v>
      </c>
      <c r="N12" s="3">
        <f>VLOOKUP($N$1,Mobs,MATCH($M12,MobHeader,0),FALSE)</f>
        <v>303</v>
      </c>
    </row>
    <row r="13" spans="1:14" x14ac:dyDescent="0.2">
      <c r="A13" t="s">
        <v>653</v>
      </c>
      <c r="B13" s="2">
        <v>15</v>
      </c>
      <c r="C13" s="4">
        <f>B13</f>
        <v>15</v>
      </c>
      <c r="E13" s="142" t="s">
        <v>409</v>
      </c>
      <c r="F13" s="143"/>
      <c r="G13" s="143"/>
      <c r="I13" s="3" t="s">
        <v>742</v>
      </c>
      <c r="J13" s="92">
        <v>0</v>
      </c>
      <c r="K13" s="92">
        <v>0</v>
      </c>
      <c r="M13" t="s">
        <v>449</v>
      </c>
      <c r="N13" s="167">
        <f>VLOOKUP($N$1,Mobs,MATCH("CritDef",MobHeader,0), FALSE)</f>
        <v>0</v>
      </c>
    </row>
    <row r="14" spans="1:14" x14ac:dyDescent="0.2">
      <c r="A14" t="s">
        <v>654</v>
      </c>
      <c r="B14" s="7">
        <v>0.05</v>
      </c>
      <c r="C14" s="8">
        <f>B14</f>
        <v>0.05</v>
      </c>
      <c r="E14" t="s">
        <v>31</v>
      </c>
      <c r="F14" s="2">
        <v>1</v>
      </c>
      <c r="G14" s="92">
        <v>1</v>
      </c>
      <c r="M14" t="s">
        <v>450</v>
      </c>
      <c r="N14" s="167">
        <f>VLOOKUP($N$1,Mobs,MATCH("CritRate",MobHeader,0), FALSE)</f>
        <v>0</v>
      </c>
    </row>
    <row r="15" spans="1:14" x14ac:dyDescent="0.2">
      <c r="A15" t="s">
        <v>30</v>
      </c>
      <c r="B15" s="9">
        <v>5</v>
      </c>
      <c r="C15" s="9">
        <v>5</v>
      </c>
      <c r="E15" t="s">
        <v>36</v>
      </c>
      <c r="F15" s="2">
        <v>1</v>
      </c>
      <c r="G15" s="92">
        <v>1</v>
      </c>
      <c r="H15" s="8"/>
      <c r="I15" s="1" t="s">
        <v>420</v>
      </c>
      <c r="M15" t="s">
        <v>1680</v>
      </c>
      <c r="N15" s="275" t="str">
        <f>VLOOKUP($N$4,Families,2,FALSE)</f>
        <v>Main Job Only</v>
      </c>
    </row>
    <row r="16" spans="1:14" x14ac:dyDescent="0.2">
      <c r="A16" t="s">
        <v>33</v>
      </c>
      <c r="B16" s="9">
        <v>5</v>
      </c>
      <c r="C16" s="9">
        <v>5</v>
      </c>
      <c r="E16" t="s">
        <v>34</v>
      </c>
      <c r="F16" s="146">
        <v>30</v>
      </c>
      <c r="G16" s="146">
        <v>30</v>
      </c>
      <c r="I16" s="3" t="s">
        <v>408</v>
      </c>
      <c r="J16" s="145">
        <v>500</v>
      </c>
      <c r="K16" s="146">
        <v>500</v>
      </c>
    </row>
    <row r="17" spans="1:14" x14ac:dyDescent="0.2">
      <c r="A17" t="s">
        <v>35</v>
      </c>
      <c r="B17" s="2">
        <v>16</v>
      </c>
      <c r="C17" s="4">
        <f>B17</f>
        <v>16</v>
      </c>
      <c r="E17" t="s">
        <v>40</v>
      </c>
      <c r="F17" s="2">
        <v>0</v>
      </c>
      <c r="G17" s="92">
        <v>0</v>
      </c>
      <c r="I17" t="s">
        <v>381</v>
      </c>
      <c r="J17" s="92">
        <v>0</v>
      </c>
      <c r="K17" s="92">
        <v>0</v>
      </c>
    </row>
    <row r="18" spans="1:14" x14ac:dyDescent="0.2">
      <c r="A18" t="s">
        <v>345</v>
      </c>
      <c r="B18" s="2">
        <v>5</v>
      </c>
      <c r="C18" s="4">
        <f>B18</f>
        <v>5</v>
      </c>
      <c r="E18" t="s">
        <v>42</v>
      </c>
      <c r="F18" s="2">
        <v>0</v>
      </c>
      <c r="G18" s="92">
        <v>0</v>
      </c>
      <c r="I18" t="s">
        <v>422</v>
      </c>
      <c r="J18" s="92">
        <v>0</v>
      </c>
      <c r="K18" s="92">
        <v>0</v>
      </c>
    </row>
    <row r="19" spans="1:14" x14ac:dyDescent="0.2">
      <c r="B19" s="2"/>
      <c r="C19" s="4"/>
      <c r="E19" t="s">
        <v>406</v>
      </c>
      <c r="F19" s="92">
        <v>0</v>
      </c>
      <c r="G19" s="92">
        <v>0</v>
      </c>
      <c r="I19" t="s">
        <v>49</v>
      </c>
      <c r="J19" s="92">
        <v>0</v>
      </c>
      <c r="K19" s="92">
        <v>0</v>
      </c>
    </row>
    <row r="20" spans="1:14" x14ac:dyDescent="0.2">
      <c r="A20" s="1" t="s">
        <v>644</v>
      </c>
      <c r="B20" s="7"/>
      <c r="C20" s="7"/>
    </row>
    <row r="21" spans="1:14" x14ac:dyDescent="0.2">
      <c r="A21" t="s">
        <v>645</v>
      </c>
      <c r="B21" s="82">
        <v>2100</v>
      </c>
      <c r="C21" s="82">
        <f t="shared" ref="C21:C26" si="0">B21</f>
        <v>2100</v>
      </c>
      <c r="I21" s="1" t="s">
        <v>423</v>
      </c>
    </row>
    <row r="22" spans="1:14" x14ac:dyDescent="0.2">
      <c r="A22" t="s">
        <v>646</v>
      </c>
      <c r="B22" s="82">
        <v>20</v>
      </c>
      <c r="C22" s="82">
        <f t="shared" si="0"/>
        <v>20</v>
      </c>
      <c r="E22" s="142" t="s">
        <v>414</v>
      </c>
      <c r="F22" s="1" t="s">
        <v>0</v>
      </c>
      <c r="G22" s="1" t="s">
        <v>1</v>
      </c>
      <c r="I22" t="s">
        <v>1374</v>
      </c>
      <c r="J22" s="92">
        <v>0</v>
      </c>
      <c r="K22" s="92">
        <v>0</v>
      </c>
    </row>
    <row r="23" spans="1:14" x14ac:dyDescent="0.2">
      <c r="A23" t="s">
        <v>647</v>
      </c>
      <c r="B23" s="82">
        <v>20</v>
      </c>
      <c r="C23" s="82">
        <f t="shared" si="0"/>
        <v>20</v>
      </c>
      <c r="E23" s="143"/>
      <c r="F23" s="143"/>
      <c r="G23" s="143"/>
      <c r="H23" s="92"/>
    </row>
    <row r="24" spans="1:14" x14ac:dyDescent="0.2">
      <c r="A24" s="3" t="s">
        <v>648</v>
      </c>
      <c r="B24" s="82">
        <v>20</v>
      </c>
      <c r="C24" s="82">
        <f t="shared" si="0"/>
        <v>20</v>
      </c>
      <c r="E24" s="1" t="s">
        <v>5</v>
      </c>
      <c r="H24" s="92"/>
      <c r="I24" s="1" t="s">
        <v>412</v>
      </c>
      <c r="M24" s="1" t="s">
        <v>0</v>
      </c>
      <c r="N24" s="1" t="s">
        <v>1</v>
      </c>
    </row>
    <row r="25" spans="1:14" x14ac:dyDescent="0.2">
      <c r="A25" t="s">
        <v>649</v>
      </c>
      <c r="B25" s="82">
        <v>20</v>
      </c>
      <c r="C25" s="82">
        <f t="shared" si="0"/>
        <v>20</v>
      </c>
      <c r="E25" t="s">
        <v>8</v>
      </c>
      <c r="F25" s="92">
        <v>0</v>
      </c>
      <c r="G25" s="92">
        <f>F25</f>
        <v>0</v>
      </c>
      <c r="H25" s="92"/>
      <c r="I25" s="148" t="s">
        <v>1783</v>
      </c>
      <c r="J25" s="92" t="s">
        <v>213</v>
      </c>
      <c r="K25" s="92" t="s">
        <v>213</v>
      </c>
      <c r="L25" t="s">
        <v>1781</v>
      </c>
      <c r="M25" s="146">
        <v>4</v>
      </c>
      <c r="N25" s="146">
        <v>4</v>
      </c>
    </row>
    <row r="26" spans="1:14" x14ac:dyDescent="0.2">
      <c r="A26" t="s">
        <v>650</v>
      </c>
      <c r="B26" s="82">
        <v>20</v>
      </c>
      <c r="C26" s="82">
        <f t="shared" si="0"/>
        <v>20</v>
      </c>
      <c r="E26" t="s">
        <v>10</v>
      </c>
      <c r="F26" s="146">
        <v>70</v>
      </c>
      <c r="G26" s="146">
        <f>F26</f>
        <v>70</v>
      </c>
      <c r="H26" s="92"/>
      <c r="I26" s="147" t="s">
        <v>1782</v>
      </c>
      <c r="J26" s="92" t="s">
        <v>213</v>
      </c>
      <c r="K26" s="92" t="s">
        <v>213</v>
      </c>
      <c r="L26" t="s">
        <v>1344</v>
      </c>
      <c r="M26" s="146">
        <v>8</v>
      </c>
      <c r="N26" s="146">
        <v>8</v>
      </c>
    </row>
    <row r="27" spans="1:14" x14ac:dyDescent="0.2">
      <c r="B27" s="217"/>
      <c r="C27" s="217"/>
      <c r="E27" t="s">
        <v>13</v>
      </c>
      <c r="F27" s="92" t="s">
        <v>14</v>
      </c>
      <c r="G27" s="92" t="str">
        <f>F27</f>
        <v>Razed Ruin</v>
      </c>
      <c r="H27" s="92"/>
      <c r="I27" t="s">
        <v>660</v>
      </c>
      <c r="J27" s="92" t="s">
        <v>213</v>
      </c>
      <c r="K27" s="92" t="s">
        <v>213</v>
      </c>
      <c r="L27" t="s">
        <v>1780</v>
      </c>
      <c r="M27" s="146">
        <v>4</v>
      </c>
      <c r="N27" s="146">
        <v>4</v>
      </c>
    </row>
    <row r="28" spans="1:14" x14ac:dyDescent="0.2">
      <c r="A28" s="1" t="s">
        <v>37</v>
      </c>
      <c r="E28" t="s">
        <v>18</v>
      </c>
      <c r="F28" s="92" t="s">
        <v>283</v>
      </c>
      <c r="G28" s="92" t="str">
        <f>F28</f>
        <v>V. Violet</v>
      </c>
      <c r="I28" t="s">
        <v>1784</v>
      </c>
      <c r="J28" s="92" t="s">
        <v>213</v>
      </c>
      <c r="K28" s="92" t="s">
        <v>213</v>
      </c>
      <c r="L28" t="s">
        <v>1343</v>
      </c>
      <c r="M28" s="146">
        <v>8</v>
      </c>
      <c r="N28" s="146">
        <v>8</v>
      </c>
    </row>
    <row r="29" spans="1:14" x14ac:dyDescent="0.2">
      <c r="A29" t="s">
        <v>38</v>
      </c>
      <c r="B29" s="2" t="s">
        <v>345</v>
      </c>
      <c r="C29" s="2" t="s">
        <v>345</v>
      </c>
      <c r="E29" t="s">
        <v>21</v>
      </c>
      <c r="F29" s="92" t="s">
        <v>22</v>
      </c>
      <c r="G29" s="92" t="str">
        <f>F29</f>
        <v>Apocalypse</v>
      </c>
      <c r="I29" t="s">
        <v>1785</v>
      </c>
      <c r="J29" s="92" t="s">
        <v>213</v>
      </c>
      <c r="K29" s="92" t="s">
        <v>213</v>
      </c>
      <c r="L29" t="s">
        <v>1728</v>
      </c>
      <c r="M29" s="146">
        <v>25</v>
      </c>
      <c r="N29" s="146">
        <v>25</v>
      </c>
    </row>
    <row r="30" spans="1:14" x14ac:dyDescent="0.2">
      <c r="A30" t="s">
        <v>1596</v>
      </c>
      <c r="B30" s="276" t="s">
        <v>1690</v>
      </c>
      <c r="C30" s="276" t="s">
        <v>1690</v>
      </c>
      <c r="I30" t="s">
        <v>1786</v>
      </c>
      <c r="J30" s="92" t="s">
        <v>213</v>
      </c>
      <c r="K30" s="92" t="s">
        <v>213</v>
      </c>
    </row>
    <row r="31" spans="1:14" x14ac:dyDescent="0.2">
      <c r="A31" t="s">
        <v>41</v>
      </c>
      <c r="B31" s="2">
        <v>0</v>
      </c>
      <c r="C31" s="2">
        <v>0</v>
      </c>
      <c r="E31" s="1" t="s">
        <v>347</v>
      </c>
      <c r="F31" s="92">
        <v>0</v>
      </c>
      <c r="G31">
        <f>F31</f>
        <v>0</v>
      </c>
      <c r="I31" t="s">
        <v>1787</v>
      </c>
      <c r="J31" s="92" t="s">
        <v>213</v>
      </c>
      <c r="K31" s="92" t="s">
        <v>213</v>
      </c>
      <c r="L31" t="s">
        <v>1342</v>
      </c>
      <c r="M31" s="146">
        <v>9</v>
      </c>
      <c r="N31" s="146">
        <v>9</v>
      </c>
    </row>
    <row r="32" spans="1:14" x14ac:dyDescent="0.2">
      <c r="A32" t="s">
        <v>43</v>
      </c>
      <c r="B32" s="10">
        <f>23/256</f>
        <v>8.984375E-2</v>
      </c>
      <c r="C32" s="10">
        <f>23/256</f>
        <v>8.984375E-2</v>
      </c>
      <c r="E32" t="s">
        <v>418</v>
      </c>
      <c r="F32" s="94" t="s">
        <v>348</v>
      </c>
      <c r="G32" s="94" t="str">
        <f>F32</f>
        <v>N/A</v>
      </c>
      <c r="I32" t="s">
        <v>1788</v>
      </c>
      <c r="J32" s="92" t="s">
        <v>213</v>
      </c>
      <c r="K32" s="92" t="s">
        <v>213</v>
      </c>
      <c r="L32" t="s">
        <v>537</v>
      </c>
      <c r="M32" s="146">
        <v>5</v>
      </c>
      <c r="N32" s="146">
        <v>5</v>
      </c>
    </row>
    <row r="33" spans="1:14" x14ac:dyDescent="0.2">
      <c r="B33" s="10"/>
      <c r="C33" s="10"/>
      <c r="E33" t="s">
        <v>419</v>
      </c>
      <c r="F33" s="94" t="s">
        <v>348</v>
      </c>
      <c r="G33" s="94" t="str">
        <f>F33</f>
        <v>N/A</v>
      </c>
    </row>
    <row r="34" spans="1:14" x14ac:dyDescent="0.2">
      <c r="A34" t="s">
        <v>1352</v>
      </c>
      <c r="B34" s="92">
        <v>0</v>
      </c>
      <c r="C34" s="92">
        <v>0</v>
      </c>
      <c r="E34" t="s">
        <v>421</v>
      </c>
      <c r="F34" s="94" t="s">
        <v>348</v>
      </c>
      <c r="G34" s="94" t="str">
        <f>F34</f>
        <v>N/A</v>
      </c>
      <c r="I34" s="1" t="s">
        <v>424</v>
      </c>
      <c r="M34" s="1" t="s">
        <v>0</v>
      </c>
      <c r="N34" s="1" t="s">
        <v>1</v>
      </c>
    </row>
    <row r="35" spans="1:14" x14ac:dyDescent="0.2">
      <c r="A35" t="s">
        <v>1347</v>
      </c>
      <c r="B35" s="220" t="s">
        <v>1351</v>
      </c>
      <c r="C35" s="220" t="s">
        <v>1351</v>
      </c>
      <c r="I35" t="s">
        <v>44</v>
      </c>
      <c r="J35" s="92" t="s">
        <v>213</v>
      </c>
      <c r="K35" s="92" t="s">
        <v>213</v>
      </c>
      <c r="L35" t="s">
        <v>442</v>
      </c>
      <c r="M35" s="92" t="s">
        <v>1750</v>
      </c>
      <c r="N35" s="92" t="s">
        <v>1750</v>
      </c>
    </row>
    <row r="36" spans="1:14" x14ac:dyDescent="0.2">
      <c r="A36" t="s">
        <v>1353</v>
      </c>
      <c r="B36" s="223" t="s">
        <v>1359</v>
      </c>
      <c r="C36" s="223" t="s">
        <v>1359</v>
      </c>
      <c r="E36" t="s">
        <v>51</v>
      </c>
      <c r="F36" s="2">
        <v>0</v>
      </c>
      <c r="G36" s="92">
        <v>0</v>
      </c>
      <c r="I36" t="s">
        <v>487</v>
      </c>
      <c r="J36" s="92" t="s">
        <v>213</v>
      </c>
      <c r="K36" s="92" t="s">
        <v>213</v>
      </c>
      <c r="L36" t="s">
        <v>74</v>
      </c>
      <c r="M36" s="92" t="s">
        <v>1750</v>
      </c>
      <c r="N36" s="92" t="s">
        <v>1750</v>
      </c>
    </row>
    <row r="37" spans="1:14" x14ac:dyDescent="0.2">
      <c r="A37" t="s">
        <v>1358</v>
      </c>
      <c r="B37" s="146">
        <v>1000</v>
      </c>
      <c r="C37" s="146">
        <v>1000</v>
      </c>
      <c r="I37" t="s">
        <v>425</v>
      </c>
      <c r="J37" s="92" t="s">
        <v>213</v>
      </c>
      <c r="K37" s="92" t="s">
        <v>213</v>
      </c>
      <c r="L37" t="s">
        <v>443</v>
      </c>
      <c r="M37" s="92" t="s">
        <v>1749</v>
      </c>
      <c r="N37" s="92" t="s">
        <v>1749</v>
      </c>
    </row>
    <row r="38" spans="1:14" x14ac:dyDescent="0.2">
      <c r="A38" t="s">
        <v>1357</v>
      </c>
      <c r="B38" s="146">
        <v>2000</v>
      </c>
      <c r="C38" s="146">
        <v>2000</v>
      </c>
      <c r="E38" s="1" t="s">
        <v>499</v>
      </c>
      <c r="I38" t="s">
        <v>426</v>
      </c>
      <c r="J38" s="92" t="s">
        <v>213</v>
      </c>
      <c r="K38" s="92" t="s">
        <v>213</v>
      </c>
      <c r="L38" t="s">
        <v>1795</v>
      </c>
      <c r="M38" s="92" t="s">
        <v>1754</v>
      </c>
      <c r="N38" s="92" t="s">
        <v>1754</v>
      </c>
    </row>
    <row r="39" spans="1:14" x14ac:dyDescent="0.2">
      <c r="B39" s="141"/>
      <c r="C39" s="90"/>
      <c r="E39" t="s">
        <v>500</v>
      </c>
      <c r="F39" s="2">
        <v>0</v>
      </c>
      <c r="G39" s="92">
        <v>0</v>
      </c>
      <c r="I39" t="s">
        <v>1729</v>
      </c>
      <c r="J39" s="92" t="s">
        <v>213</v>
      </c>
      <c r="K39" s="92" t="s">
        <v>213</v>
      </c>
      <c r="L39" t="s">
        <v>444</v>
      </c>
      <c r="M39" s="92" t="s">
        <v>1749</v>
      </c>
      <c r="N39" s="92" t="s">
        <v>1749</v>
      </c>
    </row>
    <row r="40" spans="1:14" x14ac:dyDescent="0.2">
      <c r="A40" s="1" t="s">
        <v>45</v>
      </c>
      <c r="B40" s="1" t="s">
        <v>0</v>
      </c>
      <c r="C40" s="1" t="s">
        <v>1</v>
      </c>
      <c r="I40" t="s">
        <v>46</v>
      </c>
      <c r="J40" s="92" t="s">
        <v>213</v>
      </c>
      <c r="K40" s="92" t="s">
        <v>213</v>
      </c>
      <c r="L40" t="s">
        <v>81</v>
      </c>
      <c r="M40" s="92" t="s">
        <v>1754</v>
      </c>
      <c r="N40" s="92" t="s">
        <v>1754</v>
      </c>
    </row>
    <row r="41" spans="1:14" x14ac:dyDescent="0.2">
      <c r="A41" t="s">
        <v>47</v>
      </c>
      <c r="B41" s="11">
        <f ca="1">Data!B163</f>
        <v>1613.0506534724111</v>
      </c>
      <c r="C41" s="11">
        <f ca="1">Data!C163</f>
        <v>1590.546498937749</v>
      </c>
      <c r="E41" s="1" t="s">
        <v>637</v>
      </c>
      <c r="I41" t="s">
        <v>436</v>
      </c>
      <c r="J41" s="92" t="s">
        <v>213</v>
      </c>
      <c r="K41" s="92" t="s">
        <v>213</v>
      </c>
      <c r="L41" t="s">
        <v>440</v>
      </c>
      <c r="M41" s="92" t="s">
        <v>1754</v>
      </c>
      <c r="N41" s="92" t="s">
        <v>1754</v>
      </c>
    </row>
    <row r="42" spans="1:14" x14ac:dyDescent="0.2">
      <c r="A42" t="s">
        <v>48</v>
      </c>
      <c r="B42" s="12">
        <f ca="1">Data!B171</f>
        <v>547.66706536994332</v>
      </c>
      <c r="C42" s="12">
        <f ca="1">Data!C171</f>
        <v>540.0263975173259</v>
      </c>
      <c r="E42" t="s">
        <v>638</v>
      </c>
      <c r="F42" s="204">
        <v>0</v>
      </c>
      <c r="G42" s="3">
        <f>F42</f>
        <v>0</v>
      </c>
    </row>
    <row r="43" spans="1:14" x14ac:dyDescent="0.2">
      <c r="E43" t="s">
        <v>1211</v>
      </c>
      <c r="F43" s="204">
        <v>11</v>
      </c>
      <c r="G43" s="3">
        <f t="shared" ref="G43:G48" si="1">F43</f>
        <v>11</v>
      </c>
      <c r="I43" s="1" t="s">
        <v>662</v>
      </c>
      <c r="M43" s="1" t="s">
        <v>0</v>
      </c>
      <c r="N43" s="1" t="s">
        <v>1</v>
      </c>
    </row>
    <row r="44" spans="1:14" x14ac:dyDescent="0.2">
      <c r="A44" t="s">
        <v>50</v>
      </c>
      <c r="B44" s="13">
        <f ca="1">Data!D185</f>
        <v>2.6917331012774013</v>
      </c>
      <c r="C44" s="13">
        <f ca="1">Data!E185</f>
        <v>2.727555966792008</v>
      </c>
      <c r="E44" t="s">
        <v>1212</v>
      </c>
      <c r="F44" s="204">
        <v>11</v>
      </c>
      <c r="G44" s="3">
        <f t="shared" si="1"/>
        <v>11</v>
      </c>
      <c r="I44" t="s">
        <v>736</v>
      </c>
      <c r="J44" s="204" t="s">
        <v>213</v>
      </c>
      <c r="K44" s="204" t="s">
        <v>213</v>
      </c>
      <c r="L44" t="s">
        <v>734</v>
      </c>
      <c r="M44" s="146">
        <v>900</v>
      </c>
      <c r="N44" s="146">
        <v>900</v>
      </c>
    </row>
    <row r="45" spans="1:14" x14ac:dyDescent="0.2">
      <c r="A45" t="s">
        <v>52</v>
      </c>
      <c r="B45" s="11">
        <f ca="1">Data!D182</f>
        <v>10725.412339099068</v>
      </c>
      <c r="C45" s="11">
        <f ca="1">Data!E182</f>
        <v>10938.782611097053</v>
      </c>
      <c r="E45" t="s">
        <v>1209</v>
      </c>
      <c r="F45" s="204">
        <v>11</v>
      </c>
      <c r="G45" s="3">
        <f t="shared" si="1"/>
        <v>11</v>
      </c>
      <c r="I45" t="s">
        <v>724</v>
      </c>
      <c r="J45" s="204" t="s">
        <v>213</v>
      </c>
      <c r="K45" s="204" t="s">
        <v>213</v>
      </c>
      <c r="L45" t="s">
        <v>664</v>
      </c>
      <c r="M45" s="146">
        <v>10</v>
      </c>
      <c r="N45" s="146">
        <v>10</v>
      </c>
    </row>
    <row r="46" spans="1:14" x14ac:dyDescent="0.2">
      <c r="A46" t="s">
        <v>1694</v>
      </c>
      <c r="B46" s="11">
        <f>Data!D183</f>
        <v>1086</v>
      </c>
      <c r="C46" s="11">
        <f>Data!E183</f>
        <v>1086</v>
      </c>
      <c r="E46" s="3" t="s">
        <v>1210</v>
      </c>
      <c r="F46" s="204">
        <v>11</v>
      </c>
      <c r="G46" s="3">
        <f t="shared" si="1"/>
        <v>11</v>
      </c>
      <c r="I46" t="s">
        <v>735</v>
      </c>
      <c r="J46" s="204" t="s">
        <v>213</v>
      </c>
      <c r="K46" s="204" t="s">
        <v>213</v>
      </c>
    </row>
    <row r="47" spans="1:14" x14ac:dyDescent="0.2">
      <c r="A47" t="s">
        <v>1696</v>
      </c>
      <c r="B47" s="11">
        <f ca="1">Data!D184</f>
        <v>11811.412339099068</v>
      </c>
      <c r="C47" s="11">
        <f ca="1">Data!E184</f>
        <v>12024.782611097053</v>
      </c>
      <c r="E47" s="3" t="s">
        <v>1213</v>
      </c>
      <c r="F47" s="204">
        <v>11</v>
      </c>
      <c r="G47" s="3">
        <f t="shared" si="1"/>
        <v>11</v>
      </c>
      <c r="I47" t="s">
        <v>737</v>
      </c>
      <c r="J47" s="204" t="s">
        <v>213</v>
      </c>
      <c r="K47" s="204" t="s">
        <v>213</v>
      </c>
    </row>
    <row r="48" spans="1:14" x14ac:dyDescent="0.2">
      <c r="E48" s="3" t="s">
        <v>1511</v>
      </c>
      <c r="F48" s="218">
        <v>3</v>
      </c>
      <c r="G48" s="3">
        <f t="shared" si="1"/>
        <v>3</v>
      </c>
      <c r="I48" s="3" t="s">
        <v>738</v>
      </c>
      <c r="J48" s="204" t="s">
        <v>213</v>
      </c>
      <c r="K48" s="204" t="s">
        <v>213</v>
      </c>
    </row>
    <row r="49" spans="1:11" x14ac:dyDescent="0.2">
      <c r="A49" s="3" t="s">
        <v>54</v>
      </c>
      <c r="B49" s="11">
        <f ca="1">IF(F7="None", 0, IF(F7="Jump",Data!F163,Data!H163))</f>
        <v>2043.8899173436619</v>
      </c>
      <c r="C49" s="11">
        <f ca="1">IF(G7="None", 0, IF(G7="Jump",Data!G163,Data!I163))</f>
        <v>2043.8899173436619</v>
      </c>
      <c r="J49" s="90"/>
      <c r="K49" s="90"/>
    </row>
    <row r="50" spans="1:11" x14ac:dyDescent="0.2">
      <c r="A50" s="3" t="s">
        <v>55</v>
      </c>
      <c r="B50" s="11">
        <f ca="1">IF(F8="None", 0, IF(F8="High Jump",Data!J163,Data!L163))</f>
        <v>2348.172730020096</v>
      </c>
      <c r="C50" s="11">
        <f ca="1">IF(G8="None", 0, IF(G8="High Jump",Data!K163,Data!M163))</f>
        <v>2348.172730020096</v>
      </c>
      <c r="E50" t="s">
        <v>451</v>
      </c>
      <c r="F50" s="92">
        <v>1</v>
      </c>
      <c r="G50" s="92">
        <v>1</v>
      </c>
      <c r="I50" s="1" t="s">
        <v>1494</v>
      </c>
      <c r="K50" s="3"/>
    </row>
    <row r="51" spans="1:11" x14ac:dyDescent="0.2">
      <c r="I51" t="s">
        <v>1697</v>
      </c>
      <c r="J51" s="204" t="s">
        <v>213</v>
      </c>
      <c r="K51" s="204" t="s">
        <v>213</v>
      </c>
    </row>
    <row r="52" spans="1:11" x14ac:dyDescent="0.2">
      <c r="A52" t="s">
        <v>60</v>
      </c>
      <c r="B52" s="11">
        <f ca="1">Data!D193</f>
        <v>19512.480979355165</v>
      </c>
      <c r="C52" s="11">
        <f ca="1">Data!E193</f>
        <v>19809.23734615789</v>
      </c>
      <c r="E52" s="1" t="s">
        <v>346</v>
      </c>
      <c r="F52" s="1" t="s">
        <v>0</v>
      </c>
      <c r="G52" s="1" t="s">
        <v>1</v>
      </c>
      <c r="I52" s="90"/>
    </row>
    <row r="53" spans="1:11" x14ac:dyDescent="0.2">
      <c r="A53" t="s">
        <v>61</v>
      </c>
      <c r="B53" s="11">
        <f ca="1">Data!D188</f>
        <v>614.45264527473</v>
      </c>
      <c r="C53" s="11">
        <f ca="1">Data!E188</f>
        <v>620.98272622612478</v>
      </c>
      <c r="E53" t="s">
        <v>29</v>
      </c>
      <c r="F53" s="149">
        <v>0</v>
      </c>
      <c r="G53" s="149">
        <v>0</v>
      </c>
      <c r="I53" s="239"/>
    </row>
    <row r="54" spans="1:11" x14ac:dyDescent="0.2">
      <c r="E54" t="s">
        <v>344</v>
      </c>
      <c r="F54" s="92">
        <v>0</v>
      </c>
      <c r="G54" s="150">
        <v>0</v>
      </c>
      <c r="I54" s="239"/>
    </row>
    <row r="55" spans="1:11" x14ac:dyDescent="0.2">
      <c r="A55" s="1" t="s">
        <v>62</v>
      </c>
      <c r="B55" s="14">
        <f ca="1">Data!D195</f>
        <v>1905.3524592409435</v>
      </c>
      <c r="C55" s="14">
        <f ca="1">Data!E195</f>
        <v>1913.9892151149354</v>
      </c>
      <c r="E55" t="s">
        <v>376</v>
      </c>
      <c r="F55" s="92">
        <v>1000</v>
      </c>
      <c r="G55" s="150">
        <v>1000</v>
      </c>
      <c r="I55" s="239"/>
    </row>
    <row r="56" spans="1:11" x14ac:dyDescent="0.2">
      <c r="A56" s="1" t="s">
        <v>740</v>
      </c>
      <c r="B56" s="211" t="str">
        <f ca="1">IF(B55=C55,"Tied!",IF(B55&gt;C55,"Set 1 Wins!",CONCATENATE(TRUNC((100*C55/B55)-100,2),"% Lead")))</f>
        <v>0.45% Lead</v>
      </c>
      <c r="C56" s="211" t="str">
        <f ca="1">IF(B55=C55,"Tied!",IF(B55&gt;C55,CONCATENATE(TRUNC((100*B55/C55)-100,2),"% Lead"),"Set 2 Wins!"))</f>
        <v>Set 2 Wins!</v>
      </c>
      <c r="E56" t="s">
        <v>377</v>
      </c>
      <c r="F56" s="92">
        <v>0</v>
      </c>
      <c r="G56" s="150">
        <v>0</v>
      </c>
      <c r="I56" s="239"/>
    </row>
    <row r="57" spans="1:11" x14ac:dyDescent="0.2">
      <c r="I57" s="239"/>
    </row>
    <row r="58" spans="1:11" x14ac:dyDescent="0.2">
      <c r="A58" s="1" t="s">
        <v>63</v>
      </c>
      <c r="B58" s="1" t="s">
        <v>0</v>
      </c>
      <c r="C58" s="1" t="s">
        <v>1</v>
      </c>
      <c r="I58" s="90"/>
    </row>
    <row r="59" spans="1:11" x14ac:dyDescent="0.2">
      <c r="A59" t="s">
        <v>64</v>
      </c>
      <c r="D59" t="s">
        <v>65</v>
      </c>
    </row>
    <row r="60" spans="1:11" x14ac:dyDescent="0.2">
      <c r="A60" t="s">
        <v>66</v>
      </c>
      <c r="B60" s="9">
        <v>180</v>
      </c>
      <c r="C60" s="9">
        <v>120</v>
      </c>
      <c r="D60" s="4">
        <f>B60+C60</f>
        <v>300</v>
      </c>
    </row>
    <row r="61" spans="1:11" x14ac:dyDescent="0.2">
      <c r="A61" s="1" t="s">
        <v>67</v>
      </c>
      <c r="B61" s="14">
        <f ca="1">B55*B60/D60+C55*C60/D60</f>
        <v>1908.8071615905403</v>
      </c>
    </row>
  </sheetData>
  <sheetProtection selectLockedCells="1" selectUnlockedCells="1"/>
  <phoneticPr fontId="6" type="noConversion"/>
  <conditionalFormatting sqref="N32 N35:N41 N25 K16 K11 G26 K7 G16 G9">
    <cfRule type="cellIs" dxfId="12" priority="29" stopIfTrue="1" operator="notEqual">
      <formula>INDIRECT(ADDRESS(ROW(), COLUMN()-1))</formula>
    </cfRule>
  </conditionalFormatting>
  <conditionalFormatting sqref="K35:K41 K22 K17:K19 G53:G56 G36 G6:G8 G14:G15 G17:G19 G50 G10:G11 K8 G39 K4 K12:K13 K25:K32 N35:N41">
    <cfRule type="cellIs" dxfId="11" priority="30" stopIfTrue="1" operator="notEqual">
      <formula>INDIRECT(ADDRESS(ROW(), COLUMN()-1))</formula>
    </cfRule>
  </conditionalFormatting>
  <conditionalFormatting sqref="C36">
    <cfRule type="expression" dxfId="10" priority="31" stopIfTrue="1">
      <formula>AND($C$36=1, $C$38=1)</formula>
    </cfRule>
    <cfRule type="cellIs" dxfId="9" priority="32" stopIfTrue="1" operator="notEqual">
      <formula>B36</formula>
    </cfRule>
  </conditionalFormatting>
  <conditionalFormatting sqref="B34:C34 B36:C36">
    <cfRule type="expression" dxfId="8" priority="38" stopIfTrue="1">
      <formula>AND($B$36=1, $B$38=1)</formula>
    </cfRule>
  </conditionalFormatting>
  <conditionalFormatting sqref="J8">
    <cfRule type="expression" dxfId="7" priority="58" stopIfTrue="1">
      <formula>AND($J$8=1,#REF!= 1)</formula>
    </cfRule>
  </conditionalFormatting>
  <dataValidations count="49">
    <dataValidation type="whole" allowBlank="1" showInputMessage="1" showErrorMessage="1" sqref="M27:N27" xr:uid="{00000000-0002-0000-0000-000000000000}">
      <formula1>0</formula1>
      <formula2>4</formula2>
    </dataValidation>
    <dataValidation type="whole" allowBlank="1" showInputMessage="1" showErrorMessage="1" sqref="M26:N26 M28:N28" xr:uid="{00000000-0002-0000-0000-000001000000}">
      <formula1>0</formula1>
      <formula2>8</formula2>
    </dataValidation>
    <dataValidation type="whole" allowBlank="1" showInputMessage="1" showErrorMessage="1" sqref="M32:N32 M25:N25" xr:uid="{00000000-0002-0000-0000-000002000000}">
      <formula1>0</formula1>
      <formula2>5</formula2>
    </dataValidation>
    <dataValidation type="whole" allowBlank="1" showInputMessage="1" showErrorMessage="1" sqref="M31:N31" xr:uid="{00000000-0002-0000-0000-000003000000}">
      <formula1>0</formula1>
      <formula2>9</formula2>
    </dataValidation>
    <dataValidation type="whole" allowBlank="1" showInputMessage="1" showErrorMessage="1" sqref="M29:N29" xr:uid="{00000000-0002-0000-0000-000004000000}">
      <formula1>0</formula1>
      <formula2>25</formula2>
    </dataValidation>
    <dataValidation type="list" allowBlank="1" showInputMessage="1" showErrorMessage="1" sqref="J4:K4 J12:K13 J17:K19 J22:K22 J8:K8 F19:G19 F50:G50 F31 F25:G25 B34:C34" xr:uid="{00000000-0002-0000-0000-000005000000}">
      <formula1>Toggle</formula1>
    </dataValidation>
    <dataValidation type="list" allowBlank="1" showInputMessage="1" showErrorMessage="1" sqref="J44:K48" xr:uid="{00000000-0002-0000-0000-000006000000}">
      <formula1>GeomancyList</formula1>
    </dataValidation>
    <dataValidation type="list" allowBlank="1" showInputMessage="1" showErrorMessage="1" sqref="J51:K51" xr:uid="{00000000-0002-0000-0000-000007000000}">
      <formula1>CirclesList</formula1>
    </dataValidation>
    <dataValidation type="list" allowBlank="1" showInputMessage="1" showErrorMessage="1" sqref="J25:K32" xr:uid="{00000000-0002-0000-0000-000008000000}">
      <formula1>BRDsongslist</formula1>
    </dataValidation>
    <dataValidation type="whole" allowBlank="1" showInputMessage="1" showErrorMessage="1" sqref="B38:C38" xr:uid="{00000000-0002-0000-0000-000009000000}">
      <formula1>2000</formula1>
      <formula2>2999</formula2>
    </dataValidation>
    <dataValidation type="list" allowBlank="1" showInputMessage="1" showErrorMessage="1" sqref="B35:C35" xr:uid="{00000000-0002-0000-0000-00000A000000}">
      <formula1>EmpyreanAM</formula1>
    </dataValidation>
    <dataValidation type="list" allowBlank="1" showInputMessage="1" showErrorMessage="1" sqref="B36:C36" xr:uid="{00000000-0002-0000-0000-00000B000000}">
      <formula1>MythicAM</formula1>
    </dataValidation>
    <dataValidation type="whole" allowBlank="1" showInputMessage="1" showErrorMessage="1" sqref="B37:C37" xr:uid="{00000000-0002-0000-0000-00000C000000}">
      <formula1>1000</formula1>
      <formula2>1999</formula2>
    </dataValidation>
    <dataValidation type="list" allowBlank="1" showInputMessage="1" showErrorMessage="1" sqref="B30:C30" xr:uid="{00000000-0002-0000-0000-00000D000000}">
      <formula1>BreathToWSList</formula1>
    </dataValidation>
    <dataValidation type="whole" allowBlank="1" showInputMessage="1" showErrorMessage="1" sqref="J11:K11 J16:K16 F54:G54 J7:K7" xr:uid="{00000000-0002-0000-0000-00000E000000}">
      <formula1>0</formula1>
      <formula2>500</formula2>
    </dataValidation>
    <dataValidation type="decimal" allowBlank="1" showInputMessage="1" showErrorMessage="1" sqref="N6" xr:uid="{00000000-0002-0000-0000-00000F000000}">
      <formula1>-1</formula1>
      <formula2>1</formula2>
    </dataValidation>
    <dataValidation type="list" allowBlank="1" showErrorMessage="1" sqref="F14:G15 F39:G39 F17:G18 B31:C31 F6:G6 F36:G36 F10:G11" xr:uid="{00000000-0002-0000-0000-000010000000}">
      <formula1>Toggle</formula1>
      <formula2>0</formula2>
    </dataValidation>
    <dataValidation type="list" allowBlank="1" showErrorMessage="1" sqref="N1" xr:uid="{00000000-0002-0000-0000-000011000000}">
      <formula1>MobNames</formula1>
      <formula2>0</formula2>
    </dataValidation>
    <dataValidation type="whole" allowBlank="1" showInputMessage="1" showErrorMessage="1" sqref="F55:G55" xr:uid="{00000000-0002-0000-0000-000012000000}">
      <formula1>1000</formula1>
      <formula2>3000</formula2>
    </dataValidation>
    <dataValidation type="list" allowBlank="1" showErrorMessage="1" sqref="F7:G7" xr:uid="{00000000-0002-0000-0000-000013000000}">
      <formula1>JumpTypes</formula1>
      <formula2>0</formula2>
    </dataValidation>
    <dataValidation type="list" allowBlank="1" showErrorMessage="1" sqref="F8:G8" xr:uid="{00000000-0002-0000-0000-000014000000}">
      <formula1>HighJumpTypes</formula1>
      <formula2>0</formula2>
    </dataValidation>
    <dataValidation type="list" allowBlank="1" showInputMessage="1" showErrorMessage="1" sqref="F27:G29" xr:uid="{00000000-0002-0000-0000-000015000000}">
      <formula1>Atmas</formula1>
    </dataValidation>
    <dataValidation type="list" allowBlank="1" showErrorMessage="1" sqref="B29:C29" xr:uid="{00000000-0002-0000-0000-000016000000}">
      <formula1>Weaponskills</formula1>
      <formula2>0</formula2>
    </dataValidation>
    <dataValidation type="whole" allowBlank="1" showErrorMessage="1" sqref="B15:C16" xr:uid="{00000000-0002-0000-0000-000017000000}">
      <formula1>0</formula1>
      <formula2>5</formula2>
    </dataValidation>
    <dataValidation type="list" allowBlank="1" showErrorMessage="1" sqref="B6" xr:uid="{00000000-0002-0000-0000-000018000000}">
      <formula1>Subjobs</formula1>
      <formula2>0</formula2>
    </dataValidation>
    <dataValidation type="list" allowBlank="1" showErrorMessage="1" sqref="B7" xr:uid="{00000000-0002-0000-0000-000019000000}">
      <formula1>FoodList</formula1>
      <formula2>0</formula2>
    </dataValidation>
    <dataValidation type="list" allowBlank="1" showErrorMessage="1" sqref="B4" xr:uid="{00000000-0002-0000-0000-00001A000000}">
      <formula1>Races</formula1>
      <formula2>0</formula2>
    </dataValidation>
    <dataValidation type="whole" allowBlank="1" showInputMessage="1" showErrorMessage="1" sqref="B11:B13" xr:uid="{00000000-0002-0000-0000-00001B000000}">
      <formula1>0</formula1>
      <formula2>15</formula2>
    </dataValidation>
    <dataValidation type="list" allowBlank="1" showInputMessage="1" showErrorMessage="1" sqref="I4" xr:uid="{00000000-0002-0000-0000-00001C000000}">
      <formula1>Hastes</formula1>
    </dataValidation>
    <dataValidation type="list" allowBlank="1" showInputMessage="1" showErrorMessage="1" sqref="I8" xr:uid="{00000000-0002-0000-0000-00001D000000}">
      <formula1>Boosts</formula1>
    </dataValidation>
    <dataValidation type="whole" allowBlank="1" showInputMessage="1" showErrorMessage="1" sqref="B22:C26" xr:uid="{00000000-0002-0000-0000-00001E000000}">
      <formula1>0</formula1>
      <formula2>20</formula2>
    </dataValidation>
    <dataValidation type="whole" allowBlank="1" showInputMessage="1" showErrorMessage="1" sqref="F42:G42" xr:uid="{00000000-0002-0000-0000-00001F000000}">
      <formula1>0</formula1>
      <formula2>2</formula2>
    </dataValidation>
    <dataValidation type="whole" allowBlank="1" showInputMessage="1" showErrorMessage="1" sqref="F43:G47 G48" xr:uid="{00000000-0002-0000-0000-000020000000}">
      <formula1>0</formula1>
      <formula2>11</formula2>
    </dataValidation>
    <dataValidation type="list" allowBlank="1" showInputMessage="1" showErrorMessage="1" sqref="B8" xr:uid="{00000000-0002-0000-0000-000021000000}">
      <formula1>CheersList</formula1>
    </dataValidation>
    <dataValidation type="whole" allowBlank="1" showInputMessage="1" showErrorMessage="1" sqref="F48" xr:uid="{00000000-0002-0000-0000-000022000000}">
      <formula1>0</formula1>
      <formula2>3</formula2>
    </dataValidation>
    <dataValidation type="list" allowBlank="1" showInputMessage="1" showErrorMessage="1" sqref="M35:N35" xr:uid="{00000000-0002-0000-0000-000023000000}">
      <formula1>CORChaosNumbers</formula1>
    </dataValidation>
    <dataValidation type="list" allowBlank="1" showInputMessage="1" showErrorMessage="1" sqref="M36:N36" xr:uid="{00000000-0002-0000-0000-000024000000}">
      <formula1>CORHuntersNumbers</formula1>
    </dataValidation>
    <dataValidation type="list" allowBlank="1" showInputMessage="1" showErrorMessage="1" sqref="M37:N37" xr:uid="{00000000-0002-0000-0000-000025000000}">
      <formula1>CORFightersNumbers</formula1>
    </dataValidation>
    <dataValidation type="list" allowBlank="1" showInputMessage="1" showErrorMessage="1" sqref="M38:N38" xr:uid="{00000000-0002-0000-0000-000026000000}">
      <formula1>CORRoguesNumbers</formula1>
    </dataValidation>
    <dataValidation type="list" allowBlank="1" showInputMessage="1" showErrorMessage="1" sqref="M39:N39" xr:uid="{00000000-0002-0000-0000-000027000000}">
      <formula1>CORSamuraiNumbers</formula1>
    </dataValidation>
    <dataValidation type="list" allowBlank="1" showInputMessage="1" showErrorMessage="1" sqref="M40:N40" xr:uid="{00000000-0002-0000-0000-000028000000}">
      <formula1>CORTacticiansNumbers</formula1>
    </dataValidation>
    <dataValidation type="list" allowBlank="1" showInputMessage="1" showErrorMessage="1" sqref="M41:N41" xr:uid="{00000000-0002-0000-0000-000029000000}">
      <formula1>CORMisersNumbers</formula1>
    </dataValidation>
    <dataValidation type="list" allowBlank="1" showInputMessage="1" showErrorMessage="1" sqref="J35:K35" xr:uid="{00000000-0002-0000-0000-00002A000000}">
      <formula1>CORChaosList</formula1>
    </dataValidation>
    <dataValidation type="list" allowBlank="1" showInputMessage="1" showErrorMessage="1" sqref="J36:K36" xr:uid="{00000000-0002-0000-0000-00002B000000}">
      <formula1>CORHuntersList</formula1>
    </dataValidation>
    <dataValidation type="list" allowBlank="1" showInputMessage="1" showErrorMessage="1" sqref="J37:K37" xr:uid="{00000000-0002-0000-0000-00002C000000}">
      <formula1>CORFightersList</formula1>
    </dataValidation>
    <dataValidation type="list" allowBlank="1" showInputMessage="1" showErrorMessage="1" sqref="J38:K38" xr:uid="{00000000-0002-0000-0000-00002D000000}">
      <formula1>CORRoguesList</formula1>
    </dataValidation>
    <dataValidation type="list" allowBlank="1" showInputMessage="1" showErrorMessage="1" sqref="J39:K39" xr:uid="{00000000-0002-0000-0000-00002E000000}">
      <formula1>CORSamuraiList</formula1>
    </dataValidation>
    <dataValidation type="list" allowBlank="1" showInputMessage="1" showErrorMessage="1" sqref="J40:K40" xr:uid="{00000000-0002-0000-0000-00002F000000}">
      <formula1>CORTacticiansList</formula1>
    </dataValidation>
    <dataValidation type="list" allowBlank="1" showInputMessage="1" showErrorMessage="1" sqref="J41:K41" xr:uid="{00000000-0002-0000-0000-000030000000}">
      <formula1>CORMisersList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rgb="FFFFFF00"/>
  </sheetPr>
  <dimension ref="A1:BC113"/>
  <sheetViews>
    <sheetView topLeftCell="B1" workbookViewId="0">
      <pane ySplit="1" topLeftCell="A44" activePane="bottomLeft" state="frozen"/>
      <selection pane="bottomLeft" activeCell="B73" sqref="A73:XFD73"/>
    </sheetView>
  </sheetViews>
  <sheetFormatPr defaultRowHeight="12.75" x14ac:dyDescent="0.2"/>
  <cols>
    <col min="1" max="1" width="27.5703125" hidden="1" customWidth="1"/>
    <col min="2" max="2" width="15.85546875" bestFit="1" customWidth="1"/>
    <col min="3" max="3" width="13.5703125" bestFit="1" customWidth="1"/>
    <col min="4" max="4" width="6.42578125" bestFit="1" customWidth="1"/>
    <col min="5" max="13" width="4.7109375" customWidth="1"/>
    <col min="14" max="19" width="5.7109375" customWidth="1"/>
    <col min="20" max="25" width="4.7109375" customWidth="1"/>
    <col min="26" max="28" width="7.7109375" customWidth="1"/>
    <col min="29" max="29" width="5.7109375" style="4" customWidth="1"/>
    <col min="30" max="30" width="7.7109375" customWidth="1"/>
    <col min="32" max="32" width="7.7109375" customWidth="1"/>
    <col min="33" max="33" width="5" style="4" customWidth="1"/>
    <col min="34" max="34" width="5.140625" customWidth="1"/>
    <col min="35" max="35" width="6" customWidth="1"/>
    <col min="36" max="36" width="8.5703125" style="4" customWidth="1"/>
    <col min="38" max="55" width="0" hidden="1" customWidth="1"/>
  </cols>
  <sheetData>
    <row r="1" spans="1:55" s="1" customFormat="1" x14ac:dyDescent="0.2">
      <c r="A1" s="1" t="s">
        <v>1432</v>
      </c>
      <c r="B1" s="1" t="s">
        <v>1389</v>
      </c>
      <c r="C1" s="1" t="s">
        <v>1392</v>
      </c>
      <c r="D1" s="1" t="s">
        <v>233</v>
      </c>
      <c r="E1" s="1" t="s">
        <v>26</v>
      </c>
      <c r="F1" s="1" t="s">
        <v>27</v>
      </c>
      <c r="G1" s="1" t="s">
        <v>23</v>
      </c>
      <c r="H1" s="1" t="s">
        <v>25</v>
      </c>
      <c r="I1" s="1" t="s">
        <v>298</v>
      </c>
      <c r="J1" s="1" t="s">
        <v>299</v>
      </c>
      <c r="K1" s="1" t="s">
        <v>300</v>
      </c>
      <c r="L1" s="1" t="s">
        <v>74</v>
      </c>
      <c r="M1" s="1" t="s">
        <v>73</v>
      </c>
      <c r="N1" s="1" t="s">
        <v>375</v>
      </c>
      <c r="O1" s="1" t="s">
        <v>553</v>
      </c>
      <c r="P1" s="1" t="s">
        <v>554</v>
      </c>
      <c r="Q1" s="1" t="s">
        <v>555</v>
      </c>
      <c r="R1" s="213" t="s">
        <v>556</v>
      </c>
      <c r="S1" s="213" t="s">
        <v>557</v>
      </c>
      <c r="T1" s="1" t="s">
        <v>75</v>
      </c>
      <c r="U1" s="1" t="s">
        <v>76</v>
      </c>
      <c r="V1" s="1" t="s">
        <v>77</v>
      </c>
      <c r="W1" s="1" t="s">
        <v>480</v>
      </c>
      <c r="X1" s="1" t="s">
        <v>80</v>
      </c>
      <c r="Y1" s="1" t="s">
        <v>481</v>
      </c>
      <c r="Z1" s="1" t="s">
        <v>28</v>
      </c>
      <c r="AA1" s="1" t="s">
        <v>78</v>
      </c>
      <c r="AB1" s="1" t="s">
        <v>79</v>
      </c>
      <c r="AC1" s="213" t="s">
        <v>82</v>
      </c>
      <c r="AD1" s="1" t="s">
        <v>81</v>
      </c>
      <c r="AE1" s="1" t="s">
        <v>102</v>
      </c>
      <c r="AF1" s="1" t="s">
        <v>103</v>
      </c>
      <c r="AG1" s="213" t="s">
        <v>440</v>
      </c>
      <c r="AH1" s="1" t="s">
        <v>349</v>
      </c>
      <c r="AI1" s="1" t="s">
        <v>524</v>
      </c>
      <c r="AJ1" s="213" t="s">
        <v>109</v>
      </c>
      <c r="AK1" s="1" t="s">
        <v>72</v>
      </c>
      <c r="AL1" s="1" t="s">
        <v>482</v>
      </c>
      <c r="AM1" s="1" t="s">
        <v>483</v>
      </c>
      <c r="AN1" s="1" t="s">
        <v>484</v>
      </c>
      <c r="AO1" s="1" t="s">
        <v>492</v>
      </c>
      <c r="AP1" s="213" t="s">
        <v>452</v>
      </c>
      <c r="AQ1" s="213" t="s">
        <v>453</v>
      </c>
      <c r="AR1" s="1" t="s">
        <v>244</v>
      </c>
      <c r="AS1" s="1" t="s">
        <v>364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359</v>
      </c>
      <c r="BA1" s="1" t="s">
        <v>437</v>
      </c>
      <c r="BB1" s="1" t="s">
        <v>438</v>
      </c>
      <c r="BC1" s="1" t="s">
        <v>439</v>
      </c>
    </row>
    <row r="4" spans="1:55" s="1" customFormat="1" x14ac:dyDescent="0.2">
      <c r="A4" s="1" t="s">
        <v>1432</v>
      </c>
      <c r="B4" s="1" t="s">
        <v>83</v>
      </c>
      <c r="C4" s="1" t="s">
        <v>1392</v>
      </c>
      <c r="D4" s="1" t="s">
        <v>233</v>
      </c>
      <c r="E4" s="1" t="s">
        <v>26</v>
      </c>
      <c r="F4" s="1" t="s">
        <v>27</v>
      </c>
      <c r="G4" s="1" t="s">
        <v>23</v>
      </c>
      <c r="H4" s="1" t="s">
        <v>25</v>
      </c>
      <c r="I4" s="1" t="s">
        <v>298</v>
      </c>
      <c r="J4" s="1" t="s">
        <v>299</v>
      </c>
      <c r="K4" s="1" t="s">
        <v>300</v>
      </c>
      <c r="L4" s="1" t="s">
        <v>74</v>
      </c>
      <c r="M4" s="1" t="s">
        <v>73</v>
      </c>
      <c r="N4" s="1" t="s">
        <v>375</v>
      </c>
      <c r="O4" s="1" t="s">
        <v>553</v>
      </c>
      <c r="P4" s="1" t="s">
        <v>554</v>
      </c>
      <c r="Q4" s="1" t="s">
        <v>555</v>
      </c>
      <c r="R4" s="213" t="s">
        <v>556</v>
      </c>
      <c r="S4" s="213" t="s">
        <v>557</v>
      </c>
      <c r="T4" s="1" t="s">
        <v>75</v>
      </c>
      <c r="U4" s="1" t="s">
        <v>76</v>
      </c>
      <c r="V4" s="1" t="s">
        <v>77</v>
      </c>
      <c r="W4" s="1" t="s">
        <v>480</v>
      </c>
      <c r="X4" s="1" t="s">
        <v>80</v>
      </c>
      <c r="Y4" s="1" t="s">
        <v>481</v>
      </c>
      <c r="Z4" s="1" t="s">
        <v>28</v>
      </c>
      <c r="AA4" s="1" t="s">
        <v>78</v>
      </c>
      <c r="AB4" s="1" t="s">
        <v>79</v>
      </c>
      <c r="AC4" s="213" t="s">
        <v>82</v>
      </c>
      <c r="AD4" s="1" t="s">
        <v>81</v>
      </c>
      <c r="AE4" s="1" t="s">
        <v>102</v>
      </c>
      <c r="AF4" s="1" t="s">
        <v>103</v>
      </c>
      <c r="AG4" s="213" t="s">
        <v>440</v>
      </c>
      <c r="AH4" s="1" t="s">
        <v>349</v>
      </c>
      <c r="AI4" s="1" t="s">
        <v>524</v>
      </c>
      <c r="AJ4" s="213" t="s">
        <v>109</v>
      </c>
      <c r="AK4" s="1" t="s">
        <v>72</v>
      </c>
      <c r="AL4" s="1" t="s">
        <v>482</v>
      </c>
      <c r="AM4" s="1" t="s">
        <v>483</v>
      </c>
      <c r="AN4" s="1" t="s">
        <v>484</v>
      </c>
      <c r="AO4" s="1" t="s">
        <v>492</v>
      </c>
      <c r="AP4" s="213" t="s">
        <v>452</v>
      </c>
      <c r="AQ4" s="213" t="s">
        <v>453</v>
      </c>
      <c r="AR4" s="1" t="s">
        <v>244</v>
      </c>
      <c r="AS4" s="1" t="s">
        <v>364</v>
      </c>
      <c r="AT4" s="1" t="s">
        <v>353</v>
      </c>
      <c r="AU4" s="1" t="s">
        <v>354</v>
      </c>
      <c r="AV4" s="1" t="s">
        <v>355</v>
      </c>
      <c r="AW4" s="1" t="s">
        <v>356</v>
      </c>
      <c r="AX4" s="1" t="s">
        <v>357</v>
      </c>
      <c r="AY4" s="1" t="s">
        <v>358</v>
      </c>
      <c r="AZ4" s="1" t="s">
        <v>359</v>
      </c>
      <c r="BA4" s="1" t="s">
        <v>437</v>
      </c>
      <c r="BB4" s="1" t="s">
        <v>438</v>
      </c>
      <c r="BC4" s="1" t="s">
        <v>439</v>
      </c>
    </row>
    <row r="5" spans="1:55" x14ac:dyDescent="0.2">
      <c r="A5" t="str">
        <f>CONCATENATE(B5," (",C5,")")</f>
        <v>Olyndicus (DA+DMG)</v>
      </c>
      <c r="B5" t="s">
        <v>1390</v>
      </c>
      <c r="C5" t="s">
        <v>1428</v>
      </c>
      <c r="D5">
        <v>38</v>
      </c>
      <c r="L5">
        <v>20</v>
      </c>
      <c r="M5">
        <v>20</v>
      </c>
      <c r="T5" s="8">
        <v>0.06</v>
      </c>
      <c r="U5" s="8"/>
      <c r="V5" s="8"/>
      <c r="W5" s="8"/>
      <c r="X5" s="8"/>
      <c r="Z5" s="4"/>
      <c r="AA5" s="8"/>
      <c r="AB5" s="8"/>
      <c r="AD5" s="8"/>
      <c r="AE5" s="4"/>
      <c r="AF5" s="8"/>
      <c r="AH5" s="4"/>
      <c r="AI5" s="4"/>
    </row>
    <row r="6" spans="1:55" x14ac:dyDescent="0.2">
      <c r="A6" t="str">
        <f t="shared" ref="A6:A12" si="0">CONCATENATE(B6," (",C6,")")</f>
        <v>Olyndicus (STP+STR/DEX)</v>
      </c>
      <c r="B6" t="s">
        <v>1390</v>
      </c>
      <c r="C6" t="s">
        <v>1429</v>
      </c>
      <c r="E6">
        <v>20</v>
      </c>
      <c r="F6">
        <v>20</v>
      </c>
      <c r="L6">
        <v>20</v>
      </c>
      <c r="M6">
        <v>20</v>
      </c>
      <c r="T6" s="8"/>
      <c r="U6" s="8"/>
      <c r="V6" s="8"/>
      <c r="W6" s="8"/>
      <c r="X6" s="8"/>
      <c r="Z6" s="4"/>
      <c r="AA6" s="8"/>
      <c r="AB6" s="8"/>
      <c r="AC6" s="4">
        <v>8</v>
      </c>
      <c r="AD6" s="8"/>
      <c r="AE6" s="4"/>
      <c r="AF6" s="8"/>
      <c r="AH6" s="4"/>
      <c r="AI6" s="4"/>
    </row>
    <row r="7" spans="1:55" x14ac:dyDescent="0.2">
      <c r="A7" t="str">
        <f t="shared" si="0"/>
        <v>Olyndicus (Custom 1)</v>
      </c>
      <c r="B7" t="s">
        <v>1390</v>
      </c>
      <c r="C7" t="s">
        <v>1393</v>
      </c>
      <c r="T7" s="8"/>
      <c r="U7" s="8"/>
      <c r="V7" s="8"/>
      <c r="W7" s="8"/>
      <c r="X7" s="8"/>
      <c r="Z7" s="4"/>
      <c r="AA7" s="8"/>
      <c r="AB7" s="8"/>
      <c r="AD7" s="8"/>
      <c r="AE7" s="4"/>
      <c r="AF7" s="8"/>
      <c r="AH7" s="4"/>
      <c r="AI7" s="4"/>
    </row>
    <row r="8" spans="1:55" x14ac:dyDescent="0.2">
      <c r="A8" t="str">
        <f t="shared" si="0"/>
        <v>Olyndicus (Custom 2)</v>
      </c>
      <c r="B8" t="s">
        <v>1390</v>
      </c>
      <c r="C8" t="s">
        <v>1394</v>
      </c>
      <c r="T8" s="8"/>
      <c r="U8" s="8"/>
      <c r="V8" s="8"/>
      <c r="W8" s="8"/>
      <c r="X8" s="8"/>
      <c r="Z8" s="4"/>
      <c r="AA8" s="8"/>
      <c r="AB8" s="8"/>
      <c r="AD8" s="8"/>
      <c r="AE8" s="4"/>
      <c r="AF8" s="8"/>
      <c r="AH8" s="4"/>
      <c r="AI8" s="4"/>
    </row>
    <row r="9" spans="1:55" x14ac:dyDescent="0.2">
      <c r="A9" t="str">
        <f t="shared" si="0"/>
        <v>Reienkyo (Custom 1)</v>
      </c>
      <c r="B9" t="s">
        <v>1391</v>
      </c>
      <c r="C9" t="s">
        <v>1393</v>
      </c>
      <c r="T9" s="8"/>
      <c r="U9" s="8"/>
      <c r="V9" s="8"/>
      <c r="W9" s="8"/>
      <c r="X9" s="8"/>
      <c r="Z9" s="4"/>
      <c r="AA9" s="8"/>
      <c r="AB9" s="8"/>
      <c r="AD9" s="8"/>
      <c r="AE9" s="4"/>
      <c r="AF9" s="8"/>
      <c r="AH9" s="4"/>
      <c r="AI9" s="4"/>
    </row>
    <row r="10" spans="1:55" x14ac:dyDescent="0.2">
      <c r="A10" t="str">
        <f t="shared" si="0"/>
        <v>Reienkyo (Custom 2)</v>
      </c>
      <c r="B10" t="s">
        <v>1391</v>
      </c>
      <c r="C10" t="s">
        <v>1394</v>
      </c>
      <c r="T10" s="8"/>
      <c r="U10" s="8"/>
      <c r="V10" s="8"/>
      <c r="W10" s="8"/>
      <c r="X10" s="8"/>
      <c r="Z10" s="4"/>
      <c r="AA10" s="8"/>
      <c r="AD10" s="8"/>
      <c r="AE10" s="4"/>
      <c r="AF10" s="8"/>
      <c r="AH10" s="4"/>
      <c r="AI10" s="4"/>
    </row>
    <row r="11" spans="1:55" x14ac:dyDescent="0.2">
      <c r="A11" t="str">
        <f t="shared" si="0"/>
        <v>Reienkyo (Custom 3)</v>
      </c>
      <c r="B11" t="s">
        <v>1391</v>
      </c>
      <c r="C11" t="s">
        <v>1398</v>
      </c>
      <c r="T11" s="8"/>
      <c r="U11" s="8"/>
      <c r="V11" s="8"/>
      <c r="W11" s="8"/>
      <c r="X11" s="8"/>
      <c r="Z11" s="4"/>
      <c r="AA11" s="8"/>
      <c r="AB11" s="8"/>
      <c r="AD11" s="8"/>
      <c r="AE11" s="4"/>
      <c r="AF11" s="8"/>
      <c r="AH11" s="4"/>
      <c r="AI11" s="4"/>
    </row>
    <row r="12" spans="1:55" x14ac:dyDescent="0.2">
      <c r="A12" t="str">
        <f t="shared" si="0"/>
        <v>Reienkyo (Custom 4)</v>
      </c>
      <c r="B12" t="s">
        <v>1391</v>
      </c>
      <c r="C12" t="s">
        <v>1399</v>
      </c>
      <c r="T12" s="8"/>
      <c r="U12" s="8"/>
      <c r="V12" s="8"/>
      <c r="W12" s="8"/>
      <c r="X12" s="8"/>
      <c r="Z12" s="4"/>
      <c r="AA12" s="8"/>
      <c r="AD12" s="8"/>
      <c r="AE12" s="4"/>
      <c r="AF12" s="8"/>
      <c r="AH12" s="4"/>
      <c r="AI12" s="4"/>
    </row>
    <row r="13" spans="1:55" x14ac:dyDescent="0.2">
      <c r="AE13" s="4"/>
      <c r="AH13" s="4"/>
      <c r="AI13" s="4"/>
    </row>
    <row r="15" spans="1:55" s="1" customFormat="1" x14ac:dyDescent="0.2">
      <c r="A15" s="1" t="s">
        <v>1432</v>
      </c>
      <c r="B15" s="1" t="s">
        <v>88</v>
      </c>
      <c r="C15" s="1" t="s">
        <v>1392</v>
      </c>
      <c r="D15" s="1" t="s">
        <v>233</v>
      </c>
      <c r="E15" s="1" t="s">
        <v>26</v>
      </c>
      <c r="F15" s="1" t="s">
        <v>27</v>
      </c>
      <c r="G15" s="1" t="s">
        <v>23</v>
      </c>
      <c r="H15" s="1" t="s">
        <v>25</v>
      </c>
      <c r="I15" s="1" t="s">
        <v>298</v>
      </c>
      <c r="J15" s="1" t="s">
        <v>299</v>
      </c>
      <c r="K15" s="1" t="s">
        <v>300</v>
      </c>
      <c r="L15" s="1" t="s">
        <v>74</v>
      </c>
      <c r="M15" s="1" t="s">
        <v>73</v>
      </c>
      <c r="N15" s="1" t="s">
        <v>375</v>
      </c>
      <c r="O15" s="1" t="s">
        <v>553</v>
      </c>
      <c r="P15" s="1" t="s">
        <v>554</v>
      </c>
      <c r="Q15" s="1" t="s">
        <v>555</v>
      </c>
      <c r="R15" s="213" t="s">
        <v>556</v>
      </c>
      <c r="S15" s="213" t="s">
        <v>557</v>
      </c>
      <c r="T15" s="1" t="s">
        <v>75</v>
      </c>
      <c r="U15" s="1" t="s">
        <v>76</v>
      </c>
      <c r="V15" s="1" t="s">
        <v>77</v>
      </c>
      <c r="W15" s="1" t="s">
        <v>480</v>
      </c>
      <c r="X15" s="1" t="s">
        <v>80</v>
      </c>
      <c r="Y15" s="1" t="s">
        <v>481</v>
      </c>
      <c r="Z15" s="1" t="s">
        <v>28</v>
      </c>
      <c r="AA15" s="1" t="s">
        <v>78</v>
      </c>
      <c r="AB15" s="1" t="s">
        <v>79</v>
      </c>
      <c r="AC15" s="213" t="s">
        <v>82</v>
      </c>
      <c r="AD15" s="1" t="s">
        <v>81</v>
      </c>
      <c r="AE15" s="1" t="s">
        <v>102</v>
      </c>
      <c r="AF15" s="1" t="s">
        <v>103</v>
      </c>
      <c r="AG15" s="213" t="s">
        <v>440</v>
      </c>
      <c r="AH15" s="1" t="s">
        <v>349</v>
      </c>
      <c r="AI15" s="1" t="s">
        <v>524</v>
      </c>
      <c r="AJ15" s="213" t="s">
        <v>109</v>
      </c>
      <c r="AK15" s="1" t="s">
        <v>72</v>
      </c>
      <c r="AL15" s="1" t="s">
        <v>482</v>
      </c>
      <c r="AM15" s="1" t="s">
        <v>483</v>
      </c>
      <c r="AN15" s="1" t="s">
        <v>484</v>
      </c>
      <c r="AO15" s="1" t="s">
        <v>492</v>
      </c>
      <c r="AP15" s="213" t="s">
        <v>452</v>
      </c>
      <c r="AQ15" s="213" t="s">
        <v>453</v>
      </c>
      <c r="AR15" s="1" t="s">
        <v>244</v>
      </c>
      <c r="AS15" s="1" t="s">
        <v>364</v>
      </c>
      <c r="AT15" s="1" t="s">
        <v>353</v>
      </c>
      <c r="AU15" s="1" t="s">
        <v>354</v>
      </c>
      <c r="AV15" s="1" t="s">
        <v>355</v>
      </c>
      <c r="AW15" s="1" t="s">
        <v>356</v>
      </c>
      <c r="AX15" s="1" t="s">
        <v>357</v>
      </c>
      <c r="AY15" s="1" t="s">
        <v>358</v>
      </c>
      <c r="AZ15" s="1" t="s">
        <v>359</v>
      </c>
      <c r="BA15" s="1" t="s">
        <v>437</v>
      </c>
      <c r="BB15" s="1" t="s">
        <v>438</v>
      </c>
      <c r="BC15" s="1" t="s">
        <v>439</v>
      </c>
    </row>
    <row r="16" spans="1:55" x14ac:dyDescent="0.2">
      <c r="A16" t="str">
        <f t="shared" ref="A16:A29" si="1">CONCATENATE(B16," (",C16,")")</f>
        <v>Acro Helm (DA)</v>
      </c>
      <c r="B16" s="3" t="s">
        <v>1395</v>
      </c>
      <c r="C16" t="s">
        <v>75</v>
      </c>
      <c r="E16">
        <v>7</v>
      </c>
      <c r="F16">
        <v>7</v>
      </c>
      <c r="L16">
        <v>20</v>
      </c>
      <c r="M16">
        <v>20</v>
      </c>
      <c r="S16" s="8"/>
      <c r="T16" s="8">
        <v>0.03</v>
      </c>
      <c r="U16" s="8"/>
      <c r="V16" s="8"/>
      <c r="W16" s="8"/>
      <c r="X16" s="8"/>
      <c r="Y16" s="4"/>
      <c r="Z16" s="11"/>
      <c r="AA16" s="8"/>
      <c r="AB16" s="4"/>
      <c r="AD16" s="11"/>
      <c r="AE16" s="8"/>
      <c r="AF16" s="4"/>
      <c r="AH16" s="8"/>
      <c r="AI16" s="4"/>
      <c r="AJ16"/>
    </row>
    <row r="17" spans="1:55" x14ac:dyDescent="0.2">
      <c r="A17" t="str">
        <f t="shared" si="1"/>
        <v>Acro Helm (STP)</v>
      </c>
      <c r="B17" s="3" t="s">
        <v>1395</v>
      </c>
      <c r="C17" t="s">
        <v>82</v>
      </c>
      <c r="E17">
        <v>7</v>
      </c>
      <c r="F17">
        <v>7</v>
      </c>
      <c r="L17">
        <v>20</v>
      </c>
      <c r="M17">
        <v>20</v>
      </c>
      <c r="S17" s="8"/>
      <c r="T17" s="8"/>
      <c r="U17" s="8"/>
      <c r="V17" s="8"/>
      <c r="W17" s="8"/>
      <c r="X17" s="8"/>
      <c r="Y17" s="4"/>
      <c r="Z17" s="11"/>
      <c r="AA17" s="8"/>
      <c r="AB17" s="4"/>
      <c r="AC17" s="4">
        <v>6</v>
      </c>
      <c r="AD17" s="11"/>
      <c r="AE17" s="8"/>
      <c r="AF17" s="4"/>
      <c r="AH17" s="8"/>
      <c r="AI17" s="4"/>
      <c r="AJ17"/>
    </row>
    <row r="18" spans="1:55" x14ac:dyDescent="0.2">
      <c r="A18" t="str">
        <f t="shared" si="1"/>
        <v>Acro Helm (Custom 1)</v>
      </c>
      <c r="B18" s="3" t="s">
        <v>1395</v>
      </c>
      <c r="C18" t="s">
        <v>1393</v>
      </c>
      <c r="S18" s="8"/>
      <c r="T18" s="8"/>
      <c r="U18" s="8"/>
      <c r="V18" s="8"/>
      <c r="W18" s="8"/>
      <c r="X18" s="8"/>
      <c r="Y18" s="4"/>
      <c r="Z18" s="11"/>
      <c r="AA18" s="8"/>
      <c r="AB18" s="4"/>
      <c r="AD18" s="11"/>
      <c r="AE18" s="8"/>
      <c r="AF18" s="4"/>
      <c r="AH18" s="8"/>
      <c r="AI18" s="4"/>
      <c r="AJ18"/>
    </row>
    <row r="19" spans="1:55" x14ac:dyDescent="0.2">
      <c r="A19" t="str">
        <f t="shared" si="1"/>
        <v>Acro Helm (Custom 2)</v>
      </c>
      <c r="B19" s="3" t="s">
        <v>1395</v>
      </c>
      <c r="C19" t="s">
        <v>1394</v>
      </c>
      <c r="S19" s="8"/>
      <c r="T19" s="8"/>
      <c r="U19" s="8"/>
      <c r="V19" s="8"/>
      <c r="W19" s="8"/>
      <c r="X19" s="8"/>
      <c r="Y19" s="4"/>
      <c r="Z19" s="11"/>
      <c r="AA19" s="8"/>
      <c r="AB19" s="4"/>
      <c r="AC19" s="8"/>
      <c r="AD19" s="11"/>
      <c r="AE19" s="8"/>
      <c r="AF19" s="4"/>
      <c r="AH19" s="8"/>
      <c r="AI19" s="4"/>
      <c r="AJ19"/>
    </row>
    <row r="20" spans="1:55" x14ac:dyDescent="0.2">
      <c r="A20" t="str">
        <f t="shared" si="1"/>
        <v>Taeon Chapeau (TA)</v>
      </c>
      <c r="B20" t="s">
        <v>1396</v>
      </c>
      <c r="C20" t="s">
        <v>76</v>
      </c>
      <c r="E20">
        <v>7</v>
      </c>
      <c r="F20">
        <v>7</v>
      </c>
      <c r="L20">
        <v>20</v>
      </c>
      <c r="M20">
        <v>20</v>
      </c>
      <c r="S20" s="8"/>
      <c r="T20" s="8"/>
      <c r="U20" s="8">
        <v>0.02</v>
      </c>
      <c r="V20" s="8"/>
      <c r="W20" s="8"/>
      <c r="Y20" s="4"/>
      <c r="Z20" s="11"/>
      <c r="AA20" s="8"/>
      <c r="AB20" s="4"/>
      <c r="AC20" s="8"/>
      <c r="AD20" s="11"/>
      <c r="AE20" s="8"/>
      <c r="AF20" s="4"/>
      <c r="AG20" s="8"/>
      <c r="AH20" s="8"/>
      <c r="AI20" s="4"/>
      <c r="AJ20"/>
    </row>
    <row r="21" spans="1:55" x14ac:dyDescent="0.2">
      <c r="A21" t="str">
        <f t="shared" si="1"/>
        <v>Taeon Chapeau (C.Rate)</v>
      </c>
      <c r="B21" t="s">
        <v>1396</v>
      </c>
      <c r="C21" t="s">
        <v>78</v>
      </c>
      <c r="E21">
        <v>7</v>
      </c>
      <c r="F21">
        <v>7</v>
      </c>
      <c r="L21">
        <v>20</v>
      </c>
      <c r="M21">
        <v>20</v>
      </c>
      <c r="S21" s="8"/>
      <c r="T21" s="8"/>
      <c r="U21" s="8"/>
      <c r="V21" s="8"/>
      <c r="W21" s="8"/>
      <c r="Y21" s="4"/>
      <c r="Z21" s="11"/>
      <c r="AA21" s="8">
        <v>0.03</v>
      </c>
      <c r="AB21" s="4"/>
      <c r="AC21" s="8"/>
      <c r="AD21" s="11"/>
      <c r="AE21" s="8"/>
      <c r="AF21" s="4"/>
      <c r="AG21" s="8"/>
      <c r="AH21" s="8"/>
      <c r="AI21" s="4"/>
      <c r="AJ21"/>
    </row>
    <row r="22" spans="1:55" x14ac:dyDescent="0.2">
      <c r="A22" t="str">
        <f t="shared" si="1"/>
        <v>Taeon Chapeau (Custom 1)</v>
      </c>
      <c r="B22" t="s">
        <v>1396</v>
      </c>
      <c r="C22" t="s">
        <v>1393</v>
      </c>
      <c r="S22" s="8"/>
      <c r="T22" s="8"/>
      <c r="U22" s="8"/>
      <c r="V22" s="8"/>
      <c r="W22" s="8"/>
      <c r="Y22" s="4"/>
      <c r="Z22" s="11"/>
      <c r="AA22" s="8"/>
      <c r="AB22" s="4"/>
      <c r="AC22" s="8"/>
      <c r="AD22" s="11"/>
      <c r="AE22" s="8"/>
      <c r="AF22" s="4"/>
      <c r="AG22" s="8"/>
      <c r="AH22" s="8"/>
      <c r="AI22" s="4"/>
      <c r="AJ22"/>
    </row>
    <row r="23" spans="1:55" x14ac:dyDescent="0.2">
      <c r="A23" t="str">
        <f t="shared" si="1"/>
        <v>Taeon Chapeau (Custom 2)</v>
      </c>
      <c r="B23" t="s">
        <v>1396</v>
      </c>
      <c r="C23" t="s">
        <v>1394</v>
      </c>
      <c r="S23" s="8"/>
      <c r="T23" s="8"/>
      <c r="U23" s="8"/>
      <c r="V23" s="8"/>
      <c r="W23" s="8"/>
      <c r="Y23" s="4"/>
      <c r="Z23" s="11"/>
      <c r="AA23" s="8"/>
      <c r="AB23" s="4"/>
      <c r="AC23" s="8"/>
      <c r="AD23" s="11"/>
      <c r="AE23" s="8"/>
      <c r="AF23" s="4"/>
      <c r="AG23" s="8"/>
      <c r="AH23" s="8"/>
      <c r="AI23" s="4"/>
      <c r="AJ23"/>
    </row>
    <row r="24" spans="1:55" x14ac:dyDescent="0.2">
      <c r="A24" t="str">
        <f t="shared" si="1"/>
        <v>Valorous Mask (Custom 1)</v>
      </c>
      <c r="B24" t="s">
        <v>1397</v>
      </c>
      <c r="C24" t="s">
        <v>1393</v>
      </c>
      <c r="S24" s="8"/>
      <c r="T24" s="8"/>
      <c r="U24" s="8"/>
      <c r="V24" s="8"/>
      <c r="W24" s="8"/>
      <c r="Y24" s="4"/>
      <c r="Z24" s="11"/>
      <c r="AA24" s="8"/>
      <c r="AB24" s="4"/>
      <c r="AC24" s="8"/>
      <c r="AD24" s="11"/>
      <c r="AE24" s="8"/>
      <c r="AF24" s="4"/>
      <c r="AG24" s="8"/>
      <c r="AH24" s="8"/>
      <c r="AI24" s="4"/>
      <c r="AJ24"/>
    </row>
    <row r="25" spans="1:55" x14ac:dyDescent="0.2">
      <c r="A25" t="str">
        <f t="shared" si="1"/>
        <v>Valorous Mask (Custom 2)</v>
      </c>
      <c r="B25" t="s">
        <v>1397</v>
      </c>
      <c r="C25" t="s">
        <v>1394</v>
      </c>
      <c r="S25" s="8"/>
      <c r="T25" s="8"/>
      <c r="U25" s="8"/>
      <c r="V25" s="8"/>
      <c r="W25" s="8"/>
      <c r="Y25" s="4"/>
      <c r="Z25" s="11"/>
      <c r="AA25" s="8"/>
      <c r="AB25" s="4"/>
      <c r="AC25" s="8"/>
      <c r="AD25" s="11"/>
      <c r="AE25" s="8"/>
      <c r="AF25" s="4"/>
      <c r="AG25" s="8"/>
      <c r="AH25" s="8"/>
      <c r="AI25" s="4"/>
      <c r="AJ25"/>
    </row>
    <row r="26" spans="1:55" x14ac:dyDescent="0.2">
      <c r="A26" t="str">
        <f t="shared" si="1"/>
        <v>Valorous Mask (Custom 3)</v>
      </c>
      <c r="B26" t="s">
        <v>1397</v>
      </c>
      <c r="C26" t="s">
        <v>1398</v>
      </c>
      <c r="S26" s="8"/>
      <c r="T26" s="8"/>
      <c r="U26" s="8"/>
      <c r="V26" s="8"/>
      <c r="W26" s="8"/>
      <c r="Y26" s="4"/>
      <c r="Z26" s="11"/>
      <c r="AA26" s="8"/>
      <c r="AB26" s="4"/>
      <c r="AC26" s="8"/>
      <c r="AD26" s="11"/>
      <c r="AE26" s="8"/>
      <c r="AF26" s="4"/>
      <c r="AG26" s="8"/>
      <c r="AH26" s="8"/>
      <c r="AI26" s="4"/>
      <c r="AJ26"/>
    </row>
    <row r="27" spans="1:55" x14ac:dyDescent="0.2">
      <c r="A27" t="str">
        <f t="shared" si="1"/>
        <v>Valorous Mask (Custom 4)</v>
      </c>
      <c r="B27" t="s">
        <v>1397</v>
      </c>
      <c r="C27" t="s">
        <v>1399</v>
      </c>
      <c r="S27" s="8"/>
      <c r="T27" s="8"/>
      <c r="U27" s="8"/>
      <c r="V27" s="8"/>
      <c r="W27" s="8"/>
      <c r="Y27" s="4"/>
      <c r="Z27" s="11"/>
      <c r="AA27" s="8"/>
      <c r="AB27" s="4"/>
      <c r="AC27" s="8"/>
      <c r="AD27" s="11"/>
      <c r="AE27" s="8"/>
      <c r="AF27" s="4"/>
      <c r="AG27" s="8"/>
      <c r="AH27" s="8"/>
      <c r="AI27" s="4"/>
      <c r="AJ27"/>
    </row>
    <row r="28" spans="1:55" x14ac:dyDescent="0.2">
      <c r="A28" t="str">
        <f t="shared" si="1"/>
        <v>Valorous Mask (Custom 5)</v>
      </c>
      <c r="B28" t="s">
        <v>1397</v>
      </c>
      <c r="C28" t="s">
        <v>1400</v>
      </c>
      <c r="S28" s="8"/>
      <c r="T28" s="8"/>
      <c r="U28" s="8"/>
      <c r="V28" s="8"/>
      <c r="W28" s="8"/>
      <c r="Y28" s="4"/>
      <c r="Z28" s="11"/>
      <c r="AA28" s="8"/>
      <c r="AB28" s="4"/>
      <c r="AC28" s="8"/>
      <c r="AD28" s="11"/>
      <c r="AE28" s="8"/>
      <c r="AF28" s="4"/>
      <c r="AG28" s="8"/>
      <c r="AH28" s="8"/>
      <c r="AI28" s="4"/>
      <c r="AJ28"/>
    </row>
    <row r="29" spans="1:55" x14ac:dyDescent="0.2">
      <c r="A29" t="str">
        <f t="shared" si="1"/>
        <v>Valorous Mask (Custom 6)</v>
      </c>
      <c r="B29" t="s">
        <v>1397</v>
      </c>
      <c r="C29" t="s">
        <v>1401</v>
      </c>
      <c r="S29" s="8"/>
      <c r="T29" s="8"/>
      <c r="U29" s="8"/>
      <c r="V29" s="8"/>
      <c r="W29" s="8"/>
      <c r="X29" s="8"/>
      <c r="Y29" s="4"/>
      <c r="Z29" s="11"/>
      <c r="AA29" s="8"/>
      <c r="AB29" s="4"/>
      <c r="AC29" s="8"/>
      <c r="AD29" s="11"/>
      <c r="AE29" s="8"/>
      <c r="AF29" s="4"/>
      <c r="AG29" s="8"/>
      <c r="AH29" s="8"/>
      <c r="AI29" s="4"/>
      <c r="AJ29"/>
    </row>
    <row r="30" spans="1:55" x14ac:dyDescent="0.2">
      <c r="AE30" s="4"/>
      <c r="AH30" s="4"/>
      <c r="AI30" s="4"/>
    </row>
    <row r="32" spans="1:55" s="1" customFormat="1" x14ac:dyDescent="0.2">
      <c r="A32" s="1" t="s">
        <v>1432</v>
      </c>
      <c r="B32" s="1" t="s">
        <v>91</v>
      </c>
      <c r="C32" s="1" t="s">
        <v>1392</v>
      </c>
      <c r="D32" s="1" t="s">
        <v>233</v>
      </c>
      <c r="E32" s="1" t="s">
        <v>26</v>
      </c>
      <c r="F32" s="1" t="s">
        <v>27</v>
      </c>
      <c r="G32" s="1" t="s">
        <v>23</v>
      </c>
      <c r="H32" s="1" t="s">
        <v>25</v>
      </c>
      <c r="I32" s="1" t="s">
        <v>298</v>
      </c>
      <c r="J32" s="1" t="s">
        <v>299</v>
      </c>
      <c r="K32" s="1" t="s">
        <v>300</v>
      </c>
      <c r="L32" s="1" t="s">
        <v>74</v>
      </c>
      <c r="M32" s="1" t="s">
        <v>73</v>
      </c>
      <c r="N32" s="1" t="s">
        <v>375</v>
      </c>
      <c r="O32" s="1" t="s">
        <v>553</v>
      </c>
      <c r="P32" s="1" t="s">
        <v>554</v>
      </c>
      <c r="Q32" s="1" t="s">
        <v>555</v>
      </c>
      <c r="R32" s="213" t="s">
        <v>556</v>
      </c>
      <c r="S32" s="213" t="s">
        <v>557</v>
      </c>
      <c r="T32" s="1" t="s">
        <v>75</v>
      </c>
      <c r="U32" s="1" t="s">
        <v>76</v>
      </c>
      <c r="V32" s="1" t="s">
        <v>77</v>
      </c>
      <c r="W32" s="1" t="s">
        <v>480</v>
      </c>
      <c r="X32" s="1" t="s">
        <v>80</v>
      </c>
      <c r="Y32" s="1" t="s">
        <v>481</v>
      </c>
      <c r="Z32" s="1" t="s">
        <v>28</v>
      </c>
      <c r="AA32" s="1" t="s">
        <v>78</v>
      </c>
      <c r="AB32" s="1" t="s">
        <v>79</v>
      </c>
      <c r="AC32" s="213" t="s">
        <v>82</v>
      </c>
      <c r="AD32" s="1" t="s">
        <v>81</v>
      </c>
      <c r="AE32" s="1" t="s">
        <v>102</v>
      </c>
      <c r="AF32" s="1" t="s">
        <v>103</v>
      </c>
      <c r="AG32" s="213" t="s">
        <v>440</v>
      </c>
      <c r="AH32" s="1" t="s">
        <v>349</v>
      </c>
      <c r="AI32" s="1" t="s">
        <v>524</v>
      </c>
      <c r="AJ32" s="213" t="s">
        <v>109</v>
      </c>
      <c r="AK32" s="1" t="s">
        <v>72</v>
      </c>
      <c r="AL32" s="1" t="s">
        <v>482</v>
      </c>
      <c r="AM32" s="1" t="s">
        <v>483</v>
      </c>
      <c r="AN32" s="1" t="s">
        <v>484</v>
      </c>
      <c r="AO32" s="1" t="s">
        <v>492</v>
      </c>
      <c r="AP32" s="213" t="s">
        <v>452</v>
      </c>
      <c r="AQ32" s="213" t="s">
        <v>453</v>
      </c>
      <c r="AR32" s="1" t="s">
        <v>244</v>
      </c>
      <c r="AS32" s="1" t="s">
        <v>364</v>
      </c>
      <c r="AT32" s="1" t="s">
        <v>353</v>
      </c>
      <c r="AU32" s="1" t="s">
        <v>354</v>
      </c>
      <c r="AV32" s="1" t="s">
        <v>355</v>
      </c>
      <c r="AW32" s="1" t="s">
        <v>356</v>
      </c>
      <c r="AX32" s="1" t="s">
        <v>357</v>
      </c>
      <c r="AY32" s="1" t="s">
        <v>358</v>
      </c>
      <c r="AZ32" s="1" t="s">
        <v>359</v>
      </c>
      <c r="BA32" s="1" t="s">
        <v>437</v>
      </c>
      <c r="BB32" s="1" t="s">
        <v>438</v>
      </c>
      <c r="BC32" s="1" t="s">
        <v>439</v>
      </c>
    </row>
    <row r="33" spans="1:46" x14ac:dyDescent="0.2">
      <c r="A33" t="str">
        <f t="shared" ref="A33:A45" si="2">CONCATENATE(B33," (",C33,")")</f>
        <v>Acro Surcoat (DA)</v>
      </c>
      <c r="B33" t="s">
        <v>1402</v>
      </c>
      <c r="C33" t="s">
        <v>75</v>
      </c>
      <c r="E33">
        <v>7</v>
      </c>
      <c r="F33">
        <v>7</v>
      </c>
      <c r="L33">
        <v>20</v>
      </c>
      <c r="M33">
        <v>20</v>
      </c>
      <c r="S33" s="8"/>
      <c r="T33" s="8">
        <v>0.03</v>
      </c>
      <c r="U33" s="8"/>
      <c r="V33" s="8"/>
      <c r="W33" s="8"/>
      <c r="X33" s="8"/>
      <c r="Y33" s="4"/>
      <c r="Z33" s="11"/>
      <c r="AA33" s="8"/>
      <c r="AB33" s="4"/>
      <c r="AD33" s="8"/>
      <c r="AE33" s="8"/>
      <c r="AF33" s="8"/>
      <c r="AH33" s="8"/>
      <c r="AI33" s="8"/>
    </row>
    <row r="34" spans="1:46" x14ac:dyDescent="0.2">
      <c r="A34" t="str">
        <f t="shared" si="2"/>
        <v>Acro Surcoat (STP)</v>
      </c>
      <c r="B34" t="s">
        <v>1402</v>
      </c>
      <c r="C34" t="s">
        <v>82</v>
      </c>
      <c r="E34">
        <v>7</v>
      </c>
      <c r="F34">
        <v>7</v>
      </c>
      <c r="L34">
        <v>20</v>
      </c>
      <c r="M34">
        <v>20</v>
      </c>
      <c r="S34" s="8"/>
      <c r="T34" s="8"/>
      <c r="U34" s="8"/>
      <c r="V34" s="8"/>
      <c r="W34" s="8"/>
      <c r="X34" s="8"/>
      <c r="Y34" s="4"/>
      <c r="Z34" s="11"/>
      <c r="AA34" s="8"/>
      <c r="AB34" s="4"/>
      <c r="AC34" s="4">
        <v>6</v>
      </c>
      <c r="AD34" s="8"/>
      <c r="AE34" s="8"/>
      <c r="AF34" s="8"/>
      <c r="AH34" s="8"/>
      <c r="AI34" s="8"/>
    </row>
    <row r="35" spans="1:46" x14ac:dyDescent="0.2">
      <c r="A35" t="str">
        <f t="shared" si="2"/>
        <v>Acro Surcoat (Custom 1)</v>
      </c>
      <c r="B35" t="s">
        <v>1402</v>
      </c>
      <c r="C35" t="s">
        <v>1393</v>
      </c>
      <c r="S35" s="8"/>
      <c r="T35" s="8"/>
      <c r="U35" s="8"/>
      <c r="V35" s="8"/>
      <c r="W35" s="8"/>
      <c r="X35" s="8"/>
      <c r="Y35" s="4"/>
      <c r="Z35" s="11"/>
      <c r="AA35" s="8"/>
      <c r="AB35" s="4"/>
      <c r="AD35" s="8"/>
      <c r="AE35" s="8"/>
      <c r="AF35" s="8"/>
      <c r="AH35" s="8"/>
      <c r="AI35" s="8"/>
    </row>
    <row r="36" spans="1:46" x14ac:dyDescent="0.2">
      <c r="A36" t="str">
        <f t="shared" si="2"/>
        <v>Acro Surcoat (Custom 2)</v>
      </c>
      <c r="B36" t="s">
        <v>1402</v>
      </c>
      <c r="C36" t="s">
        <v>1394</v>
      </c>
      <c r="S36" s="8"/>
      <c r="T36" s="8"/>
      <c r="U36" s="8"/>
      <c r="V36" s="8"/>
      <c r="W36" s="8"/>
      <c r="X36" s="8"/>
      <c r="Y36" s="4"/>
      <c r="Z36" s="11"/>
      <c r="AA36" s="8"/>
      <c r="AB36" s="4"/>
      <c r="AC36" s="8"/>
      <c r="AD36" s="8"/>
      <c r="AE36" s="8"/>
      <c r="AF36" s="8"/>
      <c r="AH36" s="8"/>
      <c r="AI36" s="8"/>
    </row>
    <row r="37" spans="1:46" x14ac:dyDescent="0.2">
      <c r="A37" t="str">
        <f t="shared" si="2"/>
        <v>Taeon Tabard (TA)</v>
      </c>
      <c r="B37" t="s">
        <v>1403</v>
      </c>
      <c r="C37" t="s">
        <v>76</v>
      </c>
      <c r="E37">
        <v>7</v>
      </c>
      <c r="F37">
        <v>7</v>
      </c>
      <c r="L37">
        <v>20</v>
      </c>
      <c r="M37">
        <v>20</v>
      </c>
      <c r="S37" s="8"/>
      <c r="T37" s="8"/>
      <c r="U37" s="8">
        <v>0.02</v>
      </c>
      <c r="V37" s="8"/>
      <c r="W37" s="8"/>
      <c r="Y37" s="4"/>
      <c r="Z37" s="11"/>
      <c r="AA37" s="8"/>
      <c r="AB37" s="4"/>
      <c r="AC37" s="8"/>
      <c r="AD37" s="8"/>
      <c r="AE37" s="8"/>
      <c r="AF37" s="8"/>
      <c r="AH37" s="8"/>
      <c r="AI37" s="8"/>
    </row>
    <row r="38" spans="1:46" x14ac:dyDescent="0.2">
      <c r="A38" t="str">
        <f t="shared" si="2"/>
        <v>Taeon Tabard (C.Rate)</v>
      </c>
      <c r="B38" t="s">
        <v>1403</v>
      </c>
      <c r="C38" t="s">
        <v>78</v>
      </c>
      <c r="E38">
        <v>7</v>
      </c>
      <c r="F38">
        <v>7</v>
      </c>
      <c r="L38">
        <v>20</v>
      </c>
      <c r="M38">
        <v>20</v>
      </c>
      <c r="S38" s="8"/>
      <c r="T38" s="8"/>
      <c r="U38" s="8"/>
      <c r="V38" s="8"/>
      <c r="W38" s="8"/>
      <c r="Y38" s="4"/>
      <c r="Z38" s="11"/>
      <c r="AA38" s="8">
        <v>0.03</v>
      </c>
      <c r="AB38" s="4"/>
      <c r="AC38" s="8"/>
      <c r="AD38" s="8"/>
      <c r="AE38" s="8"/>
      <c r="AF38" s="8"/>
      <c r="AH38" s="4"/>
      <c r="AI38" s="8"/>
    </row>
    <row r="39" spans="1:46" x14ac:dyDescent="0.2">
      <c r="A39" t="str">
        <f t="shared" si="2"/>
        <v>Taeon Tabard (Custom 1)</v>
      </c>
      <c r="B39" t="s">
        <v>1403</v>
      </c>
      <c r="C39" t="s">
        <v>1393</v>
      </c>
      <c r="S39" s="8"/>
      <c r="T39" s="8"/>
      <c r="U39" s="8"/>
      <c r="V39" s="8"/>
      <c r="W39" s="8"/>
      <c r="Y39" s="4"/>
      <c r="Z39" s="11"/>
      <c r="AA39" s="8"/>
      <c r="AB39" s="4"/>
      <c r="AC39" s="8"/>
      <c r="AD39" s="8"/>
      <c r="AE39" s="8"/>
      <c r="AF39" s="8"/>
      <c r="AH39" s="8"/>
      <c r="AI39" s="8"/>
    </row>
    <row r="40" spans="1:46" x14ac:dyDescent="0.2">
      <c r="A40" t="str">
        <f t="shared" si="2"/>
        <v>Taeon Tabard (Custom 2)</v>
      </c>
      <c r="B40" t="s">
        <v>1403</v>
      </c>
      <c r="C40" t="s">
        <v>1394</v>
      </c>
      <c r="S40" s="8"/>
      <c r="T40" s="8"/>
      <c r="U40" s="8"/>
      <c r="V40" s="8"/>
      <c r="W40" s="8"/>
      <c r="Y40" s="4"/>
      <c r="Z40" s="11"/>
      <c r="AA40" s="8"/>
      <c r="AB40" s="4"/>
      <c r="AC40" s="8"/>
      <c r="AD40" s="8"/>
      <c r="AE40" s="8"/>
      <c r="AF40" s="8"/>
      <c r="AH40" s="4"/>
      <c r="AI40" s="8"/>
    </row>
    <row r="41" spans="1:46" x14ac:dyDescent="0.2">
      <c r="A41" t="str">
        <f t="shared" si="2"/>
        <v>Valorous Mail (Custom 1)</v>
      </c>
      <c r="B41" t="s">
        <v>1404</v>
      </c>
      <c r="C41" t="s">
        <v>1393</v>
      </c>
      <c r="T41" s="8"/>
      <c r="U41" s="8"/>
      <c r="V41" s="8"/>
      <c r="W41" s="8"/>
      <c r="X41" s="8"/>
      <c r="Y41" s="8"/>
      <c r="Z41" s="4"/>
      <c r="AA41" s="8"/>
      <c r="AB41" s="8"/>
      <c r="AD41" s="8"/>
      <c r="AE41" s="8"/>
      <c r="AF41" s="8"/>
      <c r="AH41" s="4"/>
      <c r="AI41" s="8"/>
    </row>
    <row r="42" spans="1:46" x14ac:dyDescent="0.2">
      <c r="A42" t="str">
        <f t="shared" si="2"/>
        <v>Valorous Mail (Custom 2)</v>
      </c>
      <c r="B42" t="s">
        <v>1404</v>
      </c>
      <c r="C42" t="s">
        <v>1394</v>
      </c>
      <c r="T42" s="8"/>
      <c r="U42" s="8"/>
      <c r="V42" s="8"/>
      <c r="W42" s="8"/>
      <c r="X42" s="8"/>
      <c r="Y42" s="8"/>
      <c r="Z42" s="4"/>
      <c r="AA42" s="8"/>
      <c r="AB42" s="8"/>
      <c r="AD42" s="8"/>
      <c r="AE42" s="8"/>
      <c r="AF42" s="8"/>
      <c r="AH42" s="4"/>
      <c r="AI42" s="8"/>
    </row>
    <row r="43" spans="1:46" x14ac:dyDescent="0.2">
      <c r="A43" t="str">
        <f t="shared" si="2"/>
        <v>Valorous Mail (Custom 3)</v>
      </c>
      <c r="B43" t="s">
        <v>1404</v>
      </c>
      <c r="C43" t="s">
        <v>1398</v>
      </c>
      <c r="T43" s="8"/>
      <c r="U43" s="8"/>
      <c r="V43" s="8"/>
      <c r="W43" s="8"/>
      <c r="X43" s="8"/>
      <c r="Z43" s="4"/>
      <c r="AA43" s="8"/>
      <c r="AB43" s="8"/>
      <c r="AD43" s="8"/>
      <c r="AE43" s="8"/>
      <c r="AF43" s="8"/>
      <c r="AH43" s="8"/>
      <c r="AI43" s="8"/>
    </row>
    <row r="44" spans="1:46" s="4" customFormat="1" x14ac:dyDescent="0.2">
      <c r="A44" t="str">
        <f t="shared" si="2"/>
        <v>Valorous Mail (Custom 4)</v>
      </c>
      <c r="B44" t="s">
        <v>1404</v>
      </c>
      <c r="C44" t="s">
        <v>1399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8"/>
      <c r="U44" s="8"/>
      <c r="V44" s="8"/>
      <c r="W44" s="8"/>
      <c r="X44" s="8"/>
      <c r="Y44"/>
      <c r="AA44" s="8"/>
      <c r="AB44" s="8"/>
      <c r="AD44" s="8"/>
      <c r="AE44" s="8"/>
      <c r="AF44" s="8"/>
      <c r="AH44" s="8"/>
      <c r="AI44" s="8"/>
      <c r="AK44"/>
      <c r="AL44"/>
      <c r="AM44"/>
      <c r="AN44"/>
      <c r="AO44"/>
      <c r="AP44"/>
      <c r="AQ44"/>
      <c r="AR44"/>
      <c r="AS44"/>
      <c r="AT44"/>
    </row>
    <row r="45" spans="1:46" s="4" customFormat="1" x14ac:dyDescent="0.2">
      <c r="A45" t="str">
        <f t="shared" si="2"/>
        <v>Valorous Mail (Custom 5)</v>
      </c>
      <c r="B45" t="s">
        <v>1404</v>
      </c>
      <c r="C45" t="s">
        <v>1400</v>
      </c>
      <c r="D45"/>
      <c r="E45"/>
      <c r="F45"/>
      <c r="G45"/>
      <c r="H45"/>
      <c r="I45"/>
      <c r="J45"/>
      <c r="K45"/>
      <c r="L45"/>
      <c r="M45"/>
      <c r="N45" s="8"/>
      <c r="O45" s="8"/>
      <c r="P45" s="8"/>
      <c r="Q45" s="11"/>
      <c r="R45" s="11"/>
      <c r="S45" s="8"/>
      <c r="T45" s="8"/>
      <c r="U45" s="8"/>
      <c r="V45" s="8"/>
      <c r="W45" s="8"/>
      <c r="X45" s="8"/>
      <c r="Y45"/>
      <c r="AA45" s="8"/>
      <c r="AB45" s="8"/>
      <c r="AD45" s="8"/>
      <c r="AE45" s="8"/>
      <c r="AF45" s="8"/>
      <c r="AH45" s="8"/>
      <c r="AI45" s="8"/>
      <c r="AK45"/>
      <c r="AL45"/>
      <c r="AM45"/>
      <c r="AN45"/>
      <c r="AO45"/>
      <c r="AP45"/>
      <c r="AQ45"/>
      <c r="AR45"/>
      <c r="AS45"/>
      <c r="AT45"/>
    </row>
    <row r="46" spans="1:46" s="4" customFormat="1" x14ac:dyDescent="0.2">
      <c r="A46" t="str">
        <f t="shared" ref="A46" si="3">CONCATENATE(B46," (",C46,")")</f>
        <v>Valorous Mail (Custom 6)</v>
      </c>
      <c r="B46" t="s">
        <v>1404</v>
      </c>
      <c r="C46" t="s">
        <v>1401</v>
      </c>
      <c r="D46"/>
      <c r="E46"/>
      <c r="F46"/>
      <c r="G46"/>
      <c r="H46"/>
      <c r="I46"/>
      <c r="J46"/>
      <c r="K46"/>
      <c r="L46"/>
      <c r="M46"/>
      <c r="N46" s="8"/>
      <c r="O46" s="8"/>
      <c r="P46" s="8"/>
      <c r="Q46" s="11"/>
      <c r="R46" s="11"/>
      <c r="S46" s="8"/>
      <c r="T46" s="8"/>
      <c r="U46" s="8"/>
      <c r="V46" s="8"/>
      <c r="W46" s="8"/>
      <c r="X46" s="8"/>
      <c r="Y46"/>
      <c r="AA46" s="8"/>
      <c r="AB46" s="8"/>
      <c r="AD46" s="8"/>
      <c r="AE46" s="8"/>
      <c r="AF46" s="8"/>
      <c r="AH46" s="8"/>
      <c r="AI46" s="8"/>
      <c r="AK46"/>
      <c r="AL46"/>
      <c r="AM46"/>
      <c r="AN46"/>
      <c r="AO46"/>
      <c r="AP46"/>
      <c r="AQ46"/>
      <c r="AR46"/>
      <c r="AS46"/>
      <c r="AT46"/>
    </row>
    <row r="49" spans="1:55" s="1" customFormat="1" x14ac:dyDescent="0.2">
      <c r="A49" s="1" t="s">
        <v>1432</v>
      </c>
      <c r="B49" s="1" t="s">
        <v>92</v>
      </c>
      <c r="C49" s="1" t="s">
        <v>1392</v>
      </c>
      <c r="D49" s="1" t="s">
        <v>233</v>
      </c>
      <c r="E49" s="1" t="s">
        <v>26</v>
      </c>
      <c r="F49" s="1" t="s">
        <v>27</v>
      </c>
      <c r="G49" s="1" t="s">
        <v>23</v>
      </c>
      <c r="H49" s="1" t="s">
        <v>25</v>
      </c>
      <c r="I49" s="1" t="s">
        <v>298</v>
      </c>
      <c r="J49" s="1" t="s">
        <v>299</v>
      </c>
      <c r="K49" s="1" t="s">
        <v>300</v>
      </c>
      <c r="L49" s="1" t="s">
        <v>74</v>
      </c>
      <c r="M49" s="1" t="s">
        <v>73</v>
      </c>
      <c r="N49" s="1" t="s">
        <v>375</v>
      </c>
      <c r="O49" s="1" t="s">
        <v>553</v>
      </c>
      <c r="P49" s="1" t="s">
        <v>554</v>
      </c>
      <c r="Q49" s="1" t="s">
        <v>555</v>
      </c>
      <c r="R49" s="213" t="s">
        <v>556</v>
      </c>
      <c r="S49" s="213" t="s">
        <v>557</v>
      </c>
      <c r="T49" s="1" t="s">
        <v>75</v>
      </c>
      <c r="U49" s="1" t="s">
        <v>76</v>
      </c>
      <c r="V49" s="1" t="s">
        <v>77</v>
      </c>
      <c r="W49" s="1" t="s">
        <v>480</v>
      </c>
      <c r="X49" s="1" t="s">
        <v>80</v>
      </c>
      <c r="Y49" s="1" t="s">
        <v>481</v>
      </c>
      <c r="Z49" s="1" t="s">
        <v>28</v>
      </c>
      <c r="AA49" s="1" t="s">
        <v>78</v>
      </c>
      <c r="AB49" s="1" t="s">
        <v>79</v>
      </c>
      <c r="AC49" s="213" t="s">
        <v>82</v>
      </c>
      <c r="AD49" s="1" t="s">
        <v>81</v>
      </c>
      <c r="AE49" s="1" t="s">
        <v>102</v>
      </c>
      <c r="AF49" s="1" t="s">
        <v>103</v>
      </c>
      <c r="AG49" s="213" t="s">
        <v>440</v>
      </c>
      <c r="AH49" s="1" t="s">
        <v>349</v>
      </c>
      <c r="AI49" s="1" t="s">
        <v>524</v>
      </c>
      <c r="AJ49" s="213" t="s">
        <v>109</v>
      </c>
      <c r="AK49" s="1" t="s">
        <v>72</v>
      </c>
      <c r="AL49" s="1" t="s">
        <v>482</v>
      </c>
      <c r="AM49" s="1" t="s">
        <v>483</v>
      </c>
      <c r="AN49" s="1" t="s">
        <v>484</v>
      </c>
      <c r="AO49" s="1" t="s">
        <v>492</v>
      </c>
      <c r="AP49" s="213" t="s">
        <v>452</v>
      </c>
      <c r="AQ49" s="213" t="s">
        <v>453</v>
      </c>
      <c r="AR49" s="1" t="s">
        <v>244</v>
      </c>
      <c r="AS49" s="1" t="s">
        <v>364</v>
      </c>
      <c r="AT49" s="1" t="s">
        <v>353</v>
      </c>
      <c r="AU49" s="1" t="s">
        <v>354</v>
      </c>
      <c r="AV49" s="1" t="s">
        <v>355</v>
      </c>
      <c r="AW49" s="1" t="s">
        <v>356</v>
      </c>
      <c r="AX49" s="1" t="s">
        <v>357</v>
      </c>
      <c r="AY49" s="1" t="s">
        <v>358</v>
      </c>
      <c r="AZ49" s="1" t="s">
        <v>359</v>
      </c>
      <c r="BA49" s="1" t="s">
        <v>437</v>
      </c>
      <c r="BB49" s="1" t="s">
        <v>438</v>
      </c>
      <c r="BC49" s="1" t="s">
        <v>439</v>
      </c>
    </row>
    <row r="50" spans="1:55" x14ac:dyDescent="0.2">
      <c r="A50" t="str">
        <f t="shared" ref="A50:A62" si="4">CONCATENATE(B50," (",C50,")")</f>
        <v>Acro Gauntlets (DA)</v>
      </c>
      <c r="B50" t="s">
        <v>1405</v>
      </c>
      <c r="C50" t="s">
        <v>75</v>
      </c>
      <c r="E50">
        <v>7</v>
      </c>
      <c r="F50">
        <v>7</v>
      </c>
      <c r="L50">
        <v>20</v>
      </c>
      <c r="M50">
        <v>20</v>
      </c>
      <c r="S50" s="8"/>
      <c r="T50" s="8">
        <v>0.03</v>
      </c>
      <c r="U50" s="8"/>
      <c r="V50" s="8"/>
      <c r="W50" s="8"/>
      <c r="X50" s="8"/>
      <c r="Y50" s="4"/>
      <c r="Z50" s="11"/>
      <c r="AA50" s="8"/>
      <c r="AB50" s="4"/>
      <c r="AD50" s="8"/>
      <c r="AE50" s="8"/>
      <c r="AF50" s="8"/>
      <c r="AH50" s="8"/>
      <c r="AI50" s="8"/>
    </row>
    <row r="51" spans="1:55" x14ac:dyDescent="0.2">
      <c r="A51" t="str">
        <f t="shared" si="4"/>
        <v>Acro Gauntlets (STP)</v>
      </c>
      <c r="B51" t="s">
        <v>1405</v>
      </c>
      <c r="C51" t="s">
        <v>82</v>
      </c>
      <c r="E51">
        <v>7</v>
      </c>
      <c r="F51">
        <v>7</v>
      </c>
      <c r="L51">
        <v>20</v>
      </c>
      <c r="M51">
        <v>20</v>
      </c>
      <c r="S51" s="8"/>
      <c r="T51" s="8"/>
      <c r="U51" s="8"/>
      <c r="V51" s="8"/>
      <c r="W51" s="8"/>
      <c r="X51" s="8"/>
      <c r="Y51" s="4"/>
      <c r="Z51" s="11"/>
      <c r="AA51" s="8"/>
      <c r="AB51" s="4"/>
      <c r="AC51" s="4">
        <v>6</v>
      </c>
      <c r="AD51" s="8"/>
      <c r="AE51" s="8"/>
      <c r="AF51" s="8"/>
      <c r="AH51" s="8"/>
      <c r="AI51" s="8"/>
    </row>
    <row r="52" spans="1:55" x14ac:dyDescent="0.2">
      <c r="A52" t="str">
        <f t="shared" si="4"/>
        <v>Acro Gauntlets (Custom 1)</v>
      </c>
      <c r="B52" t="s">
        <v>1405</v>
      </c>
      <c r="C52" t="s">
        <v>1393</v>
      </c>
      <c r="S52" s="8"/>
      <c r="T52" s="8"/>
      <c r="U52" s="8"/>
      <c r="V52" s="8"/>
      <c r="W52" s="8"/>
      <c r="X52" s="8"/>
      <c r="Y52" s="4"/>
      <c r="Z52" s="11"/>
      <c r="AA52" s="8"/>
      <c r="AB52" s="4"/>
      <c r="AD52" s="8"/>
      <c r="AE52" s="8"/>
      <c r="AF52" s="8"/>
      <c r="AH52" s="8"/>
      <c r="AI52" s="8"/>
    </row>
    <row r="53" spans="1:55" x14ac:dyDescent="0.2">
      <c r="A53" t="str">
        <f t="shared" si="4"/>
        <v>Acro Gauntlets (Custom 2)</v>
      </c>
      <c r="B53" t="s">
        <v>1405</v>
      </c>
      <c r="C53" t="s">
        <v>1394</v>
      </c>
      <c r="S53" s="8"/>
      <c r="T53" s="8"/>
      <c r="U53" s="8"/>
      <c r="V53" s="8"/>
      <c r="W53" s="8"/>
      <c r="X53" s="8"/>
      <c r="Y53" s="4"/>
      <c r="Z53" s="11"/>
      <c r="AA53" s="8"/>
      <c r="AB53" s="4"/>
      <c r="AC53" s="8"/>
      <c r="AD53" s="8"/>
      <c r="AE53" s="8"/>
      <c r="AF53" s="8"/>
      <c r="AH53" s="8"/>
      <c r="AI53" s="8"/>
    </row>
    <row r="54" spans="1:55" s="144" customFormat="1" x14ac:dyDescent="0.2">
      <c r="A54" t="str">
        <f t="shared" si="4"/>
        <v>Taeon Gloves (TA)</v>
      </c>
      <c r="B54" s="3" t="s">
        <v>1406</v>
      </c>
      <c r="C54" t="s">
        <v>76</v>
      </c>
      <c r="D54"/>
      <c r="E54">
        <v>7</v>
      </c>
      <c r="F54">
        <v>7</v>
      </c>
      <c r="G54"/>
      <c r="H54"/>
      <c r="I54"/>
      <c r="J54"/>
      <c r="K54"/>
      <c r="L54">
        <v>20</v>
      </c>
      <c r="M54">
        <v>20</v>
      </c>
      <c r="N54"/>
      <c r="O54"/>
      <c r="P54"/>
      <c r="Q54"/>
      <c r="R54"/>
      <c r="S54" s="8"/>
      <c r="T54" s="8"/>
      <c r="U54" s="8">
        <v>0.02</v>
      </c>
      <c r="V54" s="8"/>
      <c r="W54" s="8"/>
      <c r="X54"/>
      <c r="Y54" s="4"/>
      <c r="Z54" s="11"/>
      <c r="AA54" s="8"/>
      <c r="AB54" s="4"/>
      <c r="AC54" s="8"/>
      <c r="AD54" s="178"/>
      <c r="AE54" s="177"/>
      <c r="AF54" s="177"/>
      <c r="AG54" s="178"/>
      <c r="AH54" s="178"/>
    </row>
    <row r="55" spans="1:55" x14ac:dyDescent="0.2">
      <c r="A55" t="str">
        <f t="shared" si="4"/>
        <v>Taeon Gloves (C.Rate)</v>
      </c>
      <c r="B55" s="3" t="s">
        <v>1406</v>
      </c>
      <c r="C55" t="s">
        <v>78</v>
      </c>
      <c r="E55">
        <v>7</v>
      </c>
      <c r="F55">
        <v>7</v>
      </c>
      <c r="L55">
        <v>20</v>
      </c>
      <c r="M55">
        <v>20</v>
      </c>
      <c r="S55" s="8"/>
      <c r="T55" s="8"/>
      <c r="U55" s="8"/>
      <c r="V55" s="8"/>
      <c r="W55" s="8"/>
      <c r="Y55" s="4"/>
      <c r="Z55" s="11"/>
      <c r="AA55" s="8">
        <v>0.03</v>
      </c>
      <c r="AB55" s="4"/>
      <c r="AC55" s="8"/>
      <c r="AD55" s="8"/>
      <c r="AE55" s="8"/>
      <c r="AF55" s="8"/>
      <c r="AH55" s="8"/>
      <c r="AI55" s="8"/>
    </row>
    <row r="56" spans="1:55" s="144" customFormat="1" x14ac:dyDescent="0.2">
      <c r="A56" t="str">
        <f t="shared" si="4"/>
        <v>Taeon Gloves (Custom 1)</v>
      </c>
      <c r="B56" s="3" t="s">
        <v>1406</v>
      </c>
      <c r="C56" t="s">
        <v>1393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8"/>
      <c r="T56" s="8"/>
      <c r="U56" s="8"/>
      <c r="V56" s="8"/>
      <c r="W56" s="8"/>
      <c r="X56"/>
      <c r="Y56" s="4"/>
      <c r="Z56" s="11"/>
      <c r="AA56" s="8"/>
      <c r="AB56" s="4"/>
      <c r="AC56" s="8"/>
      <c r="AD56" s="178"/>
      <c r="AE56" s="177"/>
      <c r="AF56" s="177"/>
      <c r="AG56" s="178"/>
      <c r="AH56" s="178"/>
    </row>
    <row r="57" spans="1:55" x14ac:dyDescent="0.2">
      <c r="A57" t="str">
        <f t="shared" si="4"/>
        <v>Taeon Gloves (Custom 2)</v>
      </c>
      <c r="B57" s="3" t="s">
        <v>1406</v>
      </c>
      <c r="C57" t="s">
        <v>1394</v>
      </c>
      <c r="S57" s="8"/>
      <c r="T57" s="8"/>
      <c r="U57" s="8"/>
      <c r="V57" s="8"/>
      <c r="W57" s="8"/>
      <c r="Y57" s="4"/>
      <c r="Z57" s="11"/>
      <c r="AA57" s="8"/>
      <c r="AB57" s="4"/>
      <c r="AC57" s="8"/>
      <c r="AD57" s="8"/>
      <c r="AE57" s="8"/>
      <c r="AF57" s="8"/>
      <c r="AH57" s="8"/>
      <c r="AI57" s="8"/>
    </row>
    <row r="58" spans="1:55" x14ac:dyDescent="0.2">
      <c r="A58" t="str">
        <f t="shared" si="4"/>
        <v>Valorous Mitts (Custom 1)</v>
      </c>
      <c r="B58" s="3" t="s">
        <v>1407</v>
      </c>
      <c r="C58" t="s">
        <v>1393</v>
      </c>
      <c r="T58" s="8"/>
      <c r="U58" s="8"/>
      <c r="V58" s="8"/>
      <c r="W58" s="8"/>
      <c r="X58" s="8"/>
      <c r="Y58" s="8"/>
      <c r="Z58" s="4"/>
      <c r="AA58" s="8"/>
      <c r="AB58" s="8"/>
      <c r="AC58"/>
      <c r="AD58" s="8"/>
      <c r="AE58" s="8"/>
      <c r="AF58" s="8"/>
      <c r="AH58" s="4"/>
      <c r="AI58" s="8"/>
    </row>
    <row r="59" spans="1:55" x14ac:dyDescent="0.2">
      <c r="A59" t="str">
        <f t="shared" si="4"/>
        <v>Valorous Mitts (Custom 2)</v>
      </c>
      <c r="B59" s="3" t="s">
        <v>1407</v>
      </c>
      <c r="C59" t="s">
        <v>1394</v>
      </c>
      <c r="T59" s="8"/>
      <c r="U59" s="8"/>
      <c r="V59" s="8"/>
      <c r="W59" s="8"/>
      <c r="X59" s="8"/>
      <c r="Z59" s="4"/>
      <c r="AA59" s="8"/>
      <c r="AB59" s="8"/>
      <c r="AD59" s="8"/>
      <c r="AE59" s="8"/>
      <c r="AF59" s="8"/>
      <c r="AH59" s="8"/>
      <c r="AI59" s="8"/>
    </row>
    <row r="60" spans="1:55" x14ac:dyDescent="0.2">
      <c r="A60" t="str">
        <f t="shared" si="4"/>
        <v>Valorous Mitts (Custom 3)</v>
      </c>
      <c r="B60" s="3" t="s">
        <v>1407</v>
      </c>
      <c r="C60" t="s">
        <v>1398</v>
      </c>
      <c r="T60" s="8"/>
      <c r="U60" s="8"/>
      <c r="V60" s="8"/>
      <c r="W60" s="8"/>
      <c r="X60" s="8"/>
      <c r="Z60" s="4"/>
      <c r="AA60" s="8"/>
      <c r="AB60" s="8"/>
      <c r="AD60" s="8"/>
      <c r="AE60" s="8"/>
      <c r="AF60" s="8"/>
      <c r="AH60" s="8"/>
      <c r="AI60" s="8"/>
    </row>
    <row r="61" spans="1:55" x14ac:dyDescent="0.2">
      <c r="A61" t="str">
        <f t="shared" si="4"/>
        <v>Valorous Mitts (Custom 4)</v>
      </c>
      <c r="B61" s="3" t="s">
        <v>1407</v>
      </c>
      <c r="C61" t="s">
        <v>1399</v>
      </c>
      <c r="T61" s="8"/>
      <c r="U61" s="8"/>
      <c r="V61" s="8"/>
      <c r="W61" s="8"/>
      <c r="X61" s="8"/>
      <c r="Z61" s="4"/>
      <c r="AA61" s="8"/>
      <c r="AB61" s="8"/>
      <c r="AD61" s="8"/>
      <c r="AE61" s="8"/>
      <c r="AF61" s="8"/>
      <c r="AH61" s="8"/>
      <c r="AI61" s="8"/>
    </row>
    <row r="62" spans="1:55" x14ac:dyDescent="0.2">
      <c r="A62" t="str">
        <f t="shared" si="4"/>
        <v>Valorous Mitts (Custom 5)</v>
      </c>
      <c r="B62" s="3" t="s">
        <v>1407</v>
      </c>
      <c r="C62" t="s">
        <v>1400</v>
      </c>
      <c r="T62" s="8"/>
      <c r="U62" s="8"/>
      <c r="V62" s="8"/>
      <c r="W62" s="8"/>
      <c r="X62" s="8"/>
      <c r="Z62" s="4"/>
      <c r="AA62" s="8"/>
      <c r="AB62" s="8"/>
      <c r="AD62" s="8"/>
      <c r="AE62" s="8"/>
      <c r="AF62" s="8"/>
      <c r="AH62" s="8"/>
      <c r="AI62" s="8"/>
    </row>
    <row r="63" spans="1:55" x14ac:dyDescent="0.2">
      <c r="A63" t="str">
        <f t="shared" ref="A63" si="5">CONCATENATE(B63," (",C63,")")</f>
        <v>Valorous Mitts (Custom 6)</v>
      </c>
      <c r="B63" s="3" t="s">
        <v>1407</v>
      </c>
      <c r="C63" t="s">
        <v>1401</v>
      </c>
      <c r="T63" s="8"/>
      <c r="U63" s="8"/>
      <c r="V63" s="8"/>
      <c r="W63" s="8"/>
      <c r="X63" s="8"/>
      <c r="Z63" s="4"/>
      <c r="AA63" s="8"/>
      <c r="AB63" s="8"/>
      <c r="AD63" s="8"/>
      <c r="AE63" s="8"/>
      <c r="AF63" s="8"/>
      <c r="AH63" s="8"/>
      <c r="AI63" s="8"/>
    </row>
    <row r="66" spans="1:55" s="1" customFormat="1" x14ac:dyDescent="0.2">
      <c r="A66" s="1" t="s">
        <v>1432</v>
      </c>
      <c r="B66" s="1" t="s">
        <v>94</v>
      </c>
      <c r="C66" s="1" t="s">
        <v>1392</v>
      </c>
      <c r="D66" s="1" t="s">
        <v>233</v>
      </c>
      <c r="E66" s="1" t="s">
        <v>26</v>
      </c>
      <c r="F66" s="1" t="s">
        <v>27</v>
      </c>
      <c r="G66" s="1" t="s">
        <v>23</v>
      </c>
      <c r="H66" s="1" t="s">
        <v>25</v>
      </c>
      <c r="I66" s="1" t="s">
        <v>298</v>
      </c>
      <c r="J66" s="1" t="s">
        <v>299</v>
      </c>
      <c r="K66" s="1" t="s">
        <v>300</v>
      </c>
      <c r="L66" s="1" t="s">
        <v>74</v>
      </c>
      <c r="M66" s="1" t="s">
        <v>73</v>
      </c>
      <c r="N66" s="1" t="s">
        <v>375</v>
      </c>
      <c r="O66" s="1" t="s">
        <v>553</v>
      </c>
      <c r="P66" s="1" t="s">
        <v>554</v>
      </c>
      <c r="Q66" s="1" t="s">
        <v>555</v>
      </c>
      <c r="R66" s="213" t="s">
        <v>556</v>
      </c>
      <c r="S66" s="213" t="s">
        <v>557</v>
      </c>
      <c r="T66" s="1" t="s">
        <v>75</v>
      </c>
      <c r="U66" s="1" t="s">
        <v>76</v>
      </c>
      <c r="V66" s="1" t="s">
        <v>77</v>
      </c>
      <c r="W66" s="1" t="s">
        <v>480</v>
      </c>
      <c r="X66" s="1" t="s">
        <v>80</v>
      </c>
      <c r="Y66" s="1" t="s">
        <v>481</v>
      </c>
      <c r="Z66" s="1" t="s">
        <v>28</v>
      </c>
      <c r="AA66" s="1" t="s">
        <v>78</v>
      </c>
      <c r="AB66" s="1" t="s">
        <v>79</v>
      </c>
      <c r="AC66" s="213" t="s">
        <v>82</v>
      </c>
      <c r="AD66" s="1" t="s">
        <v>81</v>
      </c>
      <c r="AE66" s="1" t="s">
        <v>102</v>
      </c>
      <c r="AF66" s="1" t="s">
        <v>103</v>
      </c>
      <c r="AG66" s="213" t="s">
        <v>440</v>
      </c>
      <c r="AH66" s="1" t="s">
        <v>349</v>
      </c>
      <c r="AI66" s="1" t="s">
        <v>524</v>
      </c>
      <c r="AJ66" s="213" t="s">
        <v>109</v>
      </c>
      <c r="AK66" s="1" t="s">
        <v>72</v>
      </c>
      <c r="AL66" s="1" t="s">
        <v>482</v>
      </c>
      <c r="AM66" s="1" t="s">
        <v>483</v>
      </c>
      <c r="AN66" s="1" t="s">
        <v>484</v>
      </c>
      <c r="AO66" s="1" t="s">
        <v>492</v>
      </c>
      <c r="AP66" s="213" t="s">
        <v>452</v>
      </c>
      <c r="AQ66" s="213" t="s">
        <v>453</v>
      </c>
      <c r="AR66" s="1" t="s">
        <v>244</v>
      </c>
      <c r="AS66" s="1" t="s">
        <v>364</v>
      </c>
      <c r="AT66" s="1" t="s">
        <v>353</v>
      </c>
      <c r="AU66" s="1" t="s">
        <v>354</v>
      </c>
      <c r="AV66" s="1" t="s">
        <v>355</v>
      </c>
      <c r="AW66" s="1" t="s">
        <v>356</v>
      </c>
      <c r="AX66" s="1" t="s">
        <v>357</v>
      </c>
      <c r="AY66" s="1" t="s">
        <v>358</v>
      </c>
      <c r="AZ66" s="1" t="s">
        <v>359</v>
      </c>
      <c r="BA66" s="1" t="s">
        <v>437</v>
      </c>
      <c r="BB66" s="1" t="s">
        <v>438</v>
      </c>
      <c r="BC66" s="1" t="s">
        <v>439</v>
      </c>
    </row>
    <row r="67" spans="1:55" x14ac:dyDescent="0.2">
      <c r="A67" t="str">
        <f t="shared" ref="A67:A78" si="6">CONCATENATE(B67," (",C67,")")</f>
        <v>Brigantia's Mantle (DEX+Crit)</v>
      </c>
      <c r="B67" t="s">
        <v>1408</v>
      </c>
      <c r="C67" t="s">
        <v>1418</v>
      </c>
      <c r="F67">
        <v>30</v>
      </c>
      <c r="L67">
        <v>20</v>
      </c>
      <c r="M67">
        <v>20</v>
      </c>
      <c r="Y67" s="4"/>
      <c r="Z67" s="8"/>
      <c r="AA67" s="8">
        <v>0.1</v>
      </c>
      <c r="AF67" s="4"/>
    </row>
    <row r="68" spans="1:55" x14ac:dyDescent="0.2">
      <c r="A68" t="str">
        <f t="shared" si="6"/>
        <v>Brigantia's Mantle (DEX+DA)</v>
      </c>
      <c r="B68" t="s">
        <v>1408</v>
      </c>
      <c r="C68" t="s">
        <v>1419</v>
      </c>
      <c r="F68">
        <v>30</v>
      </c>
      <c r="L68">
        <v>20</v>
      </c>
      <c r="M68">
        <v>20</v>
      </c>
      <c r="S68" s="8"/>
      <c r="T68" s="8">
        <v>0.1</v>
      </c>
      <c r="Y68" s="4"/>
      <c r="AF68" s="4"/>
    </row>
    <row r="69" spans="1:55" x14ac:dyDescent="0.2">
      <c r="A69" t="str">
        <f t="shared" si="6"/>
        <v>Brigantia's Mantle (DEX+Haste)</v>
      </c>
      <c r="B69" t="s">
        <v>1408</v>
      </c>
      <c r="C69" t="s">
        <v>1420</v>
      </c>
      <c r="F69">
        <v>30</v>
      </c>
      <c r="L69">
        <v>20</v>
      </c>
      <c r="M69">
        <v>20</v>
      </c>
      <c r="Y69" s="4"/>
      <c r="Z69">
        <v>102</v>
      </c>
      <c r="AF69" s="4"/>
    </row>
    <row r="70" spans="1:55" x14ac:dyDescent="0.2">
      <c r="A70" t="str">
        <f t="shared" si="6"/>
        <v>Brigantia's Mantle (DEX+STP)</v>
      </c>
      <c r="B70" t="s">
        <v>1408</v>
      </c>
      <c r="C70" t="s">
        <v>1421</v>
      </c>
      <c r="F70">
        <v>30</v>
      </c>
      <c r="L70">
        <v>20</v>
      </c>
      <c r="M70">
        <v>20</v>
      </c>
      <c r="Y70" s="4"/>
      <c r="AC70" s="4">
        <v>10</v>
      </c>
      <c r="AF70" s="4"/>
    </row>
    <row r="71" spans="1:55" x14ac:dyDescent="0.2">
      <c r="A71" t="str">
        <f t="shared" si="6"/>
        <v>Brigantia's Mantle (DEX+WSD)</v>
      </c>
      <c r="B71" t="s">
        <v>1408</v>
      </c>
      <c r="C71" t="s">
        <v>1422</v>
      </c>
      <c r="F71">
        <v>30</v>
      </c>
      <c r="L71">
        <v>20</v>
      </c>
      <c r="M71">
        <v>20</v>
      </c>
      <c r="Y71" s="4"/>
      <c r="AE71" s="8"/>
      <c r="AF71" s="8">
        <v>0.1</v>
      </c>
    </row>
    <row r="72" spans="1:55" x14ac:dyDescent="0.2">
      <c r="A72" t="str">
        <f t="shared" si="6"/>
        <v>Brigantia's Mantle (STR+Crit)</v>
      </c>
      <c r="B72" t="s">
        <v>1408</v>
      </c>
      <c r="C72" t="s">
        <v>1423</v>
      </c>
      <c r="E72">
        <v>30</v>
      </c>
      <c r="L72">
        <v>20</v>
      </c>
      <c r="M72">
        <v>20</v>
      </c>
      <c r="Y72" s="4"/>
      <c r="Z72" s="8"/>
      <c r="AA72" s="8">
        <v>0.1</v>
      </c>
      <c r="AF72" s="4"/>
    </row>
    <row r="73" spans="1:55" x14ac:dyDescent="0.2">
      <c r="A73" t="str">
        <f t="shared" si="6"/>
        <v>Brigantia's Mantle (STR+DA)</v>
      </c>
      <c r="B73" t="s">
        <v>1408</v>
      </c>
      <c r="C73" t="s">
        <v>1424</v>
      </c>
      <c r="E73">
        <v>30</v>
      </c>
      <c r="L73">
        <v>20</v>
      </c>
      <c r="M73">
        <v>20</v>
      </c>
      <c r="S73" s="8"/>
      <c r="T73" s="8">
        <v>0.1</v>
      </c>
      <c r="Y73" s="4"/>
      <c r="AF73" s="4"/>
    </row>
    <row r="74" spans="1:55" x14ac:dyDescent="0.2">
      <c r="A74" t="str">
        <f t="shared" si="6"/>
        <v>Brigantia's Mantle (STR+Haste)</v>
      </c>
      <c r="B74" t="s">
        <v>1408</v>
      </c>
      <c r="C74" t="s">
        <v>1425</v>
      </c>
      <c r="E74">
        <v>30</v>
      </c>
      <c r="L74">
        <v>20</v>
      </c>
      <c r="M74">
        <v>20</v>
      </c>
      <c r="Y74" s="4"/>
      <c r="Z74">
        <v>102</v>
      </c>
      <c r="AF74" s="4"/>
    </row>
    <row r="75" spans="1:55" x14ac:dyDescent="0.2">
      <c r="A75" t="str">
        <f t="shared" si="6"/>
        <v>Brigantia's Mantle (STR+STP)</v>
      </c>
      <c r="B75" t="s">
        <v>1408</v>
      </c>
      <c r="C75" t="s">
        <v>1426</v>
      </c>
      <c r="E75">
        <v>30</v>
      </c>
      <c r="L75">
        <v>20</v>
      </c>
      <c r="M75">
        <v>20</v>
      </c>
      <c r="Y75" s="4"/>
      <c r="AC75" s="4">
        <v>10</v>
      </c>
      <c r="AF75" s="4"/>
    </row>
    <row r="76" spans="1:55" x14ac:dyDescent="0.2">
      <c r="A76" t="str">
        <f t="shared" si="6"/>
        <v>Brigantia's Mantle (STR+WSD)</v>
      </c>
      <c r="B76" t="s">
        <v>1408</v>
      </c>
      <c r="C76" t="s">
        <v>1427</v>
      </c>
      <c r="E76">
        <v>30</v>
      </c>
      <c r="L76">
        <v>20</v>
      </c>
      <c r="M76">
        <v>20</v>
      </c>
      <c r="Y76" s="4"/>
      <c r="AE76" s="8"/>
      <c r="AF76" s="8">
        <v>0.1</v>
      </c>
    </row>
    <row r="77" spans="1:55" x14ac:dyDescent="0.2">
      <c r="A77" t="str">
        <f t="shared" si="6"/>
        <v>Brigantia's Mantle (Custom 1)</v>
      </c>
      <c r="B77" t="s">
        <v>1408</v>
      </c>
      <c r="C77" t="s">
        <v>1393</v>
      </c>
      <c r="T77" s="8"/>
      <c r="U77" s="8"/>
      <c r="V77" s="8"/>
      <c r="W77" s="8"/>
      <c r="X77" s="8"/>
      <c r="Z77" s="4"/>
      <c r="AA77" s="8"/>
      <c r="AB77" s="8"/>
      <c r="AD77" s="8"/>
      <c r="AE77" s="8"/>
      <c r="AF77" s="8"/>
      <c r="AH77" s="8"/>
      <c r="AI77" s="8"/>
    </row>
    <row r="78" spans="1:55" x14ac:dyDescent="0.2">
      <c r="A78" t="str">
        <f t="shared" si="6"/>
        <v>Brigantia's Mantle (Custom 2)</v>
      </c>
      <c r="B78" t="s">
        <v>1408</v>
      </c>
      <c r="C78" t="s">
        <v>1394</v>
      </c>
      <c r="T78" s="8"/>
      <c r="U78" s="8"/>
      <c r="V78" s="8"/>
      <c r="W78" s="8"/>
      <c r="X78" s="8"/>
      <c r="Z78" s="4"/>
      <c r="AA78" s="8"/>
      <c r="AB78" s="8"/>
      <c r="AD78" s="8"/>
      <c r="AE78" s="8"/>
      <c r="AF78" s="8"/>
      <c r="AH78" s="8"/>
      <c r="AI78" s="8"/>
    </row>
    <row r="79" spans="1:55" x14ac:dyDescent="0.2">
      <c r="T79" s="8"/>
      <c r="U79" s="8"/>
      <c r="V79" s="8"/>
      <c r="W79" s="8"/>
      <c r="X79" s="8"/>
      <c r="Z79" s="4"/>
      <c r="AA79" s="8"/>
      <c r="AB79" s="8"/>
      <c r="AD79" s="8"/>
      <c r="AE79" s="8"/>
      <c r="AF79" s="8"/>
      <c r="AH79" s="8"/>
      <c r="AI79" s="8"/>
    </row>
    <row r="80" spans="1:55" x14ac:dyDescent="0.2">
      <c r="T80" s="8"/>
      <c r="U80" s="8"/>
      <c r="V80" s="8"/>
      <c r="W80" s="8"/>
      <c r="X80" s="8"/>
      <c r="Z80" s="4"/>
      <c r="AA80" s="8"/>
      <c r="AB80" s="8"/>
      <c r="AD80" s="8"/>
      <c r="AE80" s="8"/>
      <c r="AF80" s="8"/>
      <c r="AH80" s="8"/>
      <c r="AI80" s="8"/>
    </row>
    <row r="81" spans="1:55" s="1" customFormat="1" x14ac:dyDescent="0.2">
      <c r="A81" s="1" t="s">
        <v>1432</v>
      </c>
      <c r="B81" s="1" t="s">
        <v>96</v>
      </c>
      <c r="C81" s="1" t="s">
        <v>1392</v>
      </c>
      <c r="D81" s="1" t="s">
        <v>233</v>
      </c>
      <c r="E81" s="1" t="s">
        <v>26</v>
      </c>
      <c r="F81" s="1" t="s">
        <v>27</v>
      </c>
      <c r="G81" s="1" t="s">
        <v>23</v>
      </c>
      <c r="H81" s="1" t="s">
        <v>25</v>
      </c>
      <c r="I81" s="1" t="s">
        <v>298</v>
      </c>
      <c r="J81" s="1" t="s">
        <v>299</v>
      </c>
      <c r="K81" s="1" t="s">
        <v>300</v>
      </c>
      <c r="L81" s="1" t="s">
        <v>74</v>
      </c>
      <c r="M81" s="1" t="s">
        <v>73</v>
      </c>
      <c r="N81" s="1" t="s">
        <v>375</v>
      </c>
      <c r="O81" s="1" t="s">
        <v>553</v>
      </c>
      <c r="P81" s="1" t="s">
        <v>554</v>
      </c>
      <c r="Q81" s="1" t="s">
        <v>555</v>
      </c>
      <c r="R81" s="213" t="s">
        <v>556</v>
      </c>
      <c r="S81" s="213" t="s">
        <v>557</v>
      </c>
      <c r="T81" s="1" t="s">
        <v>75</v>
      </c>
      <c r="U81" s="1" t="s">
        <v>76</v>
      </c>
      <c r="V81" s="1" t="s">
        <v>77</v>
      </c>
      <c r="W81" s="1" t="s">
        <v>480</v>
      </c>
      <c r="X81" s="1" t="s">
        <v>80</v>
      </c>
      <c r="Y81" s="1" t="s">
        <v>481</v>
      </c>
      <c r="Z81" s="1" t="s">
        <v>28</v>
      </c>
      <c r="AA81" s="1" t="s">
        <v>78</v>
      </c>
      <c r="AB81" s="1" t="s">
        <v>79</v>
      </c>
      <c r="AC81" s="213" t="s">
        <v>82</v>
      </c>
      <c r="AD81" s="1" t="s">
        <v>81</v>
      </c>
      <c r="AE81" s="1" t="s">
        <v>102</v>
      </c>
      <c r="AF81" s="1" t="s">
        <v>103</v>
      </c>
      <c r="AG81" s="213" t="s">
        <v>440</v>
      </c>
      <c r="AH81" s="1" t="s">
        <v>349</v>
      </c>
      <c r="AI81" s="1" t="s">
        <v>524</v>
      </c>
      <c r="AJ81" s="213" t="s">
        <v>109</v>
      </c>
      <c r="AK81" s="1" t="s">
        <v>72</v>
      </c>
      <c r="AL81" s="1" t="s">
        <v>482</v>
      </c>
      <c r="AM81" s="1" t="s">
        <v>483</v>
      </c>
      <c r="AN81" s="1" t="s">
        <v>484</v>
      </c>
      <c r="AO81" s="1" t="s">
        <v>492</v>
      </c>
      <c r="AP81" s="213" t="s">
        <v>452</v>
      </c>
      <c r="AQ81" s="213" t="s">
        <v>453</v>
      </c>
      <c r="AR81" s="1" t="s">
        <v>244</v>
      </c>
      <c r="AS81" s="1" t="s">
        <v>364</v>
      </c>
      <c r="AT81" s="1" t="s">
        <v>353</v>
      </c>
      <c r="AU81" s="1" t="s">
        <v>354</v>
      </c>
      <c r="AV81" s="1" t="s">
        <v>355</v>
      </c>
      <c r="AW81" s="1" t="s">
        <v>356</v>
      </c>
      <c r="AX81" s="1" t="s">
        <v>357</v>
      </c>
      <c r="AY81" s="1" t="s">
        <v>358</v>
      </c>
      <c r="AZ81" s="1" t="s">
        <v>359</v>
      </c>
      <c r="BA81" s="1" t="s">
        <v>437</v>
      </c>
      <c r="BB81" s="1" t="s">
        <v>438</v>
      </c>
      <c r="BC81" s="1" t="s">
        <v>439</v>
      </c>
    </row>
    <row r="82" spans="1:55" x14ac:dyDescent="0.2">
      <c r="A82" t="str">
        <f t="shared" ref="A82:A95" si="7">CONCATENATE(B82," (",C82,")")</f>
        <v>Acro Breeches (DA)</v>
      </c>
      <c r="B82" t="s">
        <v>1409</v>
      </c>
      <c r="C82" t="s">
        <v>75</v>
      </c>
      <c r="E82">
        <v>7</v>
      </c>
      <c r="F82">
        <v>7</v>
      </c>
      <c r="L82">
        <v>20</v>
      </c>
      <c r="M82">
        <v>20</v>
      </c>
      <c r="S82" s="8"/>
      <c r="T82" s="8">
        <v>0.03</v>
      </c>
      <c r="U82" s="8"/>
      <c r="V82" s="8"/>
      <c r="W82" s="8"/>
      <c r="X82" s="8"/>
      <c r="Y82" s="4"/>
      <c r="Z82" s="11"/>
      <c r="AA82" s="8"/>
      <c r="AB82" s="4"/>
      <c r="AD82" s="8"/>
      <c r="AE82" s="8"/>
      <c r="AF82" s="8"/>
      <c r="AH82" s="8"/>
      <c r="AI82" s="8"/>
    </row>
    <row r="83" spans="1:55" s="4" customFormat="1" x14ac:dyDescent="0.2">
      <c r="A83" t="str">
        <f t="shared" si="7"/>
        <v>Acro Breeches (STP)</v>
      </c>
      <c r="B83" t="s">
        <v>1409</v>
      </c>
      <c r="C83" t="s">
        <v>82</v>
      </c>
      <c r="D83"/>
      <c r="E83">
        <v>7</v>
      </c>
      <c r="F83">
        <v>7</v>
      </c>
      <c r="G83"/>
      <c r="H83"/>
      <c r="I83"/>
      <c r="J83"/>
      <c r="K83"/>
      <c r="L83">
        <v>20</v>
      </c>
      <c r="M83">
        <v>20</v>
      </c>
      <c r="N83"/>
      <c r="O83"/>
      <c r="P83"/>
      <c r="Q83"/>
      <c r="R83"/>
      <c r="S83" s="8"/>
      <c r="T83" s="8"/>
      <c r="U83" s="8"/>
      <c r="V83" s="8"/>
      <c r="W83" s="8"/>
      <c r="X83" s="8"/>
      <c r="Z83" s="11"/>
      <c r="AA83" s="8"/>
      <c r="AC83" s="4">
        <v>6</v>
      </c>
      <c r="AD83" s="8"/>
      <c r="AE83" s="8"/>
      <c r="AF83" s="8"/>
      <c r="AH83" s="8"/>
      <c r="AI83" s="8"/>
      <c r="AK83"/>
      <c r="AL83"/>
      <c r="AM83"/>
      <c r="AN83"/>
      <c r="AO83"/>
      <c r="AP83"/>
      <c r="AQ83"/>
      <c r="AR83"/>
      <c r="AS83"/>
      <c r="AT83"/>
    </row>
    <row r="84" spans="1:55" x14ac:dyDescent="0.2">
      <c r="A84" t="str">
        <f t="shared" si="7"/>
        <v>Acro Breeches (Custom 1)</v>
      </c>
      <c r="B84" t="s">
        <v>1409</v>
      </c>
      <c r="C84" t="s">
        <v>1393</v>
      </c>
      <c r="S84" s="8"/>
      <c r="T84" s="8"/>
      <c r="U84" s="8"/>
      <c r="V84" s="8"/>
      <c r="W84" s="8"/>
      <c r="X84" s="8"/>
      <c r="Y84" s="4"/>
      <c r="Z84" s="11"/>
      <c r="AA84" s="8"/>
      <c r="AB84" s="4"/>
      <c r="AD84" s="8"/>
      <c r="AE84" s="8"/>
      <c r="AF84" s="8"/>
      <c r="AH84" s="8"/>
      <c r="AI84" s="8"/>
    </row>
    <row r="85" spans="1:55" s="4" customFormat="1" x14ac:dyDescent="0.2">
      <c r="A85" t="str">
        <f t="shared" si="7"/>
        <v>Acro Breeches (Custom 2)</v>
      </c>
      <c r="B85" t="s">
        <v>1409</v>
      </c>
      <c r="C85" t="s">
        <v>1394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8"/>
      <c r="T85" s="8"/>
      <c r="U85" s="8"/>
      <c r="V85" s="8"/>
      <c r="W85" s="8"/>
      <c r="X85" s="8"/>
      <c r="Z85" s="11"/>
      <c r="AA85" s="8"/>
      <c r="AC85" s="8"/>
      <c r="AD85" s="8"/>
      <c r="AE85" s="8"/>
      <c r="AF85" s="8"/>
      <c r="AH85" s="8"/>
      <c r="AI85" s="8"/>
      <c r="AK85"/>
      <c r="AL85"/>
      <c r="AM85"/>
      <c r="AN85"/>
      <c r="AO85"/>
      <c r="AP85"/>
      <c r="AQ85"/>
      <c r="AR85"/>
      <c r="AS85"/>
      <c r="AT85"/>
    </row>
    <row r="86" spans="1:55" s="4" customFormat="1" x14ac:dyDescent="0.2">
      <c r="A86" t="str">
        <f t="shared" si="7"/>
        <v>Taeon Tights (TA)</v>
      </c>
      <c r="B86" t="s">
        <v>1411</v>
      </c>
      <c r="C86" t="s">
        <v>76</v>
      </c>
      <c r="D86"/>
      <c r="E86">
        <v>7</v>
      </c>
      <c r="F86">
        <v>7</v>
      </c>
      <c r="G86"/>
      <c r="H86"/>
      <c r="I86"/>
      <c r="J86"/>
      <c r="K86"/>
      <c r="L86">
        <v>20</v>
      </c>
      <c r="M86">
        <v>20</v>
      </c>
      <c r="N86"/>
      <c r="O86"/>
      <c r="P86"/>
      <c r="Q86"/>
      <c r="R86"/>
      <c r="S86" s="8"/>
      <c r="T86" s="8"/>
      <c r="U86" s="8">
        <v>0.02</v>
      </c>
      <c r="V86" s="8"/>
      <c r="W86" s="8"/>
      <c r="X86"/>
      <c r="Z86" s="11"/>
      <c r="AA86" s="8"/>
      <c r="AC86" s="8"/>
      <c r="AD86" s="8"/>
      <c r="AE86" s="8"/>
      <c r="AF86" s="8"/>
      <c r="AH86" s="8"/>
      <c r="AI86" s="8"/>
      <c r="AK86"/>
      <c r="AL86"/>
      <c r="AM86"/>
      <c r="AN86"/>
      <c r="AO86"/>
      <c r="AP86"/>
      <c r="AQ86"/>
      <c r="AR86"/>
      <c r="AS86"/>
      <c r="AT86"/>
    </row>
    <row r="87" spans="1:55" s="4" customFormat="1" x14ac:dyDescent="0.2">
      <c r="A87" t="str">
        <f t="shared" si="7"/>
        <v>Taeon Tights (C.Rate)</v>
      </c>
      <c r="B87" t="s">
        <v>1411</v>
      </c>
      <c r="C87" t="s">
        <v>78</v>
      </c>
      <c r="D87"/>
      <c r="E87">
        <v>7</v>
      </c>
      <c r="F87">
        <v>7</v>
      </c>
      <c r="G87"/>
      <c r="H87"/>
      <c r="I87"/>
      <c r="J87"/>
      <c r="K87"/>
      <c r="L87">
        <v>20</v>
      </c>
      <c r="M87">
        <v>20</v>
      </c>
      <c r="N87"/>
      <c r="O87"/>
      <c r="P87"/>
      <c r="Q87"/>
      <c r="R87"/>
      <c r="S87" s="8"/>
      <c r="T87" s="8"/>
      <c r="U87" s="8"/>
      <c r="V87" s="8"/>
      <c r="W87" s="8"/>
      <c r="X87"/>
      <c r="Z87" s="11"/>
      <c r="AA87" s="8">
        <v>0.03</v>
      </c>
      <c r="AC87" s="8"/>
      <c r="AD87" s="8"/>
      <c r="AE87" s="8"/>
      <c r="AF87" s="8"/>
      <c r="AH87" s="8"/>
      <c r="AI87" s="8"/>
      <c r="AK87"/>
      <c r="AL87"/>
      <c r="AM87"/>
      <c r="AN87"/>
      <c r="AO87"/>
      <c r="AP87"/>
      <c r="AQ87"/>
      <c r="AR87"/>
      <c r="AS87"/>
      <c r="AT87"/>
    </row>
    <row r="88" spans="1:55" s="4" customFormat="1" x14ac:dyDescent="0.2">
      <c r="A88" t="str">
        <f t="shared" si="7"/>
        <v>Taeon Tights (Custom 1)</v>
      </c>
      <c r="B88" t="s">
        <v>1411</v>
      </c>
      <c r="C88" t="s">
        <v>1393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8"/>
      <c r="T88" s="8"/>
      <c r="U88" s="8"/>
      <c r="V88" s="8"/>
      <c r="W88" s="8"/>
      <c r="X88"/>
      <c r="Z88" s="11"/>
      <c r="AA88" s="8"/>
      <c r="AC88" s="8"/>
      <c r="AD88" s="8"/>
      <c r="AE88" s="8"/>
      <c r="AF88" s="8"/>
      <c r="AH88" s="8"/>
      <c r="AI88" s="8"/>
      <c r="AK88"/>
      <c r="AL88"/>
      <c r="AM88"/>
      <c r="AN88"/>
      <c r="AO88"/>
      <c r="AP88"/>
      <c r="AQ88"/>
      <c r="AR88"/>
      <c r="AS88"/>
      <c r="AT88"/>
    </row>
    <row r="89" spans="1:55" s="4" customFormat="1" x14ac:dyDescent="0.2">
      <c r="A89" t="str">
        <f t="shared" si="7"/>
        <v>Taeon Tights (Custom 2)</v>
      </c>
      <c r="B89" t="s">
        <v>1411</v>
      </c>
      <c r="C89" t="s">
        <v>1394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8"/>
      <c r="T89" s="8"/>
      <c r="U89" s="8"/>
      <c r="V89" s="8"/>
      <c r="W89" s="8"/>
      <c r="X89"/>
      <c r="Z89" s="11"/>
      <c r="AA89" s="8"/>
      <c r="AC89" s="8"/>
      <c r="AD89" s="8"/>
      <c r="AE89" s="8"/>
      <c r="AF89" s="8"/>
      <c r="AH89" s="8"/>
      <c r="AI89" s="8"/>
      <c r="AK89"/>
      <c r="AL89"/>
      <c r="AM89"/>
      <c r="AN89"/>
      <c r="AO89"/>
      <c r="AP89"/>
      <c r="AQ89"/>
      <c r="AR89"/>
      <c r="AS89"/>
      <c r="AT89"/>
    </row>
    <row r="90" spans="1:55" s="4" customFormat="1" x14ac:dyDescent="0.2">
      <c r="A90" t="str">
        <f t="shared" si="7"/>
        <v>Valorous Hose (Custom 1)</v>
      </c>
      <c r="B90" s="3" t="s">
        <v>1410</v>
      </c>
      <c r="C90" t="s">
        <v>1393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8"/>
      <c r="U90" s="8"/>
      <c r="V90" s="8"/>
      <c r="W90" s="8"/>
      <c r="X90" s="8"/>
      <c r="Y90" s="8"/>
      <c r="Z90" s="11"/>
      <c r="AA90" s="8"/>
      <c r="AB90" s="8"/>
      <c r="AD90" s="8"/>
      <c r="AE90" s="8"/>
      <c r="AF90" s="8"/>
      <c r="AH90" s="8"/>
      <c r="AI90" s="8"/>
      <c r="AK90"/>
      <c r="AL90"/>
      <c r="AM90"/>
      <c r="AN90"/>
      <c r="AO90"/>
      <c r="AP90"/>
      <c r="AQ90"/>
      <c r="AR90"/>
      <c r="AS90"/>
      <c r="AT90"/>
    </row>
    <row r="91" spans="1:55" s="4" customFormat="1" x14ac:dyDescent="0.2">
      <c r="A91" t="str">
        <f t="shared" si="7"/>
        <v>Valorous Hose (Custom 2)</v>
      </c>
      <c r="B91" s="3" t="s">
        <v>1410</v>
      </c>
      <c r="C91" t="s">
        <v>1394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8"/>
      <c r="U91" s="8"/>
      <c r="V91" s="8"/>
      <c r="W91" s="8"/>
      <c r="X91" s="8"/>
      <c r="Y91"/>
      <c r="Z91" s="11"/>
      <c r="AA91" s="8"/>
      <c r="AB91" s="8"/>
      <c r="AD91" s="8"/>
      <c r="AE91" s="8"/>
      <c r="AF91" s="8"/>
      <c r="AH91" s="8"/>
      <c r="AI91" s="8"/>
      <c r="AK91"/>
      <c r="AL91"/>
      <c r="AM91"/>
      <c r="AN91"/>
      <c r="AO91"/>
      <c r="AP91"/>
      <c r="AQ91"/>
      <c r="AR91"/>
      <c r="AS91"/>
      <c r="AT91"/>
    </row>
    <row r="92" spans="1:55" s="4" customFormat="1" x14ac:dyDescent="0.2">
      <c r="A92" t="str">
        <f t="shared" si="7"/>
        <v>Valorous Hose (Custom 3)</v>
      </c>
      <c r="B92" s="3" t="s">
        <v>1410</v>
      </c>
      <c r="C92" t="s">
        <v>1398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8"/>
      <c r="U92" s="8"/>
      <c r="V92" s="8"/>
      <c r="W92" s="8"/>
      <c r="X92" s="8"/>
      <c r="Y92"/>
      <c r="Z92" s="11"/>
      <c r="AA92" s="8"/>
      <c r="AB92" s="8"/>
      <c r="AD92" s="8"/>
      <c r="AE92" s="8"/>
      <c r="AF92" s="8"/>
      <c r="AH92" s="8"/>
      <c r="AI92" s="8"/>
      <c r="AK92"/>
      <c r="AL92"/>
      <c r="AM92"/>
      <c r="AN92"/>
      <c r="AO92"/>
      <c r="AP92"/>
      <c r="AQ92"/>
      <c r="AR92"/>
      <c r="AS92"/>
      <c r="AT92"/>
    </row>
    <row r="93" spans="1:55" s="4" customFormat="1" x14ac:dyDescent="0.2">
      <c r="A93" t="str">
        <f t="shared" si="7"/>
        <v>Valorous Hose (Custom 4)</v>
      </c>
      <c r="B93" s="3" t="s">
        <v>1410</v>
      </c>
      <c r="C93" t="s">
        <v>1399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8"/>
      <c r="U93" s="8"/>
      <c r="V93" s="8"/>
      <c r="W93" s="8"/>
      <c r="X93" s="8"/>
      <c r="Y93" s="8"/>
      <c r="Z93" s="11"/>
      <c r="AA93" s="8"/>
      <c r="AB93" s="8"/>
      <c r="AD93" s="8"/>
      <c r="AE93" s="8"/>
      <c r="AF93" s="8"/>
      <c r="AI93" s="8"/>
      <c r="AK93"/>
      <c r="AL93"/>
      <c r="AM93"/>
      <c r="AN93"/>
      <c r="AO93"/>
      <c r="AP93"/>
      <c r="AQ93"/>
      <c r="AR93"/>
      <c r="AS93"/>
      <c r="AT93"/>
    </row>
    <row r="94" spans="1:55" s="4" customFormat="1" x14ac:dyDescent="0.2">
      <c r="A94" t="str">
        <f t="shared" si="7"/>
        <v>Valorous Hose (Custom 5)</v>
      </c>
      <c r="B94" s="3" t="s">
        <v>1410</v>
      </c>
      <c r="C94" t="s">
        <v>1400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8"/>
      <c r="U94" s="8"/>
      <c r="V94" s="8"/>
      <c r="W94" s="8"/>
      <c r="X94" s="8"/>
      <c r="Y94" s="8"/>
      <c r="Z94" s="11"/>
      <c r="AA94" s="8"/>
      <c r="AB94" s="8"/>
      <c r="AD94" s="8"/>
      <c r="AE94" s="8"/>
      <c r="AF94" s="8"/>
      <c r="AI94" s="8"/>
      <c r="AK94"/>
      <c r="AL94"/>
      <c r="AM94"/>
      <c r="AN94"/>
      <c r="AO94"/>
      <c r="AP94"/>
      <c r="AQ94"/>
      <c r="AR94"/>
      <c r="AS94"/>
      <c r="AT94"/>
    </row>
    <row r="95" spans="1:55" s="4" customFormat="1" x14ac:dyDescent="0.2">
      <c r="A95" t="str">
        <f t="shared" si="7"/>
        <v>Valorous Hose (Custom 6)</v>
      </c>
      <c r="B95" s="3" t="s">
        <v>1410</v>
      </c>
      <c r="C95" t="s">
        <v>1401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8"/>
      <c r="U95" s="8"/>
      <c r="V95" s="8"/>
      <c r="W95" s="8"/>
      <c r="X95" s="8"/>
      <c r="Y95" s="8"/>
      <c r="Z95" s="11"/>
      <c r="AA95" s="8"/>
      <c r="AB95" s="8"/>
      <c r="AD95" s="8"/>
      <c r="AE95" s="8"/>
      <c r="AF95" s="8"/>
      <c r="AI95" s="8"/>
      <c r="AK95"/>
      <c r="AL95"/>
      <c r="AM95"/>
      <c r="AN95"/>
      <c r="AO95"/>
      <c r="AP95"/>
      <c r="AQ95"/>
      <c r="AR95"/>
      <c r="AS95"/>
      <c r="AT95"/>
    </row>
    <row r="96" spans="1:55" x14ac:dyDescent="0.2">
      <c r="AA96" s="8"/>
      <c r="AB96" s="8"/>
      <c r="AD96" s="8"/>
      <c r="AE96" s="8"/>
      <c r="AF96" s="8"/>
      <c r="AH96" s="8"/>
      <c r="AI96" s="8"/>
    </row>
    <row r="98" spans="1:55" s="1" customFormat="1" x14ac:dyDescent="0.2">
      <c r="A98" s="1" t="s">
        <v>1432</v>
      </c>
      <c r="B98" s="1" t="s">
        <v>97</v>
      </c>
      <c r="C98" s="1" t="s">
        <v>1392</v>
      </c>
      <c r="D98" s="1" t="s">
        <v>233</v>
      </c>
      <c r="E98" s="1" t="s">
        <v>26</v>
      </c>
      <c r="F98" s="1" t="s">
        <v>27</v>
      </c>
      <c r="G98" s="1" t="s">
        <v>23</v>
      </c>
      <c r="H98" s="1" t="s">
        <v>25</v>
      </c>
      <c r="I98" s="1" t="s">
        <v>298</v>
      </c>
      <c r="J98" s="1" t="s">
        <v>299</v>
      </c>
      <c r="K98" s="1" t="s">
        <v>300</v>
      </c>
      <c r="L98" s="1" t="s">
        <v>74</v>
      </c>
      <c r="M98" s="1" t="s">
        <v>73</v>
      </c>
      <c r="N98" s="1" t="s">
        <v>375</v>
      </c>
      <c r="O98" s="1" t="s">
        <v>553</v>
      </c>
      <c r="P98" s="1" t="s">
        <v>554</v>
      </c>
      <c r="Q98" s="1" t="s">
        <v>555</v>
      </c>
      <c r="R98" s="213" t="s">
        <v>556</v>
      </c>
      <c r="S98" s="213" t="s">
        <v>557</v>
      </c>
      <c r="T98" s="1" t="s">
        <v>75</v>
      </c>
      <c r="U98" s="1" t="s">
        <v>76</v>
      </c>
      <c r="V98" s="1" t="s">
        <v>77</v>
      </c>
      <c r="W98" s="1" t="s">
        <v>480</v>
      </c>
      <c r="X98" s="1" t="s">
        <v>80</v>
      </c>
      <c r="Y98" s="1" t="s">
        <v>481</v>
      </c>
      <c r="Z98" s="1" t="s">
        <v>28</v>
      </c>
      <c r="AA98" s="1" t="s">
        <v>78</v>
      </c>
      <c r="AB98" s="1" t="s">
        <v>79</v>
      </c>
      <c r="AC98" s="213" t="s">
        <v>82</v>
      </c>
      <c r="AD98" s="1" t="s">
        <v>81</v>
      </c>
      <c r="AE98" s="1" t="s">
        <v>102</v>
      </c>
      <c r="AF98" s="1" t="s">
        <v>103</v>
      </c>
      <c r="AG98" s="213" t="s">
        <v>440</v>
      </c>
      <c r="AH98" s="1" t="s">
        <v>349</v>
      </c>
      <c r="AI98" s="1" t="s">
        <v>524</v>
      </c>
      <c r="AJ98" s="213" t="s">
        <v>109</v>
      </c>
      <c r="AK98" s="1" t="s">
        <v>72</v>
      </c>
      <c r="AL98" s="1" t="s">
        <v>482</v>
      </c>
      <c r="AM98" s="1" t="s">
        <v>483</v>
      </c>
      <c r="AN98" s="1" t="s">
        <v>484</v>
      </c>
      <c r="AO98" s="1" t="s">
        <v>492</v>
      </c>
      <c r="AP98" s="213" t="s">
        <v>452</v>
      </c>
      <c r="AQ98" s="213" t="s">
        <v>453</v>
      </c>
      <c r="AR98" s="1" t="s">
        <v>244</v>
      </c>
      <c r="AS98" s="1" t="s">
        <v>364</v>
      </c>
      <c r="AT98" s="1" t="s">
        <v>353</v>
      </c>
      <c r="AU98" s="1" t="s">
        <v>354</v>
      </c>
      <c r="AV98" s="1" t="s">
        <v>355</v>
      </c>
      <c r="AW98" s="1" t="s">
        <v>356</v>
      </c>
      <c r="AX98" s="1" t="s">
        <v>357</v>
      </c>
      <c r="AY98" s="1" t="s">
        <v>358</v>
      </c>
      <c r="AZ98" s="1" t="s">
        <v>359</v>
      </c>
      <c r="BA98" s="1" t="s">
        <v>437</v>
      </c>
      <c r="BB98" s="1" t="s">
        <v>438</v>
      </c>
      <c r="BC98" s="1" t="s">
        <v>439</v>
      </c>
    </row>
    <row r="99" spans="1:55" x14ac:dyDescent="0.2">
      <c r="A99" t="str">
        <f t="shared" ref="A99:A112" si="8">CONCATENATE(B99," (",C99,")")</f>
        <v>Acro Leggings (DA)</v>
      </c>
      <c r="B99" t="s">
        <v>1414</v>
      </c>
      <c r="C99" t="s">
        <v>75</v>
      </c>
      <c r="E99">
        <v>7</v>
      </c>
      <c r="F99">
        <v>7</v>
      </c>
      <c r="L99">
        <v>20</v>
      </c>
      <c r="M99">
        <v>20</v>
      </c>
      <c r="S99" s="8"/>
      <c r="T99" s="8">
        <v>0.03</v>
      </c>
      <c r="U99" s="8"/>
      <c r="V99" s="8"/>
      <c r="W99" s="8"/>
      <c r="X99" s="8"/>
      <c r="Y99" s="4"/>
      <c r="Z99" s="11"/>
      <c r="AA99" s="8"/>
      <c r="AB99" s="4"/>
    </row>
    <row r="100" spans="1:55" x14ac:dyDescent="0.2">
      <c r="A100" t="str">
        <f t="shared" si="8"/>
        <v>Acro Leggings (STP)</v>
      </c>
      <c r="B100" t="s">
        <v>1414</v>
      </c>
      <c r="C100" t="s">
        <v>82</v>
      </c>
      <c r="E100">
        <v>7</v>
      </c>
      <c r="F100">
        <v>7</v>
      </c>
      <c r="L100">
        <v>20</v>
      </c>
      <c r="M100">
        <v>20</v>
      </c>
      <c r="S100" s="8"/>
      <c r="T100" s="8"/>
      <c r="U100" s="8"/>
      <c r="V100" s="8"/>
      <c r="W100" s="8"/>
      <c r="X100" s="8"/>
      <c r="Y100" s="4"/>
      <c r="Z100" s="11"/>
      <c r="AA100" s="8"/>
      <c r="AB100" s="4"/>
      <c r="AC100" s="4">
        <v>6</v>
      </c>
    </row>
    <row r="101" spans="1:55" x14ac:dyDescent="0.2">
      <c r="A101" t="str">
        <f t="shared" si="8"/>
        <v>Acro Leggings (Custom 1)</v>
      </c>
      <c r="B101" t="s">
        <v>1414</v>
      </c>
      <c r="C101" t="s">
        <v>1393</v>
      </c>
      <c r="S101" s="8"/>
      <c r="T101" s="8"/>
      <c r="U101" s="8"/>
      <c r="V101" s="8"/>
      <c r="W101" s="8"/>
      <c r="X101" s="8"/>
      <c r="Y101" s="4"/>
      <c r="Z101" s="11"/>
      <c r="AA101" s="8"/>
      <c r="AB101" s="4"/>
    </row>
    <row r="102" spans="1:55" x14ac:dyDescent="0.2">
      <c r="A102" t="str">
        <f t="shared" si="8"/>
        <v>Acro Leggings (Custom 2)</v>
      </c>
      <c r="B102" t="s">
        <v>1414</v>
      </c>
      <c r="C102" t="s">
        <v>1394</v>
      </c>
      <c r="S102" s="8"/>
      <c r="T102" s="8"/>
      <c r="U102" s="8"/>
      <c r="V102" s="8"/>
      <c r="W102" s="8"/>
      <c r="X102" s="8"/>
      <c r="Y102" s="4"/>
      <c r="Z102" s="11"/>
      <c r="AA102" s="8"/>
      <c r="AB102" s="4"/>
      <c r="AC102" s="8"/>
    </row>
    <row r="103" spans="1:55" x14ac:dyDescent="0.2">
      <c r="A103" t="str">
        <f t="shared" si="8"/>
        <v>Taeon Boots (TA)</v>
      </c>
      <c r="B103" t="s">
        <v>1413</v>
      </c>
      <c r="C103" t="s">
        <v>76</v>
      </c>
      <c r="E103">
        <v>7</v>
      </c>
      <c r="F103">
        <v>7</v>
      </c>
      <c r="L103">
        <v>20</v>
      </c>
      <c r="M103">
        <v>20</v>
      </c>
      <c r="S103" s="8"/>
      <c r="T103" s="8"/>
      <c r="U103" s="8">
        <v>0.02</v>
      </c>
      <c r="V103" s="8"/>
      <c r="W103" s="8"/>
      <c r="Y103" s="4"/>
      <c r="Z103" s="11"/>
      <c r="AA103" s="8"/>
      <c r="AB103" s="4"/>
      <c r="AC103" s="8"/>
      <c r="AD103" s="8"/>
      <c r="AE103" s="8"/>
      <c r="AF103" s="8"/>
      <c r="AH103" s="8"/>
      <c r="AI103" s="8"/>
    </row>
    <row r="104" spans="1:55" x14ac:dyDescent="0.2">
      <c r="A104" t="str">
        <f t="shared" si="8"/>
        <v>Taeon Boots (C.Rate)</v>
      </c>
      <c r="B104" t="s">
        <v>1413</v>
      </c>
      <c r="C104" t="s">
        <v>78</v>
      </c>
      <c r="E104">
        <v>7</v>
      </c>
      <c r="F104">
        <v>7</v>
      </c>
      <c r="L104">
        <v>20</v>
      </c>
      <c r="M104">
        <v>20</v>
      </c>
      <c r="S104" s="8"/>
      <c r="T104" s="8"/>
      <c r="U104" s="8"/>
      <c r="V104" s="8"/>
      <c r="W104" s="8"/>
      <c r="Y104" s="4"/>
      <c r="Z104" s="11"/>
      <c r="AA104" s="8">
        <v>0.03</v>
      </c>
      <c r="AB104" s="4"/>
      <c r="AC104" s="8"/>
      <c r="AD104" s="8"/>
      <c r="AE104" s="8"/>
      <c r="AF104" s="8"/>
      <c r="AH104" s="8"/>
      <c r="AI104" s="8"/>
    </row>
    <row r="105" spans="1:55" x14ac:dyDescent="0.2">
      <c r="A105" t="str">
        <f t="shared" si="8"/>
        <v>Taeon Boots (Custom 1)</v>
      </c>
      <c r="B105" t="s">
        <v>1413</v>
      </c>
      <c r="C105" t="s">
        <v>1393</v>
      </c>
      <c r="S105" s="8"/>
      <c r="T105" s="8"/>
      <c r="U105" s="8"/>
      <c r="V105" s="8"/>
      <c r="W105" s="8"/>
      <c r="Y105" s="4"/>
      <c r="Z105" s="11"/>
      <c r="AA105" s="8"/>
      <c r="AB105" s="4"/>
      <c r="AC105" s="8"/>
      <c r="AD105" s="8"/>
      <c r="AE105" s="8"/>
      <c r="AF105" s="8"/>
      <c r="AH105" s="8"/>
      <c r="AI105" s="8"/>
    </row>
    <row r="106" spans="1:55" x14ac:dyDescent="0.2">
      <c r="A106" t="str">
        <f t="shared" si="8"/>
        <v>Taeon Boots (Custom 2)</v>
      </c>
      <c r="B106" t="s">
        <v>1413</v>
      </c>
      <c r="C106" t="s">
        <v>1394</v>
      </c>
      <c r="S106" s="8"/>
      <c r="T106" s="8"/>
      <c r="U106" s="8"/>
      <c r="V106" s="8"/>
      <c r="W106" s="8"/>
      <c r="Y106" s="4"/>
      <c r="Z106" s="11"/>
      <c r="AA106" s="8"/>
      <c r="AB106" s="4"/>
      <c r="AC106" s="8"/>
      <c r="AD106" s="8"/>
      <c r="AE106" s="8"/>
      <c r="AF106" s="8"/>
      <c r="AH106" s="8"/>
      <c r="AI106" s="8"/>
    </row>
    <row r="107" spans="1:55" x14ac:dyDescent="0.2">
      <c r="A107" t="str">
        <f t="shared" si="8"/>
        <v>Valorous Greaves (Custom 1)</v>
      </c>
      <c r="B107" t="s">
        <v>1412</v>
      </c>
      <c r="C107" t="s">
        <v>1393</v>
      </c>
      <c r="T107" s="8"/>
      <c r="U107" s="8"/>
      <c r="V107" s="8"/>
      <c r="W107" s="8"/>
      <c r="X107" s="8"/>
      <c r="Y107" s="8"/>
      <c r="Z107" s="4"/>
      <c r="AA107" s="8"/>
      <c r="AB107" s="8"/>
      <c r="AC107"/>
      <c r="AD107" s="8"/>
      <c r="AE107" s="8"/>
      <c r="AF107" s="8"/>
      <c r="AH107" s="8"/>
      <c r="AI107" s="8"/>
    </row>
    <row r="108" spans="1:55" x14ac:dyDescent="0.2">
      <c r="A108" t="str">
        <f t="shared" si="8"/>
        <v>Valorous Greaves (Custom 2)</v>
      </c>
      <c r="B108" t="s">
        <v>1412</v>
      </c>
      <c r="C108" t="s">
        <v>1394</v>
      </c>
      <c r="T108" s="8"/>
      <c r="U108" s="8"/>
      <c r="V108" s="8"/>
      <c r="W108" s="8"/>
      <c r="X108" s="8"/>
      <c r="Y108" s="8"/>
      <c r="Z108" s="4"/>
      <c r="AA108" s="8"/>
      <c r="AB108" s="8"/>
      <c r="AC108"/>
      <c r="AD108" s="8"/>
      <c r="AE108" s="8"/>
      <c r="AF108" s="8"/>
      <c r="AH108" s="8"/>
      <c r="AI108" s="8"/>
    </row>
    <row r="109" spans="1:55" s="4" customFormat="1" x14ac:dyDescent="0.2">
      <c r="A109" t="str">
        <f t="shared" si="8"/>
        <v>Valorous Greaves (Custom 3)</v>
      </c>
      <c r="B109" t="s">
        <v>1412</v>
      </c>
      <c r="C109" t="s">
        <v>1398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8"/>
      <c r="U109" s="8"/>
      <c r="V109" s="8"/>
      <c r="W109" s="8"/>
      <c r="X109" s="8"/>
      <c r="Y109"/>
      <c r="AA109" s="8"/>
      <c r="AB109" s="8"/>
      <c r="AD109" s="8"/>
      <c r="AE109" s="8"/>
      <c r="AF109" s="8"/>
      <c r="AH109" s="8"/>
      <c r="AI109" s="8"/>
      <c r="AK109"/>
      <c r="AL109"/>
      <c r="AM109"/>
      <c r="AN109"/>
      <c r="AO109"/>
      <c r="AP109"/>
      <c r="AQ109"/>
      <c r="AR109"/>
      <c r="AS109"/>
      <c r="AT109"/>
    </row>
    <row r="110" spans="1:55" s="4" customFormat="1" x14ac:dyDescent="0.2">
      <c r="A110" t="str">
        <f t="shared" si="8"/>
        <v>Valorous Greaves (Custom 4)</v>
      </c>
      <c r="B110" t="s">
        <v>1412</v>
      </c>
      <c r="C110" t="s">
        <v>1399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8"/>
      <c r="U110" s="8"/>
      <c r="V110" s="8"/>
      <c r="W110" s="8"/>
      <c r="X110" s="8"/>
      <c r="Y110"/>
      <c r="AA110" s="8"/>
      <c r="AB110" s="8"/>
      <c r="AD110" s="8"/>
      <c r="AE110" s="8"/>
      <c r="AF110" s="8"/>
      <c r="AH110" s="8"/>
      <c r="AI110" s="8"/>
      <c r="AK110"/>
      <c r="AL110"/>
      <c r="AM110"/>
      <c r="AN110"/>
      <c r="AO110"/>
      <c r="AP110"/>
      <c r="AQ110"/>
      <c r="AR110"/>
      <c r="AS110"/>
      <c r="AT110"/>
    </row>
    <row r="111" spans="1:55" s="4" customFormat="1" x14ac:dyDescent="0.2">
      <c r="A111" t="str">
        <f t="shared" si="8"/>
        <v>Valorous Greaves (Custom 5)</v>
      </c>
      <c r="B111" t="s">
        <v>1412</v>
      </c>
      <c r="C111" t="s">
        <v>1400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8"/>
      <c r="U111" s="8"/>
      <c r="V111" s="8"/>
      <c r="W111" s="8"/>
      <c r="X111" s="8"/>
      <c r="Y111"/>
      <c r="AA111" s="8"/>
      <c r="AB111" s="8"/>
      <c r="AD111" s="8"/>
      <c r="AE111" s="8"/>
      <c r="AF111" s="8"/>
      <c r="AH111" s="8"/>
      <c r="AI111" s="8"/>
      <c r="AK111"/>
      <c r="AL111"/>
      <c r="AM111"/>
      <c r="AN111"/>
      <c r="AO111"/>
      <c r="AP111"/>
      <c r="AQ111"/>
      <c r="AR111"/>
      <c r="AS111"/>
      <c r="AT111"/>
    </row>
    <row r="112" spans="1:55" s="4" customFormat="1" x14ac:dyDescent="0.2">
      <c r="A112" t="str">
        <f t="shared" si="8"/>
        <v>Valorous Greaves (Custom 6)</v>
      </c>
      <c r="B112" t="s">
        <v>1412</v>
      </c>
      <c r="C112" t="s">
        <v>1401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8"/>
      <c r="U112" s="8"/>
      <c r="V112" s="8"/>
      <c r="W112" s="8"/>
      <c r="X112" s="8"/>
      <c r="Y112" s="8"/>
      <c r="AA112" s="8"/>
      <c r="AB112" s="8"/>
      <c r="AC112"/>
      <c r="AD112" s="8"/>
      <c r="AE112" s="8"/>
      <c r="AF112" s="8"/>
      <c r="AI112" s="8"/>
      <c r="AK112"/>
      <c r="AL112"/>
      <c r="AM112"/>
      <c r="AN112"/>
      <c r="AO112"/>
      <c r="AP112"/>
      <c r="AQ112"/>
      <c r="AR112"/>
      <c r="AS112"/>
      <c r="AT112"/>
    </row>
    <row r="113" spans="2:46" s="4" customFormat="1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 s="8"/>
      <c r="AB113" s="8"/>
      <c r="AD113" s="8"/>
      <c r="AE113" s="8"/>
      <c r="AF113" s="8"/>
      <c r="AH113" s="8"/>
      <c r="AI113" s="8"/>
      <c r="AK113"/>
      <c r="AL113"/>
      <c r="AM113"/>
      <c r="AN113"/>
      <c r="AO113"/>
      <c r="AP113"/>
      <c r="AQ113"/>
      <c r="AR113"/>
      <c r="AS113"/>
      <c r="AT113"/>
    </row>
  </sheetData>
  <sheetProtection selectLockedCells="1" selectUnlockedCells="1"/>
  <dataValidations count="7">
    <dataValidation type="list" allowBlank="1" showInputMessage="1" showErrorMessage="1" sqref="B5:B12" xr:uid="{00000000-0002-0000-0900-000000000000}">
      <formula1>BaseAugWeaponList</formula1>
    </dataValidation>
    <dataValidation type="list" allowBlank="1" showInputMessage="1" showErrorMessage="1" sqref="B16:B29" xr:uid="{00000000-0002-0000-0900-000001000000}">
      <formula1>BaseAugHeadList</formula1>
    </dataValidation>
    <dataValidation type="list" allowBlank="1" showInputMessage="1" showErrorMessage="1" sqref="B33:B46" xr:uid="{00000000-0002-0000-0900-000002000000}">
      <formula1>BaseAugBodyList</formula1>
    </dataValidation>
    <dataValidation type="list" allowBlank="1" showInputMessage="1" showErrorMessage="1" sqref="B50:B63" xr:uid="{00000000-0002-0000-0900-000003000000}">
      <formula1>BaseAugHandsList</formula1>
    </dataValidation>
    <dataValidation type="list" allowBlank="1" showInputMessage="1" showErrorMessage="1" sqref="B67:B78" xr:uid="{00000000-0002-0000-0900-000004000000}">
      <formula1>BaseAugBackList</formula1>
    </dataValidation>
    <dataValidation type="list" allowBlank="1" showInputMessage="1" showErrorMessage="1" sqref="B82:B95" xr:uid="{00000000-0002-0000-0900-000005000000}">
      <formula1>BaseAugLegsList</formula1>
    </dataValidation>
    <dataValidation type="list" allowBlank="1" showInputMessage="1" showErrorMessage="1" sqref="B99:B112" xr:uid="{00000000-0002-0000-0900-000006000000}">
      <formula1>BaseAugFeetList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indexed="46"/>
  </sheetPr>
  <dimension ref="A1:BK994"/>
  <sheetViews>
    <sheetView tabSelected="1" workbookViewId="0">
      <pane ySplit="1" topLeftCell="A518" activePane="bottomLeft" state="frozen"/>
      <selection pane="bottomLeft" activeCell="A525" sqref="A525:XFD525"/>
    </sheetView>
  </sheetViews>
  <sheetFormatPr defaultRowHeight="12.75" x14ac:dyDescent="0.2"/>
  <cols>
    <col min="1" max="1" width="24.28515625" bestFit="1" customWidth="1"/>
    <col min="2" max="2" width="4.85546875" customWidth="1"/>
    <col min="3" max="3" width="5" bestFit="1" customWidth="1"/>
    <col min="4" max="6" width="3.7109375" customWidth="1"/>
    <col min="7" max="15" width="4.7109375" customWidth="1"/>
    <col min="16" max="21" width="5.7109375" customWidth="1"/>
    <col min="22" max="27" width="4.7109375" customWidth="1"/>
    <col min="28" max="30" width="7.7109375" customWidth="1"/>
    <col min="31" max="31" width="5.7109375" style="4" customWidth="1"/>
    <col min="32" max="32" width="7.7109375" customWidth="1"/>
    <col min="34" max="34" width="7.7109375" customWidth="1"/>
    <col min="35" max="35" width="4.7109375" style="4" customWidth="1"/>
    <col min="36" max="37" width="5" style="4" customWidth="1"/>
    <col min="38" max="38" width="5.140625" customWidth="1"/>
    <col min="39" max="39" width="6" customWidth="1"/>
    <col min="40" max="40" width="8.5703125" style="4" customWidth="1"/>
    <col min="41" max="42" width="6.7109375" customWidth="1"/>
    <col min="43" max="51" width="5.7109375" customWidth="1"/>
    <col min="52" max="53" width="6.7109375" customWidth="1"/>
  </cols>
  <sheetData>
    <row r="1" spans="1:53" s="1" customFormat="1" x14ac:dyDescent="0.2">
      <c r="A1" s="1" t="s">
        <v>552</v>
      </c>
      <c r="B1" s="1" t="s">
        <v>72</v>
      </c>
      <c r="C1" s="1" t="s">
        <v>482</v>
      </c>
      <c r="D1" s="1" t="s">
        <v>483</v>
      </c>
      <c r="E1" s="1" t="s">
        <v>484</v>
      </c>
      <c r="F1" s="1" t="s">
        <v>492</v>
      </c>
      <c r="G1" s="1" t="s">
        <v>26</v>
      </c>
      <c r="H1" s="1" t="s">
        <v>27</v>
      </c>
      <c r="I1" s="1" t="s">
        <v>23</v>
      </c>
      <c r="J1" s="1" t="s">
        <v>25</v>
      </c>
      <c r="K1" s="1" t="s">
        <v>298</v>
      </c>
      <c r="L1" s="1" t="s">
        <v>299</v>
      </c>
      <c r="M1" s="1" t="s">
        <v>300</v>
      </c>
      <c r="N1" s="1" t="s">
        <v>74</v>
      </c>
      <c r="O1" s="1" t="s">
        <v>73</v>
      </c>
      <c r="P1" s="1" t="s">
        <v>375</v>
      </c>
      <c r="Q1" s="1" t="s">
        <v>553</v>
      </c>
      <c r="R1" s="1" t="s">
        <v>554</v>
      </c>
      <c r="S1" s="1" t="s">
        <v>555</v>
      </c>
      <c r="T1" s="213" t="s">
        <v>556</v>
      </c>
      <c r="U1" s="213" t="s">
        <v>557</v>
      </c>
      <c r="V1" s="1" t="s">
        <v>75</v>
      </c>
      <c r="W1" s="1" t="s">
        <v>76</v>
      </c>
      <c r="X1" s="1" t="s">
        <v>77</v>
      </c>
      <c r="Y1" s="1" t="s">
        <v>480</v>
      </c>
      <c r="Z1" s="1" t="s">
        <v>80</v>
      </c>
      <c r="AA1" s="1" t="s">
        <v>481</v>
      </c>
      <c r="AB1" s="1" t="s">
        <v>28</v>
      </c>
      <c r="AC1" s="1" t="s">
        <v>78</v>
      </c>
      <c r="AD1" s="1" t="s">
        <v>79</v>
      </c>
      <c r="AE1" s="213" t="s">
        <v>82</v>
      </c>
      <c r="AF1" s="1" t="s">
        <v>81</v>
      </c>
      <c r="AG1" s="1" t="s">
        <v>102</v>
      </c>
      <c r="AH1" s="1" t="s">
        <v>103</v>
      </c>
      <c r="AI1" s="213" t="s">
        <v>452</v>
      </c>
      <c r="AJ1" s="213" t="s">
        <v>453</v>
      </c>
      <c r="AK1" s="213" t="s">
        <v>440</v>
      </c>
      <c r="AL1" s="1" t="s">
        <v>349</v>
      </c>
      <c r="AM1" s="1" t="s">
        <v>524</v>
      </c>
      <c r="AN1" s="213" t="s">
        <v>109</v>
      </c>
      <c r="AO1" s="1" t="s">
        <v>233</v>
      </c>
      <c r="AP1" s="1" t="s">
        <v>244</v>
      </c>
      <c r="AQ1" s="1" t="s">
        <v>364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437</v>
      </c>
      <c r="AZ1" s="1" t="s">
        <v>438</v>
      </c>
      <c r="BA1" s="1" t="s">
        <v>439</v>
      </c>
    </row>
    <row r="4" spans="1:53" s="1" customFormat="1" x14ac:dyDescent="0.2">
      <c r="A4" s="1" t="s">
        <v>83</v>
      </c>
      <c r="B4" s="1" t="s">
        <v>72</v>
      </c>
      <c r="C4" s="1" t="s">
        <v>482</v>
      </c>
      <c r="D4" s="1" t="s">
        <v>483</v>
      </c>
      <c r="E4" s="1" t="s">
        <v>484</v>
      </c>
      <c r="F4" s="1" t="s">
        <v>492</v>
      </c>
      <c r="G4" s="1" t="s">
        <v>26</v>
      </c>
      <c r="H4" s="1" t="s">
        <v>27</v>
      </c>
      <c r="I4" s="1" t="s">
        <v>23</v>
      </c>
      <c r="J4" s="1" t="s">
        <v>25</v>
      </c>
      <c r="K4" s="1" t="s">
        <v>298</v>
      </c>
      <c r="L4" s="1" t="s">
        <v>299</v>
      </c>
      <c r="M4" s="1" t="s">
        <v>300</v>
      </c>
      <c r="N4" s="1" t="s">
        <v>74</v>
      </c>
      <c r="O4" s="1" t="s">
        <v>73</v>
      </c>
      <c r="P4" s="1" t="s">
        <v>375</v>
      </c>
      <c r="Q4" s="1" t="s">
        <v>553</v>
      </c>
      <c r="R4" s="1" t="s">
        <v>554</v>
      </c>
      <c r="S4" s="1" t="s">
        <v>555</v>
      </c>
      <c r="T4" s="213" t="s">
        <v>556</v>
      </c>
      <c r="U4" s="213" t="s">
        <v>557</v>
      </c>
      <c r="V4" s="1" t="s">
        <v>75</v>
      </c>
      <c r="W4" s="1" t="s">
        <v>76</v>
      </c>
      <c r="X4" s="1" t="s">
        <v>77</v>
      </c>
      <c r="Y4" s="1" t="s">
        <v>480</v>
      </c>
      <c r="Z4" s="1" t="s">
        <v>80</v>
      </c>
      <c r="AA4" s="1" t="s">
        <v>481</v>
      </c>
      <c r="AB4" s="1" t="s">
        <v>28</v>
      </c>
      <c r="AC4" s="1" t="s">
        <v>78</v>
      </c>
      <c r="AD4" s="1" t="s">
        <v>79</v>
      </c>
      <c r="AE4" s="213" t="s">
        <v>82</v>
      </c>
      <c r="AF4" s="1" t="s">
        <v>81</v>
      </c>
      <c r="AG4" s="1" t="s">
        <v>102</v>
      </c>
      <c r="AH4" s="1" t="s">
        <v>103</v>
      </c>
      <c r="AI4" s="213" t="s">
        <v>452</v>
      </c>
      <c r="AJ4" s="213" t="s">
        <v>453</v>
      </c>
      <c r="AK4" s="213" t="s">
        <v>440</v>
      </c>
      <c r="AL4" s="1" t="s">
        <v>349</v>
      </c>
      <c r="AM4" s="1" t="s">
        <v>524</v>
      </c>
      <c r="AN4" s="213" t="s">
        <v>109</v>
      </c>
      <c r="AO4" s="1" t="s">
        <v>233</v>
      </c>
      <c r="AP4" s="1" t="s">
        <v>244</v>
      </c>
      <c r="AQ4" s="1" t="s">
        <v>364</v>
      </c>
      <c r="AR4" s="1" t="s">
        <v>353</v>
      </c>
      <c r="AS4" s="1" t="s">
        <v>354</v>
      </c>
      <c r="AT4" s="1" t="s">
        <v>355</v>
      </c>
      <c r="AU4" s="1" t="s">
        <v>356</v>
      </c>
      <c r="AV4" s="1" t="s">
        <v>357</v>
      </c>
      <c r="AW4" s="1" t="s">
        <v>358</v>
      </c>
      <c r="AX4" s="1" t="s">
        <v>359</v>
      </c>
      <c r="AY4" s="1" t="s">
        <v>437</v>
      </c>
      <c r="AZ4" s="1" t="s">
        <v>438</v>
      </c>
      <c r="BA4" s="1" t="s">
        <v>439</v>
      </c>
    </row>
    <row r="5" spans="1:53" x14ac:dyDescent="0.2">
      <c r="A5" t="s">
        <v>1431</v>
      </c>
      <c r="B5">
        <v>0</v>
      </c>
      <c r="P5" s="8"/>
      <c r="V5" s="8"/>
      <c r="W5" s="8"/>
      <c r="X5" s="8"/>
      <c r="Y5" s="8"/>
      <c r="Z5" s="8"/>
      <c r="AB5" s="4"/>
      <c r="AC5" s="8"/>
      <c r="AD5" s="8"/>
      <c r="AF5" s="4"/>
      <c r="AG5" s="4"/>
      <c r="AH5" s="8"/>
      <c r="AL5" s="4"/>
      <c r="AM5" s="8"/>
      <c r="AO5" s="4">
        <v>8</v>
      </c>
      <c r="AP5">
        <v>396</v>
      </c>
    </row>
    <row r="6" spans="1:53" x14ac:dyDescent="0.2">
      <c r="A6" t="s">
        <v>572</v>
      </c>
      <c r="B6">
        <v>242</v>
      </c>
      <c r="G6">
        <v>20</v>
      </c>
      <c r="O6">
        <v>40</v>
      </c>
      <c r="P6" s="8"/>
      <c r="V6" s="8"/>
      <c r="W6" s="8"/>
      <c r="X6" s="8"/>
      <c r="Y6" s="8"/>
      <c r="Z6" s="8"/>
      <c r="AB6" s="4"/>
      <c r="AC6" s="8"/>
      <c r="AD6" s="8"/>
      <c r="AF6" s="4">
        <v>15</v>
      </c>
      <c r="AG6" s="4"/>
      <c r="AH6" s="8"/>
      <c r="AL6" s="4"/>
      <c r="AM6" s="8"/>
      <c r="AO6" s="4">
        <v>303</v>
      </c>
      <c r="AP6">
        <v>492</v>
      </c>
    </row>
    <row r="7" spans="1:53" x14ac:dyDescent="0.2">
      <c r="A7" t="s">
        <v>578</v>
      </c>
      <c r="B7">
        <v>242</v>
      </c>
      <c r="H7">
        <v>12</v>
      </c>
      <c r="I7">
        <v>12</v>
      </c>
      <c r="O7">
        <v>15</v>
      </c>
      <c r="P7" s="8"/>
      <c r="V7" s="8"/>
      <c r="W7" s="8"/>
      <c r="X7" s="8"/>
      <c r="Y7" s="8"/>
      <c r="Z7" s="8"/>
      <c r="AB7" s="4"/>
      <c r="AC7" s="8"/>
      <c r="AD7" s="8"/>
      <c r="AF7" s="8"/>
      <c r="AG7" s="4"/>
      <c r="AH7" s="8"/>
      <c r="AL7" s="4"/>
      <c r="AM7" s="8"/>
      <c r="AO7" s="4">
        <v>252</v>
      </c>
      <c r="AP7">
        <v>492</v>
      </c>
    </row>
    <row r="8" spans="1:53" x14ac:dyDescent="0.2">
      <c r="A8" t="s">
        <v>579</v>
      </c>
      <c r="B8">
        <v>242</v>
      </c>
      <c r="H8">
        <v>17</v>
      </c>
      <c r="I8">
        <v>17</v>
      </c>
      <c r="O8">
        <v>20</v>
      </c>
      <c r="P8" s="8"/>
      <c r="V8" s="8"/>
      <c r="W8" s="8"/>
      <c r="X8" s="8"/>
      <c r="Y8" s="8"/>
      <c r="Z8" s="8"/>
      <c r="AB8" s="4"/>
      <c r="AC8" s="8"/>
      <c r="AD8" s="8"/>
      <c r="AF8" s="8"/>
      <c r="AG8" s="4"/>
      <c r="AH8" s="8"/>
      <c r="AL8" s="4"/>
      <c r="AM8" s="8"/>
      <c r="AO8">
        <v>253</v>
      </c>
      <c r="AP8">
        <v>478</v>
      </c>
    </row>
    <row r="9" spans="1:53" x14ac:dyDescent="0.2">
      <c r="A9" t="s">
        <v>583</v>
      </c>
      <c r="B9">
        <v>242</v>
      </c>
      <c r="P9" s="8"/>
      <c r="V9" s="8"/>
      <c r="W9" s="8"/>
      <c r="X9" s="8"/>
      <c r="Y9" s="8"/>
      <c r="Z9" s="8"/>
      <c r="AB9" s="4"/>
      <c r="AC9" s="8"/>
      <c r="AD9" s="8"/>
      <c r="AE9" s="4">
        <v>6</v>
      </c>
      <c r="AF9" s="8"/>
      <c r="AG9" s="4"/>
      <c r="AH9" s="8"/>
      <c r="AL9" s="4"/>
      <c r="AM9" s="8"/>
      <c r="AO9">
        <v>269</v>
      </c>
      <c r="AP9">
        <v>492</v>
      </c>
    </row>
    <row r="10" spans="1:53" x14ac:dyDescent="0.2">
      <c r="A10" t="s">
        <v>567</v>
      </c>
      <c r="B10">
        <v>242</v>
      </c>
      <c r="N10">
        <v>70</v>
      </c>
      <c r="P10" s="8"/>
      <c r="V10" s="8"/>
      <c r="W10" s="8"/>
      <c r="X10" s="8"/>
      <c r="Y10" s="8"/>
      <c r="Z10" s="8"/>
      <c r="AB10" s="4"/>
      <c r="AC10" s="8"/>
      <c r="AD10" s="8"/>
      <c r="AE10" s="4">
        <v>14</v>
      </c>
      <c r="AF10" s="8"/>
      <c r="AG10" s="4"/>
      <c r="AH10" s="8"/>
      <c r="AL10" s="4"/>
      <c r="AM10" s="8"/>
      <c r="AO10">
        <v>278</v>
      </c>
      <c r="AP10">
        <v>492</v>
      </c>
    </row>
    <row r="11" spans="1:53" x14ac:dyDescent="0.2">
      <c r="A11" t="s">
        <v>573</v>
      </c>
      <c r="B11">
        <v>242</v>
      </c>
      <c r="N11">
        <v>20</v>
      </c>
      <c r="P11" s="8"/>
      <c r="V11" s="8"/>
      <c r="W11" s="8"/>
      <c r="X11" s="8"/>
      <c r="Y11" s="8"/>
      <c r="Z11" s="8"/>
      <c r="AB11" s="4"/>
      <c r="AC11" s="8"/>
      <c r="AD11" s="8"/>
      <c r="AF11" s="8"/>
      <c r="AG11" s="4"/>
      <c r="AH11" s="8"/>
      <c r="AL11" s="4"/>
      <c r="AM11" s="8"/>
      <c r="AO11" s="4">
        <v>262</v>
      </c>
      <c r="AP11">
        <v>507</v>
      </c>
    </row>
    <row r="12" spans="1:53" x14ac:dyDescent="0.2">
      <c r="A12" t="s">
        <v>574</v>
      </c>
      <c r="B12">
        <v>242</v>
      </c>
      <c r="N12">
        <v>25</v>
      </c>
      <c r="P12" s="8"/>
      <c r="V12" s="8"/>
      <c r="W12" s="8"/>
      <c r="X12" s="8"/>
      <c r="Y12" s="8"/>
      <c r="Z12" s="8"/>
      <c r="AB12" s="4"/>
      <c r="AC12" s="8"/>
      <c r="AD12" s="8"/>
      <c r="AF12" s="8"/>
      <c r="AG12" s="4"/>
      <c r="AH12" s="8"/>
      <c r="AL12" s="4"/>
      <c r="AM12" s="8"/>
      <c r="AO12">
        <v>224</v>
      </c>
      <c r="AP12">
        <v>492</v>
      </c>
      <c r="AQ12" s="8">
        <v>0.4</v>
      </c>
      <c r="AR12" s="8">
        <v>1</v>
      </c>
    </row>
    <row r="13" spans="1:53" x14ac:dyDescent="0.2">
      <c r="A13" t="s">
        <v>682</v>
      </c>
      <c r="B13">
        <v>215</v>
      </c>
      <c r="P13" s="8"/>
      <c r="V13" s="8"/>
      <c r="W13" s="8"/>
      <c r="X13" s="8"/>
      <c r="Y13" s="8"/>
      <c r="Z13" s="8"/>
      <c r="AB13" s="4"/>
      <c r="AC13" s="8"/>
      <c r="AD13" s="8"/>
      <c r="AF13" s="8"/>
      <c r="AG13" s="4"/>
      <c r="AH13" s="8"/>
      <c r="AL13" s="4"/>
      <c r="AM13" s="8"/>
      <c r="AO13">
        <v>227</v>
      </c>
      <c r="AP13">
        <v>492</v>
      </c>
    </row>
    <row r="14" spans="1:53" x14ac:dyDescent="0.2">
      <c r="A14" t="s">
        <v>582</v>
      </c>
      <c r="B14">
        <v>215</v>
      </c>
      <c r="N14">
        <v>15</v>
      </c>
      <c r="O14">
        <v>10</v>
      </c>
      <c r="P14" s="8"/>
      <c r="V14" s="8"/>
      <c r="W14" s="8"/>
      <c r="X14" s="8"/>
      <c r="Y14" s="8"/>
      <c r="Z14" s="8"/>
      <c r="AB14" s="4"/>
      <c r="AC14" s="8"/>
      <c r="AD14" s="8"/>
      <c r="AF14" s="8"/>
      <c r="AG14" s="4"/>
      <c r="AH14" s="8"/>
      <c r="AL14" s="4"/>
      <c r="AM14" s="8"/>
      <c r="AO14">
        <v>239</v>
      </c>
      <c r="AP14">
        <v>492</v>
      </c>
    </row>
    <row r="15" spans="1:53" x14ac:dyDescent="0.2">
      <c r="A15" t="s">
        <v>744</v>
      </c>
      <c r="B15">
        <v>242</v>
      </c>
      <c r="N15">
        <v>18</v>
      </c>
      <c r="P15" s="8"/>
      <c r="V15" s="8"/>
      <c r="W15" s="8"/>
      <c r="X15" s="8"/>
      <c r="Y15" s="8"/>
      <c r="Z15" s="8"/>
      <c r="AB15" s="4"/>
      <c r="AC15" s="8">
        <v>0.05</v>
      </c>
      <c r="AD15" s="8"/>
      <c r="AF15" s="8"/>
      <c r="AG15" s="4"/>
      <c r="AH15" s="8"/>
      <c r="AL15" s="4"/>
      <c r="AM15" s="8"/>
      <c r="AO15" s="4">
        <v>298</v>
      </c>
      <c r="AP15">
        <v>551</v>
      </c>
    </row>
    <row r="16" spans="1:53" x14ac:dyDescent="0.2">
      <c r="A16" t="s">
        <v>745</v>
      </c>
      <c r="B16">
        <v>242</v>
      </c>
      <c r="N16">
        <v>18</v>
      </c>
      <c r="P16" s="8"/>
      <c r="V16" s="8"/>
      <c r="W16" s="8"/>
      <c r="X16" s="8"/>
      <c r="Y16" s="8"/>
      <c r="Z16" s="8"/>
      <c r="AB16" s="4"/>
      <c r="AC16" s="8">
        <v>0.01</v>
      </c>
      <c r="AD16" s="8"/>
      <c r="AF16" s="8"/>
      <c r="AG16" s="4"/>
      <c r="AH16" s="8"/>
      <c r="AL16" s="4"/>
      <c r="AM16" s="8"/>
      <c r="AO16" s="4">
        <v>298</v>
      </c>
      <c r="AP16">
        <v>551</v>
      </c>
    </row>
    <row r="17" spans="1:44" x14ac:dyDescent="0.2">
      <c r="A17" t="s">
        <v>746</v>
      </c>
      <c r="B17">
        <v>242</v>
      </c>
      <c r="N17">
        <v>19</v>
      </c>
      <c r="P17" s="8"/>
      <c r="V17" s="8"/>
      <c r="W17" s="8"/>
      <c r="X17" s="8"/>
      <c r="Y17" s="8"/>
      <c r="Z17" s="8"/>
      <c r="AB17" s="4"/>
      <c r="AC17" s="8">
        <v>0.05</v>
      </c>
      <c r="AD17" s="8"/>
      <c r="AF17" s="8"/>
      <c r="AG17" s="4"/>
      <c r="AH17" s="8"/>
      <c r="AL17" s="4"/>
      <c r="AM17" s="8"/>
      <c r="AO17">
        <v>299</v>
      </c>
      <c r="AP17">
        <v>540</v>
      </c>
    </row>
    <row r="18" spans="1:44" x14ac:dyDescent="0.2">
      <c r="A18" t="s">
        <v>747</v>
      </c>
      <c r="B18">
        <v>242</v>
      </c>
      <c r="N18">
        <v>19</v>
      </c>
      <c r="P18" s="8"/>
      <c r="V18" s="8"/>
      <c r="W18" s="8"/>
      <c r="X18" s="8"/>
      <c r="Y18" s="8"/>
      <c r="Z18" s="8"/>
      <c r="AB18" s="4"/>
      <c r="AC18" s="8">
        <v>0.01</v>
      </c>
      <c r="AD18" s="8"/>
      <c r="AF18" s="8"/>
      <c r="AG18" s="4"/>
      <c r="AH18" s="8"/>
      <c r="AL18" s="4"/>
      <c r="AM18" s="8"/>
      <c r="AO18">
        <v>299</v>
      </c>
      <c r="AP18">
        <v>540</v>
      </c>
    </row>
    <row r="19" spans="1:44" x14ac:dyDescent="0.2">
      <c r="A19" t="s">
        <v>679</v>
      </c>
      <c r="B19">
        <v>242</v>
      </c>
      <c r="N19">
        <v>40</v>
      </c>
      <c r="P19" s="8"/>
      <c r="V19" s="8"/>
      <c r="W19" s="8"/>
      <c r="X19" s="8"/>
      <c r="Y19" s="8"/>
      <c r="Z19" s="8"/>
      <c r="AB19" s="4"/>
      <c r="AC19" s="8"/>
      <c r="AD19" s="8"/>
      <c r="AF19" s="8"/>
      <c r="AG19" s="4"/>
      <c r="AH19" s="8"/>
      <c r="AL19" s="4"/>
      <c r="AM19" s="8"/>
      <c r="AO19" s="4">
        <v>255</v>
      </c>
      <c r="AP19">
        <v>492</v>
      </c>
    </row>
    <row r="20" spans="1:44" x14ac:dyDescent="0.2">
      <c r="A20" t="s">
        <v>590</v>
      </c>
      <c r="B20">
        <v>269</v>
      </c>
      <c r="N20">
        <v>60</v>
      </c>
      <c r="P20" s="8"/>
      <c r="U20">
        <v>155</v>
      </c>
      <c r="V20" s="8"/>
      <c r="W20" s="8"/>
      <c r="X20" s="8"/>
      <c r="Y20" s="8"/>
      <c r="Z20" s="8"/>
      <c r="AB20" s="4"/>
      <c r="AC20" s="8"/>
      <c r="AD20" s="8"/>
      <c r="AF20" s="8"/>
      <c r="AG20" s="4"/>
      <c r="AH20" s="8"/>
      <c r="AL20" s="4"/>
      <c r="AM20" s="8"/>
      <c r="AO20" s="4">
        <v>347</v>
      </c>
      <c r="AP20">
        <v>492</v>
      </c>
    </row>
    <row r="21" spans="1:44" x14ac:dyDescent="0.2">
      <c r="A21" t="s">
        <v>571</v>
      </c>
      <c r="B21">
        <v>242</v>
      </c>
      <c r="N21">
        <v>36</v>
      </c>
      <c r="O21">
        <v>34</v>
      </c>
      <c r="P21" s="8"/>
      <c r="V21" s="8"/>
      <c r="W21" s="8"/>
      <c r="X21" s="8"/>
      <c r="Y21" s="8"/>
      <c r="Z21" s="8"/>
      <c r="AB21" s="4"/>
      <c r="AC21" s="8">
        <v>0.05</v>
      </c>
      <c r="AD21" s="8"/>
      <c r="AE21" s="4">
        <v>8</v>
      </c>
      <c r="AF21" s="8"/>
      <c r="AG21" s="4"/>
      <c r="AH21" s="8"/>
      <c r="AL21" s="4"/>
      <c r="AM21" s="8"/>
      <c r="AO21" s="4">
        <v>300</v>
      </c>
      <c r="AP21">
        <v>492</v>
      </c>
    </row>
    <row r="22" spans="1:44" x14ac:dyDescent="0.2">
      <c r="A22" t="s">
        <v>681</v>
      </c>
      <c r="B22">
        <v>215</v>
      </c>
      <c r="P22" s="8"/>
      <c r="V22" s="8"/>
      <c r="W22" s="8"/>
      <c r="X22" s="8"/>
      <c r="Y22" s="8"/>
      <c r="Z22" s="8"/>
      <c r="AB22" s="4"/>
      <c r="AC22" s="8"/>
      <c r="AD22" s="8"/>
      <c r="AF22" s="8"/>
      <c r="AG22" s="4"/>
      <c r="AH22" s="8"/>
      <c r="AL22" s="4"/>
      <c r="AM22" s="8"/>
      <c r="AO22">
        <v>252</v>
      </c>
      <c r="AP22">
        <v>492</v>
      </c>
    </row>
    <row r="23" spans="1:44" x14ac:dyDescent="0.2">
      <c r="A23" t="s">
        <v>581</v>
      </c>
      <c r="B23">
        <v>215</v>
      </c>
      <c r="P23" s="8"/>
      <c r="V23" s="8"/>
      <c r="W23" s="8"/>
      <c r="X23" s="8"/>
      <c r="Y23" s="8"/>
      <c r="Z23" s="8"/>
      <c r="AB23" s="4"/>
      <c r="AC23" s="8"/>
      <c r="AD23" s="8"/>
      <c r="AF23" s="8"/>
      <c r="AG23" s="4"/>
      <c r="AH23" s="8"/>
      <c r="AK23" s="4">
        <v>400</v>
      </c>
      <c r="AL23" s="4"/>
      <c r="AM23" s="8"/>
      <c r="AO23">
        <v>252</v>
      </c>
      <c r="AP23">
        <v>492</v>
      </c>
      <c r="AQ23" s="8">
        <v>0.4</v>
      </c>
      <c r="AR23" s="8">
        <v>1</v>
      </c>
    </row>
    <row r="24" spans="1:44" x14ac:dyDescent="0.2">
      <c r="A24" t="s">
        <v>585</v>
      </c>
      <c r="B24">
        <v>242</v>
      </c>
      <c r="N24">
        <v>15</v>
      </c>
      <c r="P24" s="8"/>
      <c r="V24" s="8">
        <v>0.03</v>
      </c>
      <c r="W24" s="8"/>
      <c r="X24" s="8"/>
      <c r="Y24" s="8"/>
      <c r="Z24" s="8">
        <v>0.06</v>
      </c>
      <c r="AB24" s="4"/>
      <c r="AC24" s="8"/>
      <c r="AD24" s="8"/>
      <c r="AF24" s="8"/>
      <c r="AG24" s="4"/>
      <c r="AH24" s="8"/>
      <c r="AL24" s="4"/>
      <c r="AM24" s="8"/>
      <c r="AO24" s="4">
        <v>271</v>
      </c>
      <c r="AP24">
        <v>480</v>
      </c>
    </row>
    <row r="25" spans="1:44" x14ac:dyDescent="0.2">
      <c r="A25" t="s">
        <v>586</v>
      </c>
      <c r="B25">
        <v>242</v>
      </c>
      <c r="G25">
        <v>10</v>
      </c>
      <c r="N25">
        <v>25</v>
      </c>
      <c r="P25" s="8"/>
      <c r="V25" s="8">
        <v>0.03</v>
      </c>
      <c r="W25" s="8"/>
      <c r="X25" s="8"/>
      <c r="Y25" s="8"/>
      <c r="Z25" s="8">
        <v>0.06</v>
      </c>
      <c r="AB25" s="4"/>
      <c r="AC25" s="8"/>
      <c r="AD25" s="8"/>
      <c r="AE25" s="4">
        <v>9</v>
      </c>
      <c r="AF25" s="8"/>
      <c r="AG25" s="4"/>
      <c r="AH25" s="8"/>
      <c r="AL25" s="4"/>
      <c r="AM25" s="8"/>
      <c r="AO25" s="4">
        <v>271</v>
      </c>
      <c r="AP25">
        <v>480</v>
      </c>
    </row>
    <row r="26" spans="1:44" x14ac:dyDescent="0.2">
      <c r="A26" t="s">
        <v>584</v>
      </c>
      <c r="B26">
        <v>188</v>
      </c>
      <c r="G26">
        <v>12</v>
      </c>
      <c r="I26">
        <v>12</v>
      </c>
      <c r="P26" s="8"/>
      <c r="V26" s="8"/>
      <c r="W26" s="8"/>
      <c r="X26" s="8"/>
      <c r="Y26" s="8"/>
      <c r="Z26" s="8"/>
      <c r="AB26" s="11">
        <v>20</v>
      </c>
      <c r="AC26" s="8"/>
      <c r="AD26" s="8"/>
      <c r="AF26" s="8"/>
      <c r="AG26" s="4"/>
      <c r="AH26" s="8"/>
      <c r="AL26" s="4"/>
      <c r="AM26" s="8"/>
      <c r="AO26" s="4">
        <v>239</v>
      </c>
      <c r="AP26">
        <v>492</v>
      </c>
    </row>
    <row r="27" spans="1:44" x14ac:dyDescent="0.2">
      <c r="A27" t="s">
        <v>580</v>
      </c>
      <c r="B27">
        <v>188</v>
      </c>
      <c r="G27">
        <v>12</v>
      </c>
      <c r="I27">
        <v>12</v>
      </c>
      <c r="P27" s="8"/>
      <c r="V27" s="8"/>
      <c r="W27" s="8"/>
      <c r="X27" s="8"/>
      <c r="Y27" s="8"/>
      <c r="Z27" s="8"/>
      <c r="AB27" s="11">
        <v>20</v>
      </c>
      <c r="AC27" s="8"/>
      <c r="AD27" s="8"/>
      <c r="AE27" s="4">
        <v>5</v>
      </c>
      <c r="AF27" s="8"/>
      <c r="AG27" s="4"/>
      <c r="AH27" s="8"/>
      <c r="AL27" s="4"/>
      <c r="AM27" s="8"/>
      <c r="AO27" s="4">
        <v>239</v>
      </c>
      <c r="AP27">
        <v>492</v>
      </c>
      <c r="AQ27" s="8">
        <v>0.4</v>
      </c>
      <c r="AR27" s="8">
        <v>1</v>
      </c>
    </row>
    <row r="28" spans="1:44" x14ac:dyDescent="0.2">
      <c r="A28" t="s">
        <v>587</v>
      </c>
      <c r="B28">
        <v>242</v>
      </c>
      <c r="H28">
        <v>3</v>
      </c>
      <c r="N28">
        <v>4</v>
      </c>
      <c r="P28" s="8"/>
      <c r="V28" s="8"/>
      <c r="W28" s="8"/>
      <c r="X28" s="8"/>
      <c r="Y28" s="8"/>
      <c r="Z28" s="8"/>
      <c r="AB28" s="4"/>
      <c r="AC28" s="8"/>
      <c r="AD28" s="8"/>
      <c r="AF28" s="8"/>
      <c r="AG28" s="4"/>
      <c r="AH28" s="8"/>
      <c r="AL28" s="4"/>
      <c r="AM28" s="8"/>
      <c r="AO28" s="4">
        <v>261</v>
      </c>
      <c r="AP28">
        <v>492</v>
      </c>
    </row>
    <row r="29" spans="1:44" x14ac:dyDescent="0.2">
      <c r="A29" t="s">
        <v>577</v>
      </c>
      <c r="B29">
        <v>242</v>
      </c>
      <c r="N29">
        <v>35</v>
      </c>
      <c r="O29">
        <v>35</v>
      </c>
      <c r="P29" s="8"/>
      <c r="V29" s="8"/>
      <c r="W29" s="8">
        <v>0.03</v>
      </c>
      <c r="X29" s="8"/>
      <c r="Y29" s="8"/>
      <c r="Z29" s="8"/>
      <c r="AB29" s="4"/>
      <c r="AC29" s="8"/>
      <c r="AD29" s="8"/>
      <c r="AF29" s="8"/>
      <c r="AG29" s="4"/>
      <c r="AH29" s="8"/>
      <c r="AL29" s="4"/>
      <c r="AM29" s="8"/>
      <c r="AO29" s="4">
        <v>313</v>
      </c>
      <c r="AP29">
        <v>492</v>
      </c>
    </row>
    <row r="30" spans="1:44" x14ac:dyDescent="0.2">
      <c r="A30" t="s">
        <v>576</v>
      </c>
      <c r="B30">
        <v>228</v>
      </c>
      <c r="N30">
        <v>17</v>
      </c>
      <c r="P30" s="8"/>
      <c r="V30" s="8"/>
      <c r="W30" s="8"/>
      <c r="X30" s="8"/>
      <c r="Y30" s="8"/>
      <c r="Z30" s="8"/>
      <c r="AB30" s="4"/>
      <c r="AC30" s="8"/>
      <c r="AD30" s="8"/>
      <c r="AE30" s="4">
        <v>3</v>
      </c>
      <c r="AF30" s="8"/>
      <c r="AG30" s="4"/>
      <c r="AH30" s="8"/>
      <c r="AL30" s="4"/>
      <c r="AM30" s="8"/>
      <c r="AO30" s="4">
        <v>207</v>
      </c>
      <c r="AP30">
        <v>396</v>
      </c>
    </row>
    <row r="31" spans="1:44" x14ac:dyDescent="0.2">
      <c r="A31" t="s">
        <v>676</v>
      </c>
      <c r="B31">
        <v>242</v>
      </c>
      <c r="G31">
        <v>17</v>
      </c>
      <c r="H31">
        <v>7</v>
      </c>
      <c r="N31">
        <v>20</v>
      </c>
      <c r="O31">
        <v>10</v>
      </c>
      <c r="P31" s="8"/>
      <c r="V31" s="8">
        <v>0.03</v>
      </c>
      <c r="W31" s="8"/>
      <c r="X31" s="8"/>
      <c r="Y31" s="8"/>
      <c r="Z31" s="8"/>
      <c r="AB31" s="11">
        <v>20</v>
      </c>
      <c r="AC31" s="8"/>
      <c r="AD31" s="8"/>
      <c r="AF31" s="8"/>
      <c r="AG31" s="4"/>
      <c r="AH31" s="8"/>
      <c r="AL31" s="4"/>
      <c r="AM31" s="8"/>
      <c r="AO31" s="4">
        <v>285</v>
      </c>
      <c r="AP31">
        <v>492</v>
      </c>
      <c r="AQ31" s="8"/>
    </row>
    <row r="32" spans="1:44" x14ac:dyDescent="0.2">
      <c r="A32" t="s">
        <v>677</v>
      </c>
      <c r="B32">
        <v>242</v>
      </c>
      <c r="G32">
        <v>7</v>
      </c>
      <c r="H32">
        <v>7</v>
      </c>
      <c r="N32">
        <v>15</v>
      </c>
      <c r="O32">
        <v>25</v>
      </c>
      <c r="P32" s="8"/>
      <c r="V32" s="8"/>
      <c r="W32" s="8"/>
      <c r="X32" s="8"/>
      <c r="Y32" s="8"/>
      <c r="Z32" s="8"/>
      <c r="AB32" s="11">
        <v>20</v>
      </c>
      <c r="AC32" s="8"/>
      <c r="AD32" s="8"/>
      <c r="AF32" s="8"/>
      <c r="AG32" s="4"/>
      <c r="AH32" s="8"/>
      <c r="AL32" s="4"/>
      <c r="AM32" s="8"/>
      <c r="AO32" s="4">
        <v>285</v>
      </c>
      <c r="AP32">
        <v>492</v>
      </c>
      <c r="AQ32" s="8"/>
    </row>
    <row r="33" spans="1:43" x14ac:dyDescent="0.2">
      <c r="A33" s="148" t="s">
        <v>680</v>
      </c>
      <c r="B33">
        <v>242</v>
      </c>
      <c r="G33">
        <v>7</v>
      </c>
      <c r="H33">
        <v>7</v>
      </c>
      <c r="O33">
        <v>10</v>
      </c>
      <c r="P33" s="8"/>
      <c r="V33" s="8"/>
      <c r="W33" s="8"/>
      <c r="X33" s="8"/>
      <c r="Y33" s="8"/>
      <c r="Z33" s="8"/>
      <c r="AB33" s="11">
        <v>20</v>
      </c>
      <c r="AC33" s="8"/>
      <c r="AD33" s="8"/>
      <c r="AF33" s="8"/>
      <c r="AG33" s="4"/>
      <c r="AH33" s="8"/>
      <c r="AL33" s="4"/>
      <c r="AM33" s="8"/>
      <c r="AO33" s="4">
        <v>285</v>
      </c>
      <c r="AP33">
        <v>492</v>
      </c>
      <c r="AQ33" s="8"/>
    </row>
    <row r="34" spans="1:43" x14ac:dyDescent="0.2">
      <c r="A34" t="s">
        <v>678</v>
      </c>
      <c r="B34">
        <v>242</v>
      </c>
      <c r="G34">
        <v>7</v>
      </c>
      <c r="H34">
        <v>7</v>
      </c>
      <c r="N34">
        <v>20</v>
      </c>
      <c r="O34">
        <v>10</v>
      </c>
      <c r="P34" s="8"/>
      <c r="V34" s="8"/>
      <c r="W34" s="8"/>
      <c r="X34" s="8"/>
      <c r="Y34" s="8"/>
      <c r="Z34" s="8"/>
      <c r="AB34" s="11">
        <v>20</v>
      </c>
      <c r="AC34" s="8"/>
      <c r="AD34" s="8"/>
      <c r="AE34" s="4">
        <v>5</v>
      </c>
      <c r="AF34" s="8"/>
      <c r="AG34" s="4"/>
      <c r="AH34" s="8"/>
      <c r="AL34" s="4"/>
      <c r="AM34" s="8"/>
      <c r="AO34" s="4">
        <v>285</v>
      </c>
      <c r="AP34">
        <v>492</v>
      </c>
      <c r="AQ34" s="8"/>
    </row>
    <row r="35" spans="1:43" x14ac:dyDescent="0.2">
      <c r="A35" t="s">
        <v>621</v>
      </c>
      <c r="B35">
        <v>242</v>
      </c>
      <c r="AO35">
        <v>277</v>
      </c>
      <c r="AP35">
        <v>528</v>
      </c>
    </row>
    <row r="36" spans="1:43" x14ac:dyDescent="0.2">
      <c r="A36" t="str">
        <f>Augments!A5</f>
        <v>Olyndicus (DA+DMG)</v>
      </c>
      <c r="B36">
        <f t="shared" ref="B36:K39" ca="1" si="0">IF(ISBLANK($A36),0,VLOOKUP($A36,INDIRECT(CONCATENATE("Aug",$A$4)),MATCH(B$1,AugStatHeader,0),0)
+VLOOKUP(LEFT($A36,FIND(" (",$A36,1)-1),INDIRECT("BaseAugWeapon"),MATCH(B$1,StatHeader,0),0))</f>
        <v>242</v>
      </c>
      <c r="C36">
        <f t="shared" ca="1" si="0"/>
        <v>0</v>
      </c>
      <c r="D36">
        <f t="shared" ca="1" si="0"/>
        <v>0</v>
      </c>
      <c r="E36">
        <f t="shared" ca="1" si="0"/>
        <v>0</v>
      </c>
      <c r="F36">
        <f t="shared" ca="1" si="0"/>
        <v>0</v>
      </c>
      <c r="G36">
        <f t="shared" ca="1" si="0"/>
        <v>0</v>
      </c>
      <c r="H36">
        <f t="shared" ca="1" si="0"/>
        <v>0</v>
      </c>
      <c r="I36">
        <f t="shared" ca="1" si="0"/>
        <v>0</v>
      </c>
      <c r="J36">
        <f t="shared" ca="1" si="0"/>
        <v>0</v>
      </c>
      <c r="K36">
        <f t="shared" ca="1" si="0"/>
        <v>0</v>
      </c>
      <c r="L36">
        <f t="shared" ref="L36:U39" ca="1" si="1">IF(ISBLANK($A36),0,VLOOKUP($A36,INDIRECT(CONCATENATE("Aug",$A$4)),MATCH(L$1,AugStatHeader,0),0)
+VLOOKUP(LEFT($A36,FIND(" (",$A36,1)-1),INDIRECT("BaseAugWeapon"),MATCH(L$1,StatHeader,0),0))</f>
        <v>0</v>
      </c>
      <c r="M36">
        <f t="shared" ca="1" si="1"/>
        <v>0</v>
      </c>
      <c r="N36">
        <f t="shared" ca="1" si="1"/>
        <v>20</v>
      </c>
      <c r="O36">
        <f t="shared" ca="1" si="1"/>
        <v>20</v>
      </c>
      <c r="P36" s="8">
        <f t="shared" ca="1" si="1"/>
        <v>0</v>
      </c>
      <c r="Q36">
        <f t="shared" ca="1" si="1"/>
        <v>0</v>
      </c>
      <c r="R36">
        <f t="shared" ca="1" si="1"/>
        <v>0</v>
      </c>
      <c r="S36">
        <f t="shared" ca="1" si="1"/>
        <v>0</v>
      </c>
      <c r="T36">
        <f t="shared" ca="1" si="1"/>
        <v>0</v>
      </c>
      <c r="U36">
        <f t="shared" ca="1" si="1"/>
        <v>0</v>
      </c>
      <c r="V36" s="8">
        <f t="shared" ref="V36:AE39" ca="1" si="2">IF(ISBLANK($A36),0,VLOOKUP($A36,INDIRECT(CONCATENATE("Aug",$A$4)),MATCH(V$1,AugStatHeader,0),0)
+VLOOKUP(LEFT($A36,FIND(" (",$A36,1)-1),INDIRECT("BaseAugWeapon"),MATCH(V$1,StatHeader,0),0))</f>
        <v>0.06</v>
      </c>
      <c r="W36" s="8">
        <f t="shared" ca="1" si="2"/>
        <v>0</v>
      </c>
      <c r="X36" s="8">
        <f t="shared" ca="1" si="2"/>
        <v>0</v>
      </c>
      <c r="Y36" s="8">
        <f t="shared" ca="1" si="2"/>
        <v>0</v>
      </c>
      <c r="Z36" s="8">
        <f t="shared" ca="1" si="2"/>
        <v>0</v>
      </c>
      <c r="AA36">
        <f t="shared" ca="1" si="2"/>
        <v>0</v>
      </c>
      <c r="AB36">
        <f t="shared" ca="1" si="2"/>
        <v>0</v>
      </c>
      <c r="AC36" s="8">
        <f t="shared" ca="1" si="2"/>
        <v>0</v>
      </c>
      <c r="AD36" s="8">
        <f t="shared" ca="1" si="2"/>
        <v>0</v>
      </c>
      <c r="AE36">
        <f t="shared" ca="1" si="2"/>
        <v>0</v>
      </c>
      <c r="AF36">
        <f t="shared" ref="AF36:AP39" ca="1" si="3">IF(ISBLANK($A36),0,VLOOKUP($A36,INDIRECT(CONCATENATE("Aug",$A$4)),MATCH(AF$1,AugStatHeader,0),0)
+VLOOKUP(LEFT($A36,FIND(" (",$A36,1)-1),INDIRECT("BaseAugWeapon"),MATCH(AF$1,StatHeader,0),0))</f>
        <v>0</v>
      </c>
      <c r="AG36">
        <f t="shared" ca="1" si="3"/>
        <v>0</v>
      </c>
      <c r="AH36" s="8">
        <f t="shared" ca="1" si="3"/>
        <v>0</v>
      </c>
      <c r="AI36">
        <f t="shared" ca="1" si="3"/>
        <v>0</v>
      </c>
      <c r="AJ36">
        <f t="shared" ca="1" si="3"/>
        <v>0</v>
      </c>
      <c r="AK36">
        <f t="shared" ca="1" si="3"/>
        <v>0</v>
      </c>
      <c r="AL36">
        <f t="shared" ca="1" si="3"/>
        <v>0</v>
      </c>
      <c r="AM36" s="8">
        <f t="shared" ca="1" si="3"/>
        <v>0</v>
      </c>
      <c r="AN36">
        <f t="shared" ca="1" si="3"/>
        <v>0</v>
      </c>
      <c r="AO36">
        <f t="shared" ca="1" si="3"/>
        <v>315</v>
      </c>
      <c r="AP36">
        <f t="shared" ca="1" si="3"/>
        <v>528</v>
      </c>
    </row>
    <row r="37" spans="1:43" x14ac:dyDescent="0.2">
      <c r="A37" t="str">
        <f>Augments!A6</f>
        <v>Olyndicus (STP+STR/DEX)</v>
      </c>
      <c r="B37">
        <f t="shared" ca="1" si="0"/>
        <v>242</v>
      </c>
      <c r="C37">
        <f t="shared" ca="1" si="0"/>
        <v>0</v>
      </c>
      <c r="D37">
        <f t="shared" ca="1" si="0"/>
        <v>0</v>
      </c>
      <c r="E37">
        <f t="shared" ca="1" si="0"/>
        <v>0</v>
      </c>
      <c r="F37">
        <f t="shared" ca="1" si="0"/>
        <v>0</v>
      </c>
      <c r="G37">
        <f t="shared" ca="1" si="0"/>
        <v>20</v>
      </c>
      <c r="H37">
        <f t="shared" ca="1" si="0"/>
        <v>20</v>
      </c>
      <c r="I37">
        <f t="shared" ca="1" si="0"/>
        <v>0</v>
      </c>
      <c r="J37">
        <f t="shared" ca="1" si="0"/>
        <v>0</v>
      </c>
      <c r="K37">
        <f t="shared" ca="1" si="0"/>
        <v>0</v>
      </c>
      <c r="L37">
        <f t="shared" ca="1" si="1"/>
        <v>0</v>
      </c>
      <c r="M37">
        <f t="shared" ca="1" si="1"/>
        <v>0</v>
      </c>
      <c r="N37">
        <f t="shared" ca="1" si="1"/>
        <v>20</v>
      </c>
      <c r="O37">
        <f t="shared" ca="1" si="1"/>
        <v>20</v>
      </c>
      <c r="P37" s="8">
        <f t="shared" ca="1" si="1"/>
        <v>0</v>
      </c>
      <c r="Q37">
        <f t="shared" ca="1" si="1"/>
        <v>0</v>
      </c>
      <c r="R37">
        <f t="shared" ca="1" si="1"/>
        <v>0</v>
      </c>
      <c r="S37">
        <f t="shared" ca="1" si="1"/>
        <v>0</v>
      </c>
      <c r="T37">
        <f t="shared" ca="1" si="1"/>
        <v>0</v>
      </c>
      <c r="U37">
        <f t="shared" ca="1" si="1"/>
        <v>0</v>
      </c>
      <c r="V37" s="8">
        <f t="shared" ca="1" si="2"/>
        <v>0</v>
      </c>
      <c r="W37" s="8">
        <f t="shared" ca="1" si="2"/>
        <v>0</v>
      </c>
      <c r="X37" s="8">
        <f t="shared" ca="1" si="2"/>
        <v>0</v>
      </c>
      <c r="Y37" s="8">
        <f t="shared" ca="1" si="2"/>
        <v>0</v>
      </c>
      <c r="Z37" s="8">
        <f t="shared" ca="1" si="2"/>
        <v>0</v>
      </c>
      <c r="AA37">
        <f t="shared" ca="1" si="2"/>
        <v>0</v>
      </c>
      <c r="AB37">
        <f t="shared" ca="1" si="2"/>
        <v>0</v>
      </c>
      <c r="AC37" s="8">
        <f t="shared" ca="1" si="2"/>
        <v>0</v>
      </c>
      <c r="AD37" s="8">
        <f t="shared" ca="1" si="2"/>
        <v>0</v>
      </c>
      <c r="AE37">
        <f t="shared" ca="1" si="2"/>
        <v>8</v>
      </c>
      <c r="AF37">
        <f t="shared" ca="1" si="3"/>
        <v>0</v>
      </c>
      <c r="AG37">
        <f t="shared" ca="1" si="3"/>
        <v>0</v>
      </c>
      <c r="AH37" s="8">
        <f t="shared" ca="1" si="3"/>
        <v>0</v>
      </c>
      <c r="AI37">
        <f t="shared" ca="1" si="3"/>
        <v>0</v>
      </c>
      <c r="AJ37">
        <f t="shared" ca="1" si="3"/>
        <v>0</v>
      </c>
      <c r="AK37">
        <f t="shared" ca="1" si="3"/>
        <v>0</v>
      </c>
      <c r="AL37">
        <f t="shared" ca="1" si="3"/>
        <v>0</v>
      </c>
      <c r="AM37" s="8">
        <f t="shared" ca="1" si="3"/>
        <v>0</v>
      </c>
      <c r="AN37">
        <f t="shared" ca="1" si="3"/>
        <v>0</v>
      </c>
      <c r="AO37">
        <f t="shared" ca="1" si="3"/>
        <v>277</v>
      </c>
      <c r="AP37">
        <f t="shared" ca="1" si="3"/>
        <v>528</v>
      </c>
    </row>
    <row r="38" spans="1:43" x14ac:dyDescent="0.2">
      <c r="A38" t="str">
        <f>Augments!A7</f>
        <v>Olyndicus (Custom 1)</v>
      </c>
      <c r="B38">
        <f t="shared" ca="1" si="0"/>
        <v>242</v>
      </c>
      <c r="C38">
        <f t="shared" ca="1" si="0"/>
        <v>0</v>
      </c>
      <c r="D38">
        <f t="shared" ca="1" si="0"/>
        <v>0</v>
      </c>
      <c r="E38">
        <f t="shared" ca="1" si="0"/>
        <v>0</v>
      </c>
      <c r="F38">
        <f t="shared" ca="1" si="0"/>
        <v>0</v>
      </c>
      <c r="G38">
        <f t="shared" ca="1" si="0"/>
        <v>0</v>
      </c>
      <c r="H38">
        <f t="shared" ca="1" si="0"/>
        <v>0</v>
      </c>
      <c r="I38">
        <f t="shared" ca="1" si="0"/>
        <v>0</v>
      </c>
      <c r="J38">
        <f t="shared" ca="1" si="0"/>
        <v>0</v>
      </c>
      <c r="K38">
        <f t="shared" ca="1" si="0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 s="8">
        <f t="shared" ca="1" si="1"/>
        <v>0</v>
      </c>
      <c r="Q38">
        <f t="shared" ca="1" si="1"/>
        <v>0</v>
      </c>
      <c r="R38">
        <f t="shared" ca="1" si="1"/>
        <v>0</v>
      </c>
      <c r="S38">
        <f t="shared" ca="1" si="1"/>
        <v>0</v>
      </c>
      <c r="T38">
        <f t="shared" ca="1" si="1"/>
        <v>0</v>
      </c>
      <c r="U38">
        <f t="shared" ca="1" si="1"/>
        <v>0</v>
      </c>
      <c r="V38" s="8">
        <f t="shared" ca="1" si="2"/>
        <v>0</v>
      </c>
      <c r="W38" s="8">
        <f t="shared" ca="1" si="2"/>
        <v>0</v>
      </c>
      <c r="X38" s="8">
        <f t="shared" ca="1" si="2"/>
        <v>0</v>
      </c>
      <c r="Y38" s="8">
        <f t="shared" ca="1" si="2"/>
        <v>0</v>
      </c>
      <c r="Z38" s="8">
        <f t="shared" ca="1" si="2"/>
        <v>0</v>
      </c>
      <c r="AA38">
        <f t="shared" ca="1" si="2"/>
        <v>0</v>
      </c>
      <c r="AB38">
        <f t="shared" ca="1" si="2"/>
        <v>0</v>
      </c>
      <c r="AC38" s="8">
        <f t="shared" ca="1" si="2"/>
        <v>0</v>
      </c>
      <c r="AD38" s="8">
        <f t="shared" ca="1" si="2"/>
        <v>0</v>
      </c>
      <c r="AE38">
        <f t="shared" ca="1" si="2"/>
        <v>0</v>
      </c>
      <c r="AF38">
        <f t="shared" ca="1" si="3"/>
        <v>0</v>
      </c>
      <c r="AG38">
        <f t="shared" ca="1" si="3"/>
        <v>0</v>
      </c>
      <c r="AH38" s="8">
        <f t="shared" ca="1" si="3"/>
        <v>0</v>
      </c>
      <c r="AI38">
        <f t="shared" ca="1" si="3"/>
        <v>0</v>
      </c>
      <c r="AJ38">
        <f t="shared" ca="1" si="3"/>
        <v>0</v>
      </c>
      <c r="AK38">
        <f t="shared" ca="1" si="3"/>
        <v>0</v>
      </c>
      <c r="AL38">
        <f t="shared" ca="1" si="3"/>
        <v>0</v>
      </c>
      <c r="AM38" s="8">
        <f t="shared" ca="1" si="3"/>
        <v>0</v>
      </c>
      <c r="AN38">
        <f t="shared" ca="1" si="3"/>
        <v>0</v>
      </c>
      <c r="AO38">
        <f t="shared" ca="1" si="3"/>
        <v>277</v>
      </c>
      <c r="AP38">
        <f t="shared" ca="1" si="3"/>
        <v>528</v>
      </c>
    </row>
    <row r="39" spans="1:43" x14ac:dyDescent="0.2">
      <c r="A39" t="str">
        <f>Augments!A8</f>
        <v>Olyndicus (Custom 2)</v>
      </c>
      <c r="B39">
        <f t="shared" ca="1" si="0"/>
        <v>242</v>
      </c>
      <c r="C39">
        <f t="shared" ca="1" si="0"/>
        <v>0</v>
      </c>
      <c r="D39">
        <f t="shared" ca="1" si="0"/>
        <v>0</v>
      </c>
      <c r="E39">
        <f t="shared" ca="1" si="0"/>
        <v>0</v>
      </c>
      <c r="F39">
        <f t="shared" ca="1" si="0"/>
        <v>0</v>
      </c>
      <c r="G39">
        <f t="shared" ca="1" si="0"/>
        <v>0</v>
      </c>
      <c r="H39">
        <f t="shared" ca="1" si="0"/>
        <v>0</v>
      </c>
      <c r="I39">
        <f t="shared" ca="1" si="0"/>
        <v>0</v>
      </c>
      <c r="J39">
        <f t="shared" ca="1" si="0"/>
        <v>0</v>
      </c>
      <c r="K39">
        <f t="shared" ca="1" si="0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 s="8">
        <f t="shared" ca="1" si="1"/>
        <v>0</v>
      </c>
      <c r="Q39">
        <f t="shared" ca="1" si="1"/>
        <v>0</v>
      </c>
      <c r="R39">
        <f t="shared" ca="1" si="1"/>
        <v>0</v>
      </c>
      <c r="S39">
        <f t="shared" ca="1" si="1"/>
        <v>0</v>
      </c>
      <c r="T39">
        <f t="shared" ca="1" si="1"/>
        <v>0</v>
      </c>
      <c r="U39">
        <f t="shared" ca="1" si="1"/>
        <v>0</v>
      </c>
      <c r="V39" s="8">
        <f t="shared" ca="1" si="2"/>
        <v>0</v>
      </c>
      <c r="W39" s="8">
        <f t="shared" ca="1" si="2"/>
        <v>0</v>
      </c>
      <c r="X39" s="8">
        <f t="shared" ca="1" si="2"/>
        <v>0</v>
      </c>
      <c r="Y39" s="8">
        <f t="shared" ca="1" si="2"/>
        <v>0</v>
      </c>
      <c r="Z39" s="8">
        <f t="shared" ca="1" si="2"/>
        <v>0</v>
      </c>
      <c r="AA39">
        <f t="shared" ca="1" si="2"/>
        <v>0</v>
      </c>
      <c r="AB39">
        <f t="shared" ca="1" si="2"/>
        <v>0</v>
      </c>
      <c r="AC39" s="8">
        <f t="shared" ca="1" si="2"/>
        <v>0</v>
      </c>
      <c r="AD39" s="8">
        <f t="shared" ca="1" si="2"/>
        <v>0</v>
      </c>
      <c r="AE39">
        <f t="shared" ca="1" si="2"/>
        <v>0</v>
      </c>
      <c r="AF39">
        <f t="shared" ca="1" si="3"/>
        <v>0</v>
      </c>
      <c r="AG39">
        <f t="shared" ca="1" si="3"/>
        <v>0</v>
      </c>
      <c r="AH39" s="8">
        <f t="shared" ca="1" si="3"/>
        <v>0</v>
      </c>
      <c r="AI39">
        <f t="shared" ca="1" si="3"/>
        <v>0</v>
      </c>
      <c r="AJ39">
        <f t="shared" ca="1" si="3"/>
        <v>0</v>
      </c>
      <c r="AK39">
        <f t="shared" ca="1" si="3"/>
        <v>0</v>
      </c>
      <c r="AL39">
        <f t="shared" ca="1" si="3"/>
        <v>0</v>
      </c>
      <c r="AM39" s="8">
        <f t="shared" ca="1" si="3"/>
        <v>0</v>
      </c>
      <c r="AN39">
        <f t="shared" ca="1" si="3"/>
        <v>0</v>
      </c>
      <c r="AO39">
        <f t="shared" ca="1" si="3"/>
        <v>277</v>
      </c>
      <c r="AP39">
        <f t="shared" ca="1" si="3"/>
        <v>528</v>
      </c>
    </row>
    <row r="40" spans="1:43" x14ac:dyDescent="0.2">
      <c r="A40" t="s">
        <v>575</v>
      </c>
      <c r="B40">
        <v>242</v>
      </c>
      <c r="N40">
        <v>15</v>
      </c>
      <c r="P40" s="8"/>
      <c r="V40" s="8"/>
      <c r="W40" s="8"/>
      <c r="X40" s="8"/>
      <c r="Y40" s="8"/>
      <c r="Z40" s="8"/>
      <c r="AB40" s="4"/>
      <c r="AC40" s="8"/>
      <c r="AD40" s="8"/>
      <c r="AF40" s="8"/>
      <c r="AG40" s="4"/>
      <c r="AH40" s="8"/>
      <c r="AL40" s="4"/>
      <c r="AM40" s="8"/>
      <c r="AO40" s="4">
        <v>275</v>
      </c>
      <c r="AP40">
        <v>507</v>
      </c>
    </row>
    <row r="41" spans="1:43" x14ac:dyDescent="0.2">
      <c r="A41" t="s">
        <v>622</v>
      </c>
      <c r="B41">
        <v>242</v>
      </c>
      <c r="P41" s="8"/>
      <c r="V41" s="8"/>
      <c r="W41" s="8"/>
      <c r="X41" s="8"/>
      <c r="Y41" s="8"/>
      <c r="Z41" s="8"/>
      <c r="AB41" s="4"/>
      <c r="AC41" s="8"/>
      <c r="AD41" s="8"/>
      <c r="AF41" s="8"/>
      <c r="AG41" s="4"/>
      <c r="AH41" s="8"/>
      <c r="AL41" s="4"/>
      <c r="AM41" s="8"/>
      <c r="AO41" s="4">
        <v>240</v>
      </c>
      <c r="AP41">
        <v>492</v>
      </c>
    </row>
    <row r="42" spans="1:43" x14ac:dyDescent="0.2">
      <c r="A42" t="s">
        <v>636</v>
      </c>
      <c r="B42">
        <v>242</v>
      </c>
      <c r="G42">
        <v>20</v>
      </c>
      <c r="N42">
        <v>20</v>
      </c>
      <c r="O42">
        <v>10</v>
      </c>
      <c r="AC42" s="8">
        <v>0.03</v>
      </c>
      <c r="AO42">
        <v>282</v>
      </c>
      <c r="AP42">
        <v>480</v>
      </c>
    </row>
    <row r="43" spans="1:43" x14ac:dyDescent="0.2">
      <c r="A43" t="str">
        <f>Augments!A9</f>
        <v>Reienkyo (Custom 1)</v>
      </c>
      <c r="B43">
        <f t="shared" ref="B43:K46" ca="1" si="4">IF(ISBLANK($A43),0,VLOOKUP($A43,INDIRECT(CONCATENATE("Aug",$A$4)),MATCH(B$4,AugStatHeader,0),0)
+VLOOKUP(LEFT($A43,FIND(" (",$A43,1)-1),INDIRECT(CONCATENATE("BaseAug",$A$4)),MATCH(B$4,StatHeader,0),0))</f>
        <v>242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0</v>
      </c>
      <c r="G43">
        <f t="shared" ca="1" si="4"/>
        <v>20</v>
      </c>
      <c r="H43">
        <f t="shared" ca="1" si="4"/>
        <v>0</v>
      </c>
      <c r="I43">
        <f t="shared" ca="1" si="4"/>
        <v>0</v>
      </c>
      <c r="J43">
        <f t="shared" ca="1" si="4"/>
        <v>0</v>
      </c>
      <c r="K43">
        <f t="shared" ca="1" si="4"/>
        <v>0</v>
      </c>
      <c r="L43">
        <f t="shared" ref="L43:U46" ca="1" si="5">IF(ISBLANK($A43),0,VLOOKUP($A43,INDIRECT(CONCATENATE("Aug",$A$4)),MATCH(L$4,AugStatHeader,0),0)
+VLOOKUP(LEFT($A43,FIND(" (",$A43,1)-1),INDIRECT(CONCATENATE("BaseAug",$A$4)),MATCH(L$4,StatHeader,0),0))</f>
        <v>0</v>
      </c>
      <c r="M43">
        <f t="shared" ca="1" si="5"/>
        <v>0</v>
      </c>
      <c r="N43">
        <f t="shared" ca="1" si="5"/>
        <v>20</v>
      </c>
      <c r="O43">
        <f t="shared" ca="1" si="5"/>
        <v>10</v>
      </c>
      <c r="P43" s="8">
        <f t="shared" ca="1" si="5"/>
        <v>0</v>
      </c>
      <c r="Q43">
        <f t="shared" ca="1" si="5"/>
        <v>0</v>
      </c>
      <c r="R43">
        <f t="shared" ca="1" si="5"/>
        <v>0</v>
      </c>
      <c r="S43">
        <f t="shared" ca="1" si="5"/>
        <v>0</v>
      </c>
      <c r="T43">
        <f t="shared" ca="1" si="5"/>
        <v>0</v>
      </c>
      <c r="U43">
        <f t="shared" ca="1" si="5"/>
        <v>0</v>
      </c>
      <c r="V43" s="8">
        <f t="shared" ref="V43:AE46" ca="1" si="6">IF(ISBLANK($A43),0,VLOOKUP($A43,INDIRECT(CONCATENATE("Aug",$A$4)),MATCH(V$4,AugStatHeader,0),0)
+VLOOKUP(LEFT($A43,FIND(" (",$A43,1)-1),INDIRECT(CONCATENATE("BaseAug",$A$4)),MATCH(V$4,StatHeader,0),0))</f>
        <v>0</v>
      </c>
      <c r="W43" s="8">
        <f t="shared" ca="1" si="6"/>
        <v>0</v>
      </c>
      <c r="X43" s="8">
        <f t="shared" ca="1" si="6"/>
        <v>0</v>
      </c>
      <c r="Y43" s="8">
        <f t="shared" ca="1" si="6"/>
        <v>0</v>
      </c>
      <c r="Z43" s="8">
        <f t="shared" ca="1" si="6"/>
        <v>0</v>
      </c>
      <c r="AA43">
        <f t="shared" ca="1" si="6"/>
        <v>0</v>
      </c>
      <c r="AB43">
        <f t="shared" ca="1" si="6"/>
        <v>0</v>
      </c>
      <c r="AC43" s="8">
        <f t="shared" ca="1" si="6"/>
        <v>0.03</v>
      </c>
      <c r="AD43" s="8">
        <f t="shared" ca="1" si="6"/>
        <v>0</v>
      </c>
      <c r="AE43">
        <f t="shared" ca="1" si="6"/>
        <v>0</v>
      </c>
      <c r="AF43">
        <f t="shared" ref="AF43:AP46" ca="1" si="7">IF(ISBLANK($A43),0,VLOOKUP($A43,INDIRECT(CONCATENATE("Aug",$A$4)),MATCH(AF$4,AugStatHeader,0),0)
+VLOOKUP(LEFT($A43,FIND(" (",$A43,1)-1),INDIRECT(CONCATENATE("BaseAug",$A$4)),MATCH(AF$4,StatHeader,0),0))</f>
        <v>0</v>
      </c>
      <c r="AG43">
        <f t="shared" ca="1" si="7"/>
        <v>0</v>
      </c>
      <c r="AH43" s="8">
        <f t="shared" ca="1" si="7"/>
        <v>0</v>
      </c>
      <c r="AI43">
        <f t="shared" ca="1" si="7"/>
        <v>0</v>
      </c>
      <c r="AJ43">
        <f t="shared" ca="1" si="7"/>
        <v>0</v>
      </c>
      <c r="AK43">
        <f t="shared" ca="1" si="7"/>
        <v>0</v>
      </c>
      <c r="AL43">
        <f t="shared" ca="1" si="7"/>
        <v>0</v>
      </c>
      <c r="AM43" s="8">
        <f t="shared" ca="1" si="7"/>
        <v>0</v>
      </c>
      <c r="AN43">
        <f t="shared" ca="1" si="7"/>
        <v>0</v>
      </c>
      <c r="AO43">
        <f t="shared" ca="1" si="7"/>
        <v>282</v>
      </c>
      <c r="AP43">
        <f t="shared" ca="1" si="7"/>
        <v>480</v>
      </c>
    </row>
    <row r="44" spans="1:43" x14ac:dyDescent="0.2">
      <c r="A44" t="str">
        <f>Augments!A10</f>
        <v>Reienkyo (Custom 2)</v>
      </c>
      <c r="B44">
        <f t="shared" ca="1" si="4"/>
        <v>242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0</v>
      </c>
      <c r="G44">
        <f t="shared" ca="1" si="4"/>
        <v>20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t="shared" ca="1" si="5"/>
        <v>0</v>
      </c>
      <c r="M44">
        <f t="shared" ca="1" si="5"/>
        <v>0</v>
      </c>
      <c r="N44">
        <f t="shared" ca="1" si="5"/>
        <v>20</v>
      </c>
      <c r="O44">
        <f t="shared" ca="1" si="5"/>
        <v>10</v>
      </c>
      <c r="P44" s="8">
        <f t="shared" ca="1" si="5"/>
        <v>0</v>
      </c>
      <c r="Q44">
        <f t="shared" ca="1" si="5"/>
        <v>0</v>
      </c>
      <c r="R44">
        <f t="shared" ca="1" si="5"/>
        <v>0</v>
      </c>
      <c r="S44">
        <f t="shared" ca="1" si="5"/>
        <v>0</v>
      </c>
      <c r="T44">
        <f t="shared" ca="1" si="5"/>
        <v>0</v>
      </c>
      <c r="U44">
        <f t="shared" ca="1" si="5"/>
        <v>0</v>
      </c>
      <c r="V44" s="8">
        <f t="shared" ca="1" si="6"/>
        <v>0</v>
      </c>
      <c r="W44" s="8">
        <f t="shared" ca="1" si="6"/>
        <v>0</v>
      </c>
      <c r="X44" s="8">
        <f t="shared" ca="1" si="6"/>
        <v>0</v>
      </c>
      <c r="Y44" s="8">
        <f t="shared" ca="1" si="6"/>
        <v>0</v>
      </c>
      <c r="Z44" s="8">
        <f t="shared" ca="1" si="6"/>
        <v>0</v>
      </c>
      <c r="AA44">
        <f t="shared" ca="1" si="6"/>
        <v>0</v>
      </c>
      <c r="AB44">
        <f t="shared" ca="1" si="6"/>
        <v>0</v>
      </c>
      <c r="AC44" s="8">
        <f t="shared" ca="1" si="6"/>
        <v>0.03</v>
      </c>
      <c r="AD44" s="8">
        <f t="shared" ca="1" si="6"/>
        <v>0</v>
      </c>
      <c r="AE44">
        <f t="shared" ca="1" si="6"/>
        <v>0</v>
      </c>
      <c r="AF44">
        <f t="shared" ca="1" si="7"/>
        <v>0</v>
      </c>
      <c r="AG44">
        <f t="shared" ca="1" si="7"/>
        <v>0</v>
      </c>
      <c r="AH44" s="8">
        <f t="shared" ca="1" si="7"/>
        <v>0</v>
      </c>
      <c r="AI44">
        <f t="shared" ca="1" si="7"/>
        <v>0</v>
      </c>
      <c r="AJ44">
        <f t="shared" ca="1" si="7"/>
        <v>0</v>
      </c>
      <c r="AK44">
        <f t="shared" ca="1" si="7"/>
        <v>0</v>
      </c>
      <c r="AL44">
        <f t="shared" ca="1" si="7"/>
        <v>0</v>
      </c>
      <c r="AM44" s="8">
        <f t="shared" ca="1" si="7"/>
        <v>0</v>
      </c>
      <c r="AN44">
        <f t="shared" ca="1" si="7"/>
        <v>0</v>
      </c>
      <c r="AO44">
        <f t="shared" ca="1" si="7"/>
        <v>282</v>
      </c>
      <c r="AP44">
        <f t="shared" ca="1" si="7"/>
        <v>480</v>
      </c>
    </row>
    <row r="45" spans="1:43" x14ac:dyDescent="0.2">
      <c r="A45" t="str">
        <f>Augments!A11</f>
        <v>Reienkyo (Custom 3)</v>
      </c>
      <c r="B45">
        <f t="shared" ca="1" si="4"/>
        <v>242</v>
      </c>
      <c r="C45">
        <f t="shared" ca="1" si="4"/>
        <v>0</v>
      </c>
      <c r="D45">
        <f t="shared" ca="1" si="4"/>
        <v>0</v>
      </c>
      <c r="E45">
        <f t="shared" ca="1" si="4"/>
        <v>0</v>
      </c>
      <c r="F45">
        <f t="shared" ca="1" si="4"/>
        <v>0</v>
      </c>
      <c r="G45">
        <f t="shared" ca="1" si="4"/>
        <v>20</v>
      </c>
      <c r="H45">
        <f t="shared" ca="1" si="4"/>
        <v>0</v>
      </c>
      <c r="I45">
        <f t="shared" ca="1" si="4"/>
        <v>0</v>
      </c>
      <c r="J45">
        <f t="shared" ca="1" si="4"/>
        <v>0</v>
      </c>
      <c r="K45">
        <f t="shared" ca="1" si="4"/>
        <v>0</v>
      </c>
      <c r="L45">
        <f t="shared" ca="1" si="5"/>
        <v>0</v>
      </c>
      <c r="M45">
        <f t="shared" ca="1" si="5"/>
        <v>0</v>
      </c>
      <c r="N45">
        <f t="shared" ca="1" si="5"/>
        <v>20</v>
      </c>
      <c r="O45">
        <f t="shared" ca="1" si="5"/>
        <v>10</v>
      </c>
      <c r="P45" s="8">
        <f t="shared" ca="1" si="5"/>
        <v>0</v>
      </c>
      <c r="Q45">
        <f t="shared" ca="1" si="5"/>
        <v>0</v>
      </c>
      <c r="R45">
        <f t="shared" ca="1" si="5"/>
        <v>0</v>
      </c>
      <c r="S45">
        <f t="shared" ca="1" si="5"/>
        <v>0</v>
      </c>
      <c r="T45">
        <f t="shared" ca="1" si="5"/>
        <v>0</v>
      </c>
      <c r="U45">
        <f t="shared" ca="1" si="5"/>
        <v>0</v>
      </c>
      <c r="V45" s="8">
        <f t="shared" ca="1" si="6"/>
        <v>0</v>
      </c>
      <c r="W45" s="8">
        <f t="shared" ca="1" si="6"/>
        <v>0</v>
      </c>
      <c r="X45" s="8">
        <f t="shared" ca="1" si="6"/>
        <v>0</v>
      </c>
      <c r="Y45" s="8">
        <f t="shared" ca="1" si="6"/>
        <v>0</v>
      </c>
      <c r="Z45" s="8">
        <f t="shared" ca="1" si="6"/>
        <v>0</v>
      </c>
      <c r="AA45">
        <f t="shared" ca="1" si="6"/>
        <v>0</v>
      </c>
      <c r="AB45">
        <f t="shared" ca="1" si="6"/>
        <v>0</v>
      </c>
      <c r="AC45" s="8">
        <f t="shared" ca="1" si="6"/>
        <v>0.03</v>
      </c>
      <c r="AD45" s="8">
        <f t="shared" ca="1" si="6"/>
        <v>0</v>
      </c>
      <c r="AE45">
        <f t="shared" ca="1" si="6"/>
        <v>0</v>
      </c>
      <c r="AF45">
        <f t="shared" ca="1" si="7"/>
        <v>0</v>
      </c>
      <c r="AG45">
        <f t="shared" ca="1" si="7"/>
        <v>0</v>
      </c>
      <c r="AH45" s="8">
        <f t="shared" ca="1" si="7"/>
        <v>0</v>
      </c>
      <c r="AI45">
        <f t="shared" ca="1" si="7"/>
        <v>0</v>
      </c>
      <c r="AJ45">
        <f t="shared" ca="1" si="7"/>
        <v>0</v>
      </c>
      <c r="AK45">
        <f t="shared" ca="1" si="7"/>
        <v>0</v>
      </c>
      <c r="AL45">
        <f t="shared" ca="1" si="7"/>
        <v>0</v>
      </c>
      <c r="AM45" s="8">
        <f t="shared" ca="1" si="7"/>
        <v>0</v>
      </c>
      <c r="AN45">
        <f t="shared" ca="1" si="7"/>
        <v>0</v>
      </c>
      <c r="AO45">
        <f t="shared" ca="1" si="7"/>
        <v>282</v>
      </c>
      <c r="AP45">
        <f t="shared" ca="1" si="7"/>
        <v>480</v>
      </c>
    </row>
    <row r="46" spans="1:43" x14ac:dyDescent="0.2">
      <c r="A46" t="str">
        <f>Augments!A12</f>
        <v>Reienkyo (Custom 4)</v>
      </c>
      <c r="B46">
        <f t="shared" ca="1" si="4"/>
        <v>242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4"/>
        <v>0</v>
      </c>
      <c r="G46">
        <f t="shared" ca="1" si="4"/>
        <v>20</v>
      </c>
      <c r="H46">
        <f t="shared" ca="1" si="4"/>
        <v>0</v>
      </c>
      <c r="I46">
        <f t="shared" ca="1" si="4"/>
        <v>0</v>
      </c>
      <c r="J46">
        <f t="shared" ca="1" si="4"/>
        <v>0</v>
      </c>
      <c r="K46">
        <f t="shared" ca="1" si="4"/>
        <v>0</v>
      </c>
      <c r="L46">
        <f t="shared" ca="1" si="5"/>
        <v>0</v>
      </c>
      <c r="M46">
        <f t="shared" ca="1" si="5"/>
        <v>0</v>
      </c>
      <c r="N46">
        <f t="shared" ca="1" si="5"/>
        <v>20</v>
      </c>
      <c r="O46">
        <f t="shared" ca="1" si="5"/>
        <v>10</v>
      </c>
      <c r="P46" s="8">
        <f t="shared" ca="1" si="5"/>
        <v>0</v>
      </c>
      <c r="Q46">
        <f t="shared" ca="1" si="5"/>
        <v>0</v>
      </c>
      <c r="R46">
        <f t="shared" ca="1" si="5"/>
        <v>0</v>
      </c>
      <c r="S46">
        <f t="shared" ca="1" si="5"/>
        <v>0</v>
      </c>
      <c r="T46">
        <f t="shared" ca="1" si="5"/>
        <v>0</v>
      </c>
      <c r="U46">
        <f t="shared" ca="1" si="5"/>
        <v>0</v>
      </c>
      <c r="V46" s="8">
        <f t="shared" ca="1" si="6"/>
        <v>0</v>
      </c>
      <c r="W46" s="8">
        <f t="shared" ca="1" si="6"/>
        <v>0</v>
      </c>
      <c r="X46" s="8">
        <f t="shared" ca="1" si="6"/>
        <v>0</v>
      </c>
      <c r="Y46" s="8">
        <f t="shared" ca="1" si="6"/>
        <v>0</v>
      </c>
      <c r="Z46" s="8">
        <f t="shared" ca="1" si="6"/>
        <v>0</v>
      </c>
      <c r="AA46">
        <f t="shared" ca="1" si="6"/>
        <v>0</v>
      </c>
      <c r="AB46">
        <f t="shared" ca="1" si="6"/>
        <v>0</v>
      </c>
      <c r="AC46" s="8">
        <f t="shared" ca="1" si="6"/>
        <v>0.03</v>
      </c>
      <c r="AD46" s="8">
        <f t="shared" ca="1" si="6"/>
        <v>0</v>
      </c>
      <c r="AE46">
        <f t="shared" ca="1" si="6"/>
        <v>0</v>
      </c>
      <c r="AF46">
        <f t="shared" ca="1" si="7"/>
        <v>0</v>
      </c>
      <c r="AG46">
        <f t="shared" ca="1" si="7"/>
        <v>0</v>
      </c>
      <c r="AH46" s="8">
        <f t="shared" ca="1" si="7"/>
        <v>0</v>
      </c>
      <c r="AI46">
        <f t="shared" ca="1" si="7"/>
        <v>0</v>
      </c>
      <c r="AJ46">
        <f t="shared" ca="1" si="7"/>
        <v>0</v>
      </c>
      <c r="AK46">
        <f t="shared" ca="1" si="7"/>
        <v>0</v>
      </c>
      <c r="AL46">
        <f t="shared" ca="1" si="7"/>
        <v>0</v>
      </c>
      <c r="AM46" s="8">
        <f t="shared" ca="1" si="7"/>
        <v>0</v>
      </c>
      <c r="AN46">
        <f t="shared" ca="1" si="7"/>
        <v>0</v>
      </c>
      <c r="AO46">
        <f t="shared" ca="1" si="7"/>
        <v>282</v>
      </c>
      <c r="AP46">
        <f t="shared" ca="1" si="7"/>
        <v>480</v>
      </c>
    </row>
    <row r="47" spans="1:43" x14ac:dyDescent="0.2">
      <c r="A47" t="s">
        <v>674</v>
      </c>
      <c r="B47">
        <v>242</v>
      </c>
      <c r="G47">
        <v>20</v>
      </c>
      <c r="O47">
        <v>40</v>
      </c>
      <c r="P47" s="8"/>
      <c r="V47" s="8"/>
      <c r="W47" s="8"/>
      <c r="X47" s="8"/>
      <c r="Y47" s="8"/>
      <c r="Z47" s="8"/>
      <c r="AB47" s="4"/>
      <c r="AC47" s="8"/>
      <c r="AD47" s="8"/>
      <c r="AF47" s="8"/>
      <c r="AG47" s="4"/>
      <c r="AH47" s="8"/>
      <c r="AL47" s="4"/>
      <c r="AM47" s="8"/>
      <c r="AO47" s="4">
        <v>298</v>
      </c>
      <c r="AP47">
        <v>492</v>
      </c>
    </row>
    <row r="48" spans="1:43" x14ac:dyDescent="0.2">
      <c r="A48" t="s">
        <v>673</v>
      </c>
      <c r="B48">
        <v>242</v>
      </c>
      <c r="G48">
        <v>20</v>
      </c>
      <c r="N48">
        <v>15</v>
      </c>
      <c r="O48">
        <v>20</v>
      </c>
      <c r="P48" s="8"/>
      <c r="V48" s="8"/>
      <c r="W48" s="8"/>
      <c r="X48" s="8"/>
      <c r="Y48" s="8"/>
      <c r="Z48" s="8"/>
      <c r="AB48" s="4"/>
      <c r="AC48" s="8"/>
      <c r="AD48" s="8"/>
      <c r="AF48" s="8"/>
      <c r="AG48" s="4"/>
      <c r="AH48" s="8"/>
      <c r="AL48" s="4"/>
      <c r="AM48" s="8"/>
      <c r="AO48" s="4">
        <v>298</v>
      </c>
      <c r="AP48">
        <v>492</v>
      </c>
    </row>
    <row r="49" spans="1:53" x14ac:dyDescent="0.2">
      <c r="A49" t="s">
        <v>672</v>
      </c>
      <c r="B49">
        <v>242</v>
      </c>
      <c r="I49">
        <v>15</v>
      </c>
      <c r="O49">
        <v>40</v>
      </c>
      <c r="P49" s="8"/>
      <c r="V49" s="8"/>
      <c r="W49" s="8"/>
      <c r="X49" s="8"/>
      <c r="Y49" s="8"/>
      <c r="Z49" s="8"/>
      <c r="AB49" s="4"/>
      <c r="AC49" s="8"/>
      <c r="AD49" s="8"/>
      <c r="AF49" s="8"/>
      <c r="AG49" s="4"/>
      <c r="AH49" s="8"/>
      <c r="AL49" s="4"/>
      <c r="AM49" s="8"/>
      <c r="AO49" s="4">
        <v>298</v>
      </c>
      <c r="AP49">
        <v>492</v>
      </c>
    </row>
    <row r="50" spans="1:53" x14ac:dyDescent="0.2">
      <c r="A50" t="s">
        <v>675</v>
      </c>
      <c r="B50">
        <v>242</v>
      </c>
      <c r="O50">
        <v>40</v>
      </c>
      <c r="P50" s="8"/>
      <c r="V50" s="8"/>
      <c r="W50" s="8"/>
      <c r="X50" s="8"/>
      <c r="Y50" s="8"/>
      <c r="Z50" s="8"/>
      <c r="AB50" s="4"/>
      <c r="AC50" s="8"/>
      <c r="AD50" s="8"/>
      <c r="AF50" s="8"/>
      <c r="AG50" s="4"/>
      <c r="AH50" s="8"/>
      <c r="AL50" s="4"/>
      <c r="AM50" s="8"/>
      <c r="AO50" s="4">
        <v>300</v>
      </c>
      <c r="AP50">
        <v>492</v>
      </c>
    </row>
    <row r="51" spans="1:53" x14ac:dyDescent="0.2">
      <c r="A51" t="s">
        <v>570</v>
      </c>
      <c r="B51">
        <v>242</v>
      </c>
      <c r="I51">
        <v>20</v>
      </c>
      <c r="P51" s="8"/>
      <c r="V51" s="8"/>
      <c r="W51" s="8"/>
      <c r="X51" s="8"/>
      <c r="Y51" s="8"/>
      <c r="Z51" s="8"/>
      <c r="AB51" s="4"/>
      <c r="AC51" s="8"/>
      <c r="AD51" s="8"/>
      <c r="AF51" s="8"/>
      <c r="AG51" s="4"/>
      <c r="AH51" s="8"/>
      <c r="AL51" s="4"/>
      <c r="AM51" s="8"/>
      <c r="AO51" s="4">
        <v>250</v>
      </c>
      <c r="AP51">
        <v>492</v>
      </c>
    </row>
    <row r="52" spans="1:53" x14ac:dyDescent="0.2">
      <c r="A52" t="s">
        <v>1434</v>
      </c>
      <c r="B52">
        <v>242</v>
      </c>
      <c r="G52">
        <v>13</v>
      </c>
      <c r="I52">
        <v>13</v>
      </c>
      <c r="P52" s="8"/>
      <c r="V52" s="8"/>
      <c r="W52" s="8"/>
      <c r="X52" s="8"/>
      <c r="Y52" s="8"/>
      <c r="Z52" s="8"/>
      <c r="AB52" s="4"/>
      <c r="AC52" s="8"/>
      <c r="AD52" s="8"/>
      <c r="AF52" s="8"/>
      <c r="AG52" s="4"/>
      <c r="AH52" s="8"/>
      <c r="AL52" s="4"/>
      <c r="AM52" s="8"/>
      <c r="AO52" s="4">
        <v>250</v>
      </c>
      <c r="AP52">
        <v>492</v>
      </c>
    </row>
    <row r="53" spans="1:53" x14ac:dyDescent="0.2">
      <c r="A53" t="s">
        <v>589</v>
      </c>
      <c r="B53">
        <v>269</v>
      </c>
      <c r="I53">
        <v>50</v>
      </c>
      <c r="P53" s="8"/>
      <c r="U53">
        <v>155</v>
      </c>
      <c r="V53" s="8"/>
      <c r="W53" s="8"/>
      <c r="X53" s="8"/>
      <c r="Y53" s="8"/>
      <c r="Z53" s="8"/>
      <c r="AB53" s="4"/>
      <c r="AC53" s="8"/>
      <c r="AD53" s="8"/>
      <c r="AF53" s="8"/>
      <c r="AG53" s="4"/>
      <c r="AH53" s="8"/>
      <c r="AL53" s="4"/>
      <c r="AM53" s="8"/>
      <c r="AO53" s="4">
        <v>347</v>
      </c>
      <c r="AP53">
        <v>492</v>
      </c>
    </row>
    <row r="54" spans="1:53" x14ac:dyDescent="0.2">
      <c r="A54" t="s">
        <v>1435</v>
      </c>
      <c r="B54">
        <v>269</v>
      </c>
      <c r="G54">
        <v>35</v>
      </c>
      <c r="I54">
        <v>35</v>
      </c>
      <c r="P54" s="8"/>
      <c r="U54">
        <v>155</v>
      </c>
      <c r="V54" s="8"/>
      <c r="W54" s="8"/>
      <c r="X54" s="8"/>
      <c r="Y54" s="8"/>
      <c r="Z54" s="8"/>
      <c r="AB54" s="4"/>
      <c r="AC54" s="8"/>
      <c r="AD54" s="8"/>
      <c r="AF54" s="8"/>
      <c r="AG54" s="4"/>
      <c r="AH54" s="8"/>
      <c r="AL54" s="4"/>
      <c r="AM54" s="8"/>
      <c r="AO54" s="4">
        <v>347</v>
      </c>
      <c r="AP54">
        <v>492</v>
      </c>
    </row>
    <row r="55" spans="1:53" x14ac:dyDescent="0.2">
      <c r="A55" t="s">
        <v>569</v>
      </c>
      <c r="B55">
        <v>242</v>
      </c>
      <c r="P55" s="8"/>
      <c r="V55" s="8"/>
      <c r="W55" s="8"/>
      <c r="X55" s="8"/>
      <c r="Y55" s="8"/>
      <c r="Z55" s="8"/>
      <c r="AB55" s="4"/>
      <c r="AC55" s="8"/>
      <c r="AD55" s="8"/>
      <c r="AF55" s="8"/>
      <c r="AG55" s="4"/>
      <c r="AH55" s="8"/>
      <c r="AL55" s="4"/>
      <c r="AM55" s="8"/>
      <c r="AO55" s="4">
        <v>245</v>
      </c>
      <c r="AP55">
        <v>492</v>
      </c>
      <c r="AY55" s="8">
        <v>0.6</v>
      </c>
      <c r="AZ55" s="8">
        <v>0.66666666666666674</v>
      </c>
      <c r="BA55" s="8">
        <v>0.33333333333333337</v>
      </c>
    </row>
    <row r="56" spans="1:53" x14ac:dyDescent="0.2">
      <c r="A56" t="s">
        <v>588</v>
      </c>
      <c r="B56">
        <v>269</v>
      </c>
      <c r="P56" s="8"/>
      <c r="U56">
        <v>155</v>
      </c>
      <c r="V56" s="8"/>
      <c r="W56" s="8"/>
      <c r="X56" s="8"/>
      <c r="Y56" s="8"/>
      <c r="Z56" s="8"/>
      <c r="AB56" s="4"/>
      <c r="AC56" s="8"/>
      <c r="AD56" s="8"/>
      <c r="AF56" s="8"/>
      <c r="AG56" s="4"/>
      <c r="AH56" s="8"/>
      <c r="AL56" s="4"/>
      <c r="AM56" s="8"/>
      <c r="AO56" s="4">
        <v>307</v>
      </c>
      <c r="AP56">
        <v>492</v>
      </c>
      <c r="AY56" s="8">
        <v>0.6</v>
      </c>
      <c r="AZ56" s="8">
        <v>0.66666666666666674</v>
      </c>
      <c r="BA56" s="8">
        <v>0.33333333333333337</v>
      </c>
    </row>
    <row r="57" spans="1:53" s="279" customFormat="1" x14ac:dyDescent="0.2">
      <c r="A57" s="279" t="s">
        <v>1884</v>
      </c>
      <c r="B57" s="279">
        <v>250</v>
      </c>
      <c r="H57" s="279">
        <v>20</v>
      </c>
      <c r="K57" s="279">
        <v>20</v>
      </c>
      <c r="L57" s="279">
        <v>20</v>
      </c>
      <c r="N57" s="279">
        <v>40</v>
      </c>
      <c r="O57" s="279">
        <v>30</v>
      </c>
      <c r="P57" s="280"/>
      <c r="S57" s="279">
        <v>40</v>
      </c>
      <c r="T57" s="279">
        <v>21</v>
      </c>
      <c r="U57" s="279">
        <v>226</v>
      </c>
      <c r="V57" s="280"/>
      <c r="W57" s="280"/>
      <c r="X57" s="280"/>
      <c r="Y57" s="280"/>
      <c r="Z57" s="280"/>
      <c r="AB57" s="281"/>
      <c r="AC57" s="280"/>
      <c r="AD57" s="280"/>
      <c r="AE57" s="281"/>
      <c r="AF57" s="280"/>
      <c r="AG57" s="281"/>
      <c r="AH57" s="280"/>
      <c r="AI57" s="281"/>
      <c r="AJ57" s="281"/>
      <c r="AK57" s="281"/>
      <c r="AL57" s="281"/>
      <c r="AM57" s="280"/>
      <c r="AN57" s="281"/>
      <c r="AO57" s="281">
        <v>333</v>
      </c>
      <c r="AP57" s="279">
        <v>480</v>
      </c>
      <c r="AY57" s="280"/>
      <c r="AZ57" s="280"/>
      <c r="BA57" s="280"/>
    </row>
    <row r="58" spans="1:53" x14ac:dyDescent="0.2">
      <c r="A58" t="s">
        <v>531</v>
      </c>
      <c r="B58">
        <v>215</v>
      </c>
      <c r="O58">
        <v>12</v>
      </c>
      <c r="P58" s="8"/>
      <c r="V58" s="8"/>
      <c r="W58" s="8"/>
      <c r="X58" s="8"/>
      <c r="Y58" s="8"/>
      <c r="Z58" s="8"/>
      <c r="AB58" s="4"/>
      <c r="AC58" s="8"/>
      <c r="AD58" s="8"/>
      <c r="AF58" s="8"/>
      <c r="AG58" s="4"/>
      <c r="AH58" s="8"/>
      <c r="AL58" s="4"/>
      <c r="AM58" s="8"/>
      <c r="AO58" s="4">
        <v>252</v>
      </c>
      <c r="AP58">
        <v>492</v>
      </c>
    </row>
    <row r="59" spans="1:53" x14ac:dyDescent="0.2">
      <c r="A59" t="s">
        <v>532</v>
      </c>
      <c r="B59">
        <v>228</v>
      </c>
      <c r="O59">
        <v>13</v>
      </c>
      <c r="P59" s="8"/>
      <c r="V59" s="8"/>
      <c r="W59" s="8"/>
      <c r="X59" s="8"/>
      <c r="Y59" s="8"/>
      <c r="Z59" s="8"/>
      <c r="AB59" s="4"/>
      <c r="AC59" s="8"/>
      <c r="AD59" s="8"/>
      <c r="AF59" s="8"/>
      <c r="AG59" s="4"/>
      <c r="AH59" s="8"/>
      <c r="AL59" s="4"/>
      <c r="AM59" s="8"/>
      <c r="AO59">
        <v>253</v>
      </c>
      <c r="AP59">
        <v>478</v>
      </c>
    </row>
    <row r="60" spans="1:53" x14ac:dyDescent="0.2">
      <c r="A60" t="s">
        <v>566</v>
      </c>
      <c r="B60">
        <v>269</v>
      </c>
      <c r="P60" s="8"/>
      <c r="U60">
        <v>155</v>
      </c>
      <c r="V60" s="8"/>
      <c r="W60" s="8"/>
      <c r="X60" s="8"/>
      <c r="Y60" s="8"/>
      <c r="Z60" s="8"/>
      <c r="AB60" s="4"/>
      <c r="AC60" s="8"/>
      <c r="AD60" s="8"/>
      <c r="AE60" s="4">
        <v>10</v>
      </c>
      <c r="AF60" s="8"/>
      <c r="AG60" s="4">
        <v>500</v>
      </c>
      <c r="AH60" s="8"/>
      <c r="AL60" s="4"/>
      <c r="AM60" s="8"/>
      <c r="AO60" s="4">
        <v>345</v>
      </c>
      <c r="AP60">
        <v>492</v>
      </c>
    </row>
    <row r="61" spans="1:53" x14ac:dyDescent="0.2">
      <c r="A61" t="s">
        <v>485</v>
      </c>
      <c r="B61">
        <v>242</v>
      </c>
      <c r="G61">
        <v>13</v>
      </c>
      <c r="N61">
        <v>20</v>
      </c>
      <c r="O61">
        <v>10</v>
      </c>
      <c r="P61" s="8"/>
      <c r="V61" s="8"/>
      <c r="W61" s="8"/>
      <c r="X61" s="8"/>
      <c r="Y61" s="8"/>
      <c r="Z61" s="8"/>
      <c r="AB61" s="4"/>
      <c r="AC61" s="8">
        <v>0.02</v>
      </c>
      <c r="AD61" s="8"/>
      <c r="AF61" s="8"/>
      <c r="AG61" s="4"/>
      <c r="AH61" s="8"/>
      <c r="AL61" s="4"/>
      <c r="AM61" s="8"/>
      <c r="AO61">
        <v>266</v>
      </c>
      <c r="AP61">
        <v>492</v>
      </c>
    </row>
    <row r="62" spans="1:53" x14ac:dyDescent="0.2">
      <c r="AG62" s="4"/>
      <c r="AL62" s="4"/>
      <c r="AM62" s="4"/>
    </row>
    <row r="64" spans="1:53" s="1" customFormat="1" x14ac:dyDescent="0.2">
      <c r="A64" s="1" t="s">
        <v>84</v>
      </c>
      <c r="B64" s="1" t="s">
        <v>72</v>
      </c>
      <c r="C64" s="1" t="s">
        <v>482</v>
      </c>
      <c r="D64" s="1" t="s">
        <v>483</v>
      </c>
      <c r="E64" s="1" t="s">
        <v>484</v>
      </c>
      <c r="F64" s="1" t="s">
        <v>492</v>
      </c>
      <c r="G64" s="1" t="s">
        <v>26</v>
      </c>
      <c r="H64" s="1" t="s">
        <v>27</v>
      </c>
      <c r="I64" s="1" t="s">
        <v>23</v>
      </c>
      <c r="J64" s="1" t="s">
        <v>25</v>
      </c>
      <c r="K64" s="1" t="s">
        <v>298</v>
      </c>
      <c r="L64" s="1" t="s">
        <v>299</v>
      </c>
      <c r="M64" s="1" t="s">
        <v>300</v>
      </c>
      <c r="N64" s="1" t="s">
        <v>74</v>
      </c>
      <c r="O64" s="1" t="s">
        <v>73</v>
      </c>
      <c r="P64" s="1" t="s">
        <v>375</v>
      </c>
      <c r="Q64" s="1" t="s">
        <v>553</v>
      </c>
      <c r="R64" s="1" t="s">
        <v>554</v>
      </c>
      <c r="S64" s="1" t="s">
        <v>555</v>
      </c>
      <c r="T64" s="213" t="s">
        <v>556</v>
      </c>
      <c r="U64" s="213" t="s">
        <v>557</v>
      </c>
      <c r="V64" s="1" t="s">
        <v>75</v>
      </c>
      <c r="W64" s="1" t="s">
        <v>76</v>
      </c>
      <c r="X64" s="1" t="s">
        <v>77</v>
      </c>
      <c r="Y64" s="1" t="s">
        <v>480</v>
      </c>
      <c r="Z64" s="1" t="s">
        <v>80</v>
      </c>
      <c r="AA64" s="1" t="s">
        <v>481</v>
      </c>
      <c r="AB64" s="1" t="s">
        <v>28</v>
      </c>
      <c r="AC64" s="1" t="s">
        <v>78</v>
      </c>
      <c r="AD64" s="1" t="s">
        <v>79</v>
      </c>
      <c r="AE64" s="213" t="s">
        <v>82</v>
      </c>
      <c r="AF64" s="1" t="s">
        <v>81</v>
      </c>
      <c r="AG64" s="1" t="s">
        <v>102</v>
      </c>
      <c r="AH64" s="1" t="s">
        <v>103</v>
      </c>
      <c r="AI64" s="213" t="s">
        <v>452</v>
      </c>
      <c r="AJ64" s="213" t="s">
        <v>453</v>
      </c>
      <c r="AK64" s="213" t="s">
        <v>440</v>
      </c>
      <c r="AL64" s="1" t="s">
        <v>349</v>
      </c>
      <c r="AM64" s="1" t="s">
        <v>524</v>
      </c>
      <c r="AN64" s="213" t="s">
        <v>109</v>
      </c>
    </row>
    <row r="65" spans="1:45" x14ac:dyDescent="0.2">
      <c r="A65" t="s">
        <v>245</v>
      </c>
      <c r="V65" s="8"/>
      <c r="W65" s="8"/>
      <c r="X65" s="8"/>
      <c r="Y65" s="8"/>
      <c r="Z65" s="8"/>
      <c r="AC65" s="8"/>
      <c r="AD65" s="8"/>
      <c r="AF65" s="8"/>
      <c r="AG65" s="8"/>
      <c r="AH65" s="8"/>
      <c r="AL65" s="8"/>
      <c r="AM65" s="8"/>
    </row>
    <row r="66" spans="1:45" x14ac:dyDescent="0.2">
      <c r="A66" t="s">
        <v>1182</v>
      </c>
      <c r="T66">
        <v>7</v>
      </c>
      <c r="V66" s="8">
        <v>0.02</v>
      </c>
      <c r="W66" s="8"/>
      <c r="X66" s="8"/>
      <c r="Y66" s="8"/>
      <c r="Z66" s="8"/>
      <c r="AC66" s="8"/>
      <c r="AD66" s="8"/>
      <c r="AF66" s="8"/>
      <c r="AG66" s="8"/>
      <c r="AH66" s="8"/>
      <c r="AL66" s="8"/>
      <c r="AM66" s="8"/>
    </row>
    <row r="67" spans="1:45" x14ac:dyDescent="0.2">
      <c r="A67" t="s">
        <v>1183</v>
      </c>
      <c r="V67" s="8"/>
      <c r="W67" s="8"/>
      <c r="X67" s="8"/>
      <c r="Y67" s="8"/>
      <c r="Z67" s="8"/>
      <c r="AB67">
        <v>10</v>
      </c>
      <c r="AC67" s="8"/>
      <c r="AD67" s="8"/>
      <c r="AF67" s="8"/>
      <c r="AG67" s="8"/>
      <c r="AH67" s="8"/>
      <c r="AL67" s="8"/>
      <c r="AM67" s="8"/>
    </row>
    <row r="68" spans="1:45" x14ac:dyDescent="0.2">
      <c r="A68" t="s">
        <v>1184</v>
      </c>
      <c r="G68">
        <v>3</v>
      </c>
      <c r="V68" s="8"/>
      <c r="W68" s="8"/>
      <c r="X68" s="8"/>
      <c r="Y68" s="8"/>
      <c r="Z68" s="8"/>
      <c r="AC68" s="8"/>
      <c r="AD68" s="8"/>
      <c r="AF68" s="8"/>
      <c r="AG68" s="8"/>
      <c r="AH68" s="8"/>
      <c r="AL68" s="8"/>
      <c r="AM68" s="8"/>
    </row>
    <row r="69" spans="1:45" x14ac:dyDescent="0.2">
      <c r="A69" s="3" t="s">
        <v>1181</v>
      </c>
      <c r="N69">
        <v>6</v>
      </c>
      <c r="AE69">
        <v>6</v>
      </c>
      <c r="AJ69"/>
      <c r="AK69"/>
      <c r="AN69" s="8"/>
      <c r="AR69" s="4"/>
      <c r="AS69" s="4"/>
    </row>
    <row r="70" spans="1:45" x14ac:dyDescent="0.2">
      <c r="A70" s="3" t="s">
        <v>1185</v>
      </c>
      <c r="AD70" s="8">
        <v>0.03</v>
      </c>
      <c r="AE70"/>
      <c r="AJ70"/>
      <c r="AK70"/>
      <c r="AN70" s="8"/>
      <c r="AR70" s="4"/>
      <c r="AS70" s="4"/>
    </row>
    <row r="71" spans="1:45" x14ac:dyDescent="0.2">
      <c r="A71" t="s">
        <v>246</v>
      </c>
      <c r="V71" s="8"/>
      <c r="W71" s="8"/>
      <c r="X71" s="8"/>
      <c r="Y71" s="8"/>
      <c r="Z71" s="8"/>
      <c r="AC71" s="8">
        <v>0.03</v>
      </c>
      <c r="AD71" s="8"/>
      <c r="AF71" s="8"/>
      <c r="AG71" s="8"/>
      <c r="AH71" s="8"/>
      <c r="AL71" s="8"/>
      <c r="AM71" s="8"/>
    </row>
    <row r="72" spans="1:45" x14ac:dyDescent="0.2">
      <c r="A72" t="s">
        <v>1186</v>
      </c>
      <c r="N72">
        <v>5</v>
      </c>
      <c r="O72">
        <v>5</v>
      </c>
      <c r="V72" s="8"/>
      <c r="W72" s="8"/>
      <c r="X72" s="8"/>
      <c r="Y72" s="8"/>
      <c r="Z72" s="8"/>
      <c r="AC72" s="8"/>
      <c r="AD72" s="8"/>
      <c r="AF72" s="8"/>
      <c r="AG72" s="8"/>
      <c r="AH72" s="8"/>
      <c r="AL72" s="8"/>
      <c r="AM72" s="8"/>
    </row>
    <row r="73" spans="1:45" x14ac:dyDescent="0.2">
      <c r="A73" t="s">
        <v>1187</v>
      </c>
      <c r="N73">
        <v>5</v>
      </c>
      <c r="O73">
        <v>5</v>
      </c>
      <c r="V73" s="8"/>
      <c r="W73" s="8"/>
      <c r="X73" s="8"/>
      <c r="Y73" s="8"/>
      <c r="Z73" s="8"/>
      <c r="AA73" s="8"/>
      <c r="AC73" s="8"/>
      <c r="AD73" s="8"/>
      <c r="AE73"/>
      <c r="AF73" s="8"/>
      <c r="AG73" s="8"/>
      <c r="AH73" s="8"/>
      <c r="AL73" s="4"/>
      <c r="AM73" s="8"/>
    </row>
    <row r="74" spans="1:45" x14ac:dyDescent="0.2">
      <c r="A74" t="s">
        <v>1188</v>
      </c>
      <c r="N74">
        <v>6</v>
      </c>
      <c r="O74">
        <v>6</v>
      </c>
      <c r="V74" s="8">
        <v>0.01</v>
      </c>
      <c r="W74" s="8"/>
      <c r="X74" s="8"/>
      <c r="Y74" s="8"/>
      <c r="Z74" s="8"/>
      <c r="AA74" s="8"/>
      <c r="AC74" s="8"/>
      <c r="AD74" s="8"/>
      <c r="AE74"/>
      <c r="AF74" s="8"/>
      <c r="AG74" s="8"/>
      <c r="AH74" s="8"/>
      <c r="AL74" s="4"/>
      <c r="AM74" s="8"/>
    </row>
    <row r="75" spans="1:45" x14ac:dyDescent="0.2">
      <c r="A75" t="s">
        <v>1189</v>
      </c>
      <c r="V75" s="8">
        <v>0.03</v>
      </c>
      <c r="W75" s="8"/>
      <c r="X75" s="8"/>
      <c r="Y75" s="8"/>
      <c r="Z75" s="8"/>
      <c r="AC75" s="8"/>
      <c r="AD75" s="8"/>
      <c r="AF75" s="8"/>
      <c r="AG75" s="8"/>
      <c r="AH75" s="8"/>
      <c r="AL75" s="8"/>
      <c r="AM75" s="8"/>
    </row>
    <row r="76" spans="1:45" x14ac:dyDescent="0.2">
      <c r="A76" t="s">
        <v>1190</v>
      </c>
      <c r="N76">
        <v>10</v>
      </c>
      <c r="S76">
        <v>8</v>
      </c>
      <c r="V76" s="8">
        <v>0.01</v>
      </c>
      <c r="W76" s="8"/>
      <c r="X76" s="8"/>
      <c r="Y76" s="8"/>
      <c r="Z76" s="8"/>
      <c r="AC76" s="8"/>
      <c r="AD76" s="8"/>
      <c r="AF76" s="8"/>
      <c r="AG76" s="8"/>
      <c r="AH76" s="8"/>
      <c r="AL76" s="8"/>
      <c r="AM76" s="8"/>
    </row>
    <row r="77" spans="1:45" x14ac:dyDescent="0.2">
      <c r="A77" t="s">
        <v>1191</v>
      </c>
      <c r="N77">
        <v>10</v>
      </c>
      <c r="V77" s="8"/>
      <c r="W77" s="8"/>
      <c r="X77" s="8"/>
      <c r="Y77" s="8"/>
      <c r="Z77" s="8"/>
      <c r="AB77">
        <v>40</v>
      </c>
      <c r="AC77" s="8"/>
      <c r="AD77" s="8"/>
      <c r="AF77" s="8"/>
      <c r="AG77" s="8"/>
      <c r="AH77" s="8"/>
      <c r="AL77" s="8"/>
      <c r="AM77" s="8"/>
    </row>
    <row r="78" spans="1:45" x14ac:dyDescent="0.2">
      <c r="A78" t="s">
        <v>1192</v>
      </c>
      <c r="N78">
        <v>15</v>
      </c>
      <c r="V78" s="8"/>
      <c r="W78" s="8"/>
      <c r="X78" s="8"/>
      <c r="Y78" s="8"/>
      <c r="Z78" s="8"/>
      <c r="AB78">
        <v>51</v>
      </c>
      <c r="AC78" s="8"/>
      <c r="AD78" s="8"/>
      <c r="AF78" s="8"/>
      <c r="AG78" s="8"/>
      <c r="AH78" s="8"/>
      <c r="AL78" s="8"/>
      <c r="AM78" s="8"/>
    </row>
    <row r="79" spans="1:45" x14ac:dyDescent="0.2">
      <c r="A79" t="s">
        <v>1193</v>
      </c>
      <c r="G79">
        <v>6</v>
      </c>
      <c r="I79">
        <v>3</v>
      </c>
      <c r="V79" s="8"/>
      <c r="W79" s="8"/>
      <c r="X79" s="8"/>
      <c r="Y79" s="8"/>
      <c r="Z79" s="8"/>
      <c r="AC79" s="8"/>
      <c r="AD79" s="8"/>
      <c r="AE79" s="4">
        <v>3</v>
      </c>
      <c r="AF79" s="8"/>
      <c r="AG79" s="8"/>
      <c r="AH79" s="8"/>
      <c r="AL79" s="8"/>
      <c r="AM79" s="8"/>
    </row>
    <row r="80" spans="1:45" x14ac:dyDescent="0.2">
      <c r="A80" t="s">
        <v>247</v>
      </c>
      <c r="V80" s="8"/>
      <c r="W80" s="8"/>
      <c r="X80" s="8"/>
      <c r="Y80" s="8"/>
      <c r="Z80" s="8">
        <v>0.05</v>
      </c>
      <c r="AC80" s="8"/>
      <c r="AD80" s="8"/>
      <c r="AF80" s="8"/>
      <c r="AG80" s="8"/>
      <c r="AH80" s="8"/>
      <c r="AL80" s="8"/>
      <c r="AM80" s="8"/>
    </row>
    <row r="81" spans="1:39" x14ac:dyDescent="0.2">
      <c r="A81" t="s">
        <v>523</v>
      </c>
      <c r="V81" s="8"/>
      <c r="W81" s="8"/>
      <c r="X81" s="8"/>
      <c r="Y81" s="8"/>
      <c r="Z81" s="8"/>
      <c r="AC81" s="8"/>
      <c r="AD81" s="8"/>
      <c r="AF81" s="8"/>
      <c r="AG81" s="8"/>
      <c r="AH81" s="8"/>
      <c r="AL81" s="8"/>
      <c r="AM81" s="8">
        <v>-0.05</v>
      </c>
    </row>
    <row r="82" spans="1:39" x14ac:dyDescent="0.2">
      <c r="A82" t="s">
        <v>1194</v>
      </c>
      <c r="O82">
        <v>10</v>
      </c>
      <c r="V82" s="8"/>
      <c r="W82" s="8"/>
      <c r="X82" s="8"/>
      <c r="Y82" s="8"/>
      <c r="Z82" s="8"/>
      <c r="AC82" s="8"/>
      <c r="AD82" s="8"/>
      <c r="AE82" s="4">
        <v>5</v>
      </c>
      <c r="AF82" s="8"/>
      <c r="AG82" s="8"/>
      <c r="AH82" s="8"/>
      <c r="AL82" s="8"/>
      <c r="AM82" s="8"/>
    </row>
    <row r="83" spans="1:39" x14ac:dyDescent="0.2">
      <c r="A83" t="s">
        <v>1195</v>
      </c>
      <c r="O83">
        <v>15</v>
      </c>
      <c r="V83" s="8"/>
      <c r="W83" s="8"/>
      <c r="X83" s="8"/>
      <c r="Y83" s="8"/>
      <c r="Z83" s="8"/>
      <c r="AC83" s="8"/>
      <c r="AD83" s="8"/>
      <c r="AE83" s="4">
        <v>7</v>
      </c>
      <c r="AF83" s="8"/>
      <c r="AG83" s="8"/>
      <c r="AH83" s="8"/>
      <c r="AL83" s="8"/>
      <c r="AM83" s="8"/>
    </row>
    <row r="84" spans="1:39" x14ac:dyDescent="0.2">
      <c r="A84" t="s">
        <v>248</v>
      </c>
      <c r="V84" s="8">
        <v>0.02</v>
      </c>
      <c r="W84" s="8"/>
      <c r="X84" s="8"/>
      <c r="Y84" s="8"/>
      <c r="Z84" s="8"/>
      <c r="AC84" s="8"/>
      <c r="AD84" s="8"/>
      <c r="AF84" s="8"/>
      <c r="AG84" s="8"/>
      <c r="AH84" s="8"/>
      <c r="AL84" s="8"/>
      <c r="AM84" s="8"/>
    </row>
    <row r="85" spans="1:39" x14ac:dyDescent="0.2">
      <c r="A85" t="s">
        <v>1196</v>
      </c>
      <c r="G85">
        <v>5</v>
      </c>
      <c r="H85">
        <v>5</v>
      </c>
      <c r="V85" s="8"/>
      <c r="W85" s="8"/>
      <c r="X85" s="8"/>
      <c r="Y85" s="8"/>
      <c r="Z85" s="8"/>
      <c r="AC85" s="8"/>
      <c r="AD85" s="8"/>
      <c r="AF85" s="8"/>
      <c r="AG85" s="8"/>
      <c r="AH85" s="8"/>
      <c r="AL85" s="8"/>
      <c r="AM85" s="8"/>
    </row>
    <row r="86" spans="1:39" x14ac:dyDescent="0.2">
      <c r="A86" t="s">
        <v>1197</v>
      </c>
      <c r="G86">
        <v>3</v>
      </c>
      <c r="N86">
        <v>2</v>
      </c>
      <c r="O86">
        <v>15</v>
      </c>
      <c r="V86" s="8"/>
      <c r="W86" s="8"/>
      <c r="X86" s="8"/>
      <c r="Y86" s="8"/>
      <c r="Z86" s="8"/>
      <c r="AC86" s="8"/>
      <c r="AD86" s="8"/>
      <c r="AF86" s="8"/>
      <c r="AG86" s="8"/>
      <c r="AH86" s="8"/>
      <c r="AL86" s="8"/>
      <c r="AM86" s="8"/>
    </row>
    <row r="87" spans="1:39" x14ac:dyDescent="0.2">
      <c r="A87" t="s">
        <v>1200</v>
      </c>
      <c r="G87">
        <v>3</v>
      </c>
      <c r="N87">
        <v>2</v>
      </c>
      <c r="O87">
        <v>10</v>
      </c>
      <c r="V87" s="8"/>
      <c r="W87" s="8"/>
      <c r="X87" s="8"/>
      <c r="Y87" s="8"/>
      <c r="Z87" s="8"/>
      <c r="AC87" s="8"/>
      <c r="AD87" s="8"/>
      <c r="AF87" s="8"/>
      <c r="AG87" s="8"/>
      <c r="AH87" s="8"/>
      <c r="AL87" s="8"/>
      <c r="AM87" s="8"/>
    </row>
    <row r="88" spans="1:39" x14ac:dyDescent="0.2">
      <c r="A88" t="s">
        <v>1198</v>
      </c>
      <c r="G88">
        <v>4</v>
      </c>
      <c r="N88">
        <v>3</v>
      </c>
      <c r="O88">
        <v>15</v>
      </c>
      <c r="V88" s="8"/>
      <c r="W88" s="8"/>
      <c r="X88" s="8"/>
      <c r="Y88" s="8"/>
      <c r="Z88" s="8"/>
      <c r="AC88" s="8"/>
      <c r="AD88" s="8"/>
      <c r="AF88" s="8"/>
      <c r="AG88" s="8"/>
      <c r="AH88" s="8"/>
      <c r="AL88" s="8"/>
      <c r="AM88" s="8"/>
    </row>
    <row r="89" spans="1:39" x14ac:dyDescent="0.2">
      <c r="A89" t="s">
        <v>1199</v>
      </c>
      <c r="G89">
        <v>4</v>
      </c>
      <c r="N89">
        <v>3</v>
      </c>
      <c r="O89">
        <v>10</v>
      </c>
      <c r="V89" s="8"/>
      <c r="W89" s="8"/>
      <c r="X89" s="8"/>
      <c r="Y89" s="8"/>
      <c r="Z89" s="8"/>
      <c r="AC89" s="8"/>
      <c r="AD89" s="8"/>
      <c r="AF89" s="8"/>
      <c r="AG89" s="8"/>
      <c r="AH89" s="8"/>
      <c r="AL89" s="8"/>
      <c r="AM89" s="8"/>
    </row>
    <row r="90" spans="1:39" x14ac:dyDescent="0.2">
      <c r="A90" t="s">
        <v>489</v>
      </c>
      <c r="V90" s="8"/>
      <c r="W90" s="8"/>
      <c r="X90" s="8"/>
      <c r="Y90" s="8"/>
      <c r="Z90" s="8"/>
      <c r="AC90" s="8"/>
      <c r="AD90" s="8"/>
      <c r="AE90" s="4">
        <v>4</v>
      </c>
      <c r="AF90" s="8"/>
      <c r="AG90" s="8"/>
      <c r="AH90" s="8"/>
      <c r="AL90" s="8"/>
      <c r="AM90" s="8"/>
    </row>
    <row r="91" spans="1:39" x14ac:dyDescent="0.2">
      <c r="A91" t="s">
        <v>85</v>
      </c>
      <c r="V91" s="8"/>
      <c r="W91" s="8"/>
      <c r="X91" s="8"/>
      <c r="Y91" s="8"/>
      <c r="Z91" s="8"/>
      <c r="AC91" s="8"/>
      <c r="AD91" s="8"/>
      <c r="AF91" s="8"/>
      <c r="AG91" s="8"/>
      <c r="AH91" s="8"/>
      <c r="AL91" s="8"/>
      <c r="AM91" s="8">
        <v>-0.03</v>
      </c>
    </row>
    <row r="92" spans="1:39" x14ac:dyDescent="0.2">
      <c r="A92" t="s">
        <v>525</v>
      </c>
      <c r="V92" s="8"/>
      <c r="W92" s="8"/>
      <c r="X92" s="8"/>
      <c r="Y92" s="8"/>
      <c r="Z92" s="8"/>
      <c r="AC92" s="8"/>
      <c r="AD92" s="8"/>
      <c r="AF92" s="8"/>
      <c r="AG92" s="8"/>
      <c r="AH92" s="8"/>
      <c r="AL92" s="8"/>
      <c r="AM92" s="8">
        <v>0.03</v>
      </c>
    </row>
    <row r="93" spans="1:39" x14ac:dyDescent="0.2">
      <c r="A93" t="s">
        <v>1201</v>
      </c>
      <c r="N93">
        <v>10</v>
      </c>
      <c r="O93">
        <v>10</v>
      </c>
      <c r="V93" s="8"/>
      <c r="W93" s="8"/>
      <c r="X93" s="8"/>
      <c r="Y93" s="8"/>
      <c r="Z93" s="8"/>
      <c r="AC93" s="8"/>
      <c r="AD93" s="8"/>
      <c r="AF93" s="8"/>
      <c r="AG93" s="8"/>
      <c r="AH93" s="8"/>
      <c r="AL93" s="8"/>
      <c r="AM93" s="8"/>
    </row>
    <row r="94" spans="1:39" x14ac:dyDescent="0.2">
      <c r="A94" t="s">
        <v>1709</v>
      </c>
      <c r="N94">
        <v>30</v>
      </c>
      <c r="O94">
        <v>30</v>
      </c>
      <c r="V94" s="8"/>
      <c r="W94" s="8"/>
      <c r="X94" s="8"/>
      <c r="Y94" s="8"/>
      <c r="Z94" s="8"/>
      <c r="AC94" s="8"/>
      <c r="AD94" s="8"/>
      <c r="AF94" s="8"/>
      <c r="AG94" s="8"/>
      <c r="AH94" s="8"/>
      <c r="AL94" s="8"/>
      <c r="AM94" s="8"/>
    </row>
    <row r="97" spans="1:42" s="1" customFormat="1" x14ac:dyDescent="0.2">
      <c r="A97" s="1" t="s">
        <v>86</v>
      </c>
      <c r="B97" s="1" t="s">
        <v>72</v>
      </c>
      <c r="C97" s="1" t="s">
        <v>482</v>
      </c>
      <c r="D97" s="1" t="s">
        <v>483</v>
      </c>
      <c r="E97" s="1" t="s">
        <v>484</v>
      </c>
      <c r="F97" s="1" t="s">
        <v>492</v>
      </c>
      <c r="G97" s="1" t="s">
        <v>26</v>
      </c>
      <c r="H97" s="1" t="s">
        <v>27</v>
      </c>
      <c r="I97" s="1" t="s">
        <v>23</v>
      </c>
      <c r="J97" s="1" t="s">
        <v>25</v>
      </c>
      <c r="K97" s="1" t="s">
        <v>298</v>
      </c>
      <c r="L97" s="1" t="s">
        <v>299</v>
      </c>
      <c r="M97" s="1" t="s">
        <v>300</v>
      </c>
      <c r="N97" s="1" t="s">
        <v>74</v>
      </c>
      <c r="O97" s="1" t="s">
        <v>73</v>
      </c>
      <c r="P97" s="1" t="s">
        <v>375</v>
      </c>
      <c r="Q97" s="1" t="s">
        <v>553</v>
      </c>
      <c r="R97" s="1" t="s">
        <v>554</v>
      </c>
      <c r="S97" s="1" t="s">
        <v>555</v>
      </c>
      <c r="T97" s="213" t="s">
        <v>556</v>
      </c>
      <c r="U97" s="213" t="s">
        <v>557</v>
      </c>
      <c r="V97" s="1" t="s">
        <v>75</v>
      </c>
      <c r="W97" s="1" t="s">
        <v>76</v>
      </c>
      <c r="X97" s="1" t="s">
        <v>77</v>
      </c>
      <c r="Y97" s="1" t="s">
        <v>480</v>
      </c>
      <c r="Z97" s="1" t="s">
        <v>80</v>
      </c>
      <c r="AA97" s="1" t="s">
        <v>481</v>
      </c>
      <c r="AB97" s="1" t="s">
        <v>28</v>
      </c>
      <c r="AC97" s="1" t="s">
        <v>78</v>
      </c>
      <c r="AD97" s="1" t="s">
        <v>79</v>
      </c>
      <c r="AE97" s="213" t="s">
        <v>82</v>
      </c>
      <c r="AF97" s="1" t="s">
        <v>81</v>
      </c>
      <c r="AG97" s="1" t="s">
        <v>102</v>
      </c>
      <c r="AH97" s="1" t="s">
        <v>103</v>
      </c>
      <c r="AI97" s="213" t="s">
        <v>452</v>
      </c>
      <c r="AJ97" s="213" t="s">
        <v>453</v>
      </c>
      <c r="AK97" s="213" t="s">
        <v>440</v>
      </c>
      <c r="AL97" s="1" t="s">
        <v>349</v>
      </c>
      <c r="AM97" s="1" t="s">
        <v>524</v>
      </c>
      <c r="AN97" s="213" t="s">
        <v>109</v>
      </c>
    </row>
    <row r="98" spans="1:42" x14ac:dyDescent="0.2">
      <c r="A98" t="s">
        <v>245</v>
      </c>
      <c r="V98" s="8"/>
      <c r="W98" s="8"/>
      <c r="X98" s="8"/>
      <c r="Y98" s="8"/>
      <c r="Z98" s="8"/>
      <c r="AB98" s="4"/>
      <c r="AC98" s="8"/>
      <c r="AD98" s="8"/>
      <c r="AF98" s="8"/>
      <c r="AG98" s="8"/>
      <c r="AH98" s="8"/>
      <c r="AL98" s="8"/>
      <c r="AM98" s="8"/>
    </row>
    <row r="99" spans="1:42" x14ac:dyDescent="0.2">
      <c r="A99" t="s">
        <v>568</v>
      </c>
      <c r="G99">
        <v>2</v>
      </c>
      <c r="N99">
        <v>10</v>
      </c>
      <c r="V99" s="8"/>
      <c r="W99" s="8"/>
      <c r="X99" s="8"/>
      <c r="Y99" s="8"/>
      <c r="Z99" s="8"/>
      <c r="AB99" s="4"/>
      <c r="AC99" s="8"/>
      <c r="AD99" s="8"/>
      <c r="AF99" s="8"/>
      <c r="AG99" s="8"/>
      <c r="AH99" s="8"/>
      <c r="AL99" s="8"/>
      <c r="AM99" s="8"/>
    </row>
    <row r="100" spans="1:42" x14ac:dyDescent="0.2">
      <c r="A100" t="s">
        <v>249</v>
      </c>
      <c r="G100">
        <v>1</v>
      </c>
      <c r="N100">
        <v>3</v>
      </c>
      <c r="V100" s="8"/>
      <c r="W100" s="8"/>
      <c r="X100" s="8"/>
      <c r="Y100" s="8"/>
      <c r="Z100" s="8"/>
      <c r="AB100" s="4"/>
      <c r="AC100" s="8"/>
      <c r="AD100" s="8"/>
      <c r="AF100" s="8"/>
      <c r="AG100" s="8"/>
      <c r="AH100" s="8"/>
      <c r="AL100" s="8"/>
      <c r="AM100" s="8"/>
    </row>
    <row r="101" spans="1:42" x14ac:dyDescent="0.2">
      <c r="A101" t="s">
        <v>250</v>
      </c>
      <c r="H101">
        <v>1</v>
      </c>
      <c r="N101">
        <v>4</v>
      </c>
      <c r="O101">
        <v>4</v>
      </c>
      <c r="V101" s="8"/>
      <c r="W101" s="8"/>
      <c r="X101" s="8"/>
      <c r="Y101" s="8"/>
      <c r="Z101" s="8"/>
      <c r="AB101" s="4"/>
      <c r="AC101" s="8"/>
      <c r="AD101" s="8"/>
      <c r="AF101" s="8"/>
      <c r="AG101" s="8"/>
      <c r="AH101" s="8"/>
      <c r="AL101" s="8"/>
      <c r="AM101" s="8"/>
    </row>
    <row r="102" spans="1:42" x14ac:dyDescent="0.2">
      <c r="A102" t="s">
        <v>1202</v>
      </c>
      <c r="G102">
        <v>3</v>
      </c>
      <c r="H102">
        <v>2</v>
      </c>
      <c r="V102" s="8"/>
      <c r="W102" s="8"/>
      <c r="X102" s="8"/>
      <c r="Y102" s="8"/>
      <c r="Z102" s="8"/>
      <c r="AB102" s="4"/>
      <c r="AC102" s="8"/>
      <c r="AD102" s="8"/>
      <c r="AF102" s="8"/>
      <c r="AG102" s="8"/>
      <c r="AH102" s="8"/>
      <c r="AL102" s="8"/>
      <c r="AM102" s="8"/>
    </row>
    <row r="103" spans="1:42" x14ac:dyDescent="0.2">
      <c r="A103" t="s">
        <v>251</v>
      </c>
      <c r="H103">
        <v>4</v>
      </c>
      <c r="V103" s="8"/>
      <c r="W103" s="8"/>
      <c r="X103" s="8"/>
      <c r="Y103" s="8"/>
      <c r="Z103" s="8"/>
      <c r="AB103" s="4"/>
      <c r="AC103" s="8"/>
      <c r="AD103" s="8"/>
      <c r="AF103" s="8"/>
      <c r="AG103" s="8"/>
      <c r="AH103" s="8"/>
      <c r="AL103" s="8"/>
      <c r="AM103" s="8"/>
    </row>
    <row r="104" spans="1:42" x14ac:dyDescent="0.2">
      <c r="A104" t="s">
        <v>1203</v>
      </c>
      <c r="G104">
        <v>3</v>
      </c>
      <c r="K104">
        <v>5</v>
      </c>
      <c r="O104">
        <v>10</v>
      </c>
      <c r="V104" s="8"/>
      <c r="W104" s="8"/>
      <c r="X104" s="8"/>
      <c r="Y104" s="8"/>
      <c r="Z104" s="8"/>
      <c r="AB104" s="4"/>
      <c r="AC104" s="8"/>
      <c r="AD104" s="8"/>
      <c r="AF104" s="8"/>
      <c r="AG104" s="8"/>
      <c r="AH104" s="8"/>
      <c r="AL104" s="8"/>
      <c r="AM104" s="8"/>
    </row>
    <row r="105" spans="1:42" x14ac:dyDescent="0.2">
      <c r="A105" t="s">
        <v>1204</v>
      </c>
      <c r="N105">
        <v>-10</v>
      </c>
      <c r="O105">
        <v>10</v>
      </c>
      <c r="V105" s="8">
        <v>0.02</v>
      </c>
      <c r="W105" s="8"/>
      <c r="X105" s="8"/>
      <c r="Y105" s="8"/>
      <c r="Z105" s="8"/>
      <c r="AB105" s="4"/>
      <c r="AC105" s="8"/>
      <c r="AD105" s="8"/>
      <c r="AF105" s="8"/>
      <c r="AG105" s="8"/>
      <c r="AH105" s="8"/>
      <c r="AL105" s="8"/>
      <c r="AM105" s="8"/>
    </row>
    <row r="106" spans="1:42" x14ac:dyDescent="0.2">
      <c r="A106" t="s">
        <v>527</v>
      </c>
      <c r="N106">
        <v>5</v>
      </c>
      <c r="O106">
        <v>10</v>
      </c>
      <c r="V106" s="8"/>
      <c r="W106" s="8"/>
      <c r="X106" s="8"/>
      <c r="Y106" s="8"/>
      <c r="Z106" s="8"/>
      <c r="AA106" s="8"/>
      <c r="AB106" s="4"/>
      <c r="AC106" s="8"/>
      <c r="AD106" s="8"/>
      <c r="AE106">
        <v>3</v>
      </c>
      <c r="AF106" s="8"/>
      <c r="AG106" s="8"/>
      <c r="AH106" s="8"/>
      <c r="AL106" s="4"/>
      <c r="AM106" s="8"/>
    </row>
    <row r="107" spans="1:42" x14ac:dyDescent="0.2">
      <c r="A107" t="s">
        <v>87</v>
      </c>
      <c r="O107">
        <v>3</v>
      </c>
      <c r="V107" s="8"/>
      <c r="W107" s="8"/>
      <c r="X107" s="8"/>
      <c r="Y107" s="8"/>
      <c r="Z107" s="8"/>
      <c r="AB107" s="4"/>
      <c r="AC107" s="8"/>
      <c r="AD107" s="8"/>
      <c r="AE107" s="4">
        <v>3</v>
      </c>
      <c r="AF107" s="8"/>
      <c r="AG107" s="8"/>
      <c r="AH107" s="8"/>
      <c r="AL107" s="8"/>
      <c r="AM107" s="8"/>
    </row>
    <row r="108" spans="1:42" x14ac:dyDescent="0.2">
      <c r="A108" t="s">
        <v>1208</v>
      </c>
      <c r="V108" s="8"/>
      <c r="W108" s="8"/>
      <c r="X108" s="8"/>
      <c r="Y108" s="8"/>
      <c r="Z108" s="8"/>
      <c r="AB108" s="4">
        <v>10</v>
      </c>
      <c r="AC108" s="8"/>
      <c r="AD108" s="8"/>
      <c r="AE108" s="4">
        <v>-5</v>
      </c>
      <c r="AF108" s="8"/>
      <c r="AG108" s="8"/>
      <c r="AH108" s="8"/>
      <c r="AL108" s="8"/>
      <c r="AM108" s="8"/>
    </row>
    <row r="109" spans="1:42" x14ac:dyDescent="0.2">
      <c r="A109" t="s">
        <v>551</v>
      </c>
      <c r="N109">
        <v>10</v>
      </c>
      <c r="O109">
        <v>10</v>
      </c>
      <c r="V109" s="8"/>
      <c r="W109" s="8"/>
      <c r="X109" s="8"/>
      <c r="Y109" s="8"/>
      <c r="Z109" s="8"/>
      <c r="AA109" s="8"/>
      <c r="AB109" s="4">
        <v>20</v>
      </c>
      <c r="AC109" s="8"/>
      <c r="AD109" s="8"/>
      <c r="AE109">
        <v>-3</v>
      </c>
      <c r="AF109" s="4"/>
      <c r="AG109" s="4"/>
      <c r="AH109" s="8"/>
      <c r="AL109" s="8"/>
      <c r="AN109"/>
      <c r="AP109" s="8"/>
    </row>
    <row r="110" spans="1:42" x14ac:dyDescent="0.2">
      <c r="A110" s="144" t="s">
        <v>496</v>
      </c>
      <c r="H110">
        <v>4</v>
      </c>
      <c r="N110">
        <v>4</v>
      </c>
      <c r="V110" s="8"/>
      <c r="W110" s="8"/>
      <c r="X110" s="8"/>
      <c r="Y110" s="8"/>
      <c r="Z110" s="8"/>
      <c r="AA110" s="8"/>
      <c r="AB110" s="4"/>
      <c r="AC110" s="8"/>
      <c r="AD110" s="8"/>
      <c r="AE110"/>
      <c r="AF110" s="4"/>
      <c r="AG110" s="4"/>
      <c r="AH110" s="8"/>
      <c r="AL110" s="8"/>
      <c r="AM110" s="8"/>
      <c r="AN110"/>
    </row>
    <row r="111" spans="1:42" x14ac:dyDescent="0.2">
      <c r="A111" s="144" t="s">
        <v>1716</v>
      </c>
      <c r="O111">
        <v>23</v>
      </c>
      <c r="V111" s="8"/>
      <c r="W111" s="8"/>
      <c r="X111" s="8"/>
      <c r="Y111" s="8"/>
      <c r="Z111" s="8"/>
      <c r="AA111" s="8"/>
      <c r="AB111" s="4"/>
      <c r="AC111" s="8"/>
      <c r="AD111" s="8"/>
      <c r="AE111"/>
      <c r="AF111" s="4"/>
      <c r="AG111" s="4"/>
      <c r="AH111" s="8">
        <v>0.06</v>
      </c>
      <c r="AL111" s="8"/>
      <c r="AM111" s="8"/>
      <c r="AN111"/>
    </row>
    <row r="112" spans="1:42" x14ac:dyDescent="0.2">
      <c r="A112" t="s">
        <v>252</v>
      </c>
      <c r="V112" s="8"/>
      <c r="W112" s="8"/>
      <c r="X112" s="8"/>
      <c r="Y112" s="8"/>
      <c r="Z112" s="8"/>
      <c r="AB112" s="4"/>
      <c r="AC112" s="8"/>
      <c r="AD112" s="8"/>
      <c r="AF112" s="8"/>
      <c r="AG112" s="8"/>
      <c r="AH112" s="8"/>
      <c r="AL112" s="8"/>
      <c r="AM112" s="8"/>
    </row>
    <row r="113" spans="1:40" x14ac:dyDescent="0.2">
      <c r="A113" t="s">
        <v>1207</v>
      </c>
      <c r="O113">
        <v>15</v>
      </c>
      <c r="V113" s="8"/>
      <c r="W113" s="8"/>
      <c r="X113" s="8"/>
      <c r="Y113" s="8"/>
      <c r="Z113" s="8"/>
      <c r="AB113" s="4"/>
      <c r="AC113" s="8"/>
      <c r="AD113" s="8"/>
      <c r="AF113" s="8"/>
      <c r="AG113" s="8"/>
      <c r="AH113" s="8"/>
      <c r="AL113" s="8"/>
      <c r="AM113" s="8"/>
    </row>
    <row r="114" spans="1:40" s="144" customFormat="1" x14ac:dyDescent="0.2">
      <c r="A114" s="144" t="s">
        <v>536</v>
      </c>
      <c r="J114" s="144">
        <v>3</v>
      </c>
      <c r="N114" s="144">
        <v>15</v>
      </c>
      <c r="O114" s="144">
        <v>15</v>
      </c>
      <c r="V114" s="177"/>
      <c r="W114" s="177"/>
      <c r="X114" s="177"/>
      <c r="Y114" s="177"/>
      <c r="Z114" s="177"/>
      <c r="AA114" s="177"/>
      <c r="AB114" s="178"/>
      <c r="AC114" s="177"/>
      <c r="AD114" s="177"/>
      <c r="AF114" s="178"/>
      <c r="AG114" s="177"/>
      <c r="AH114" s="177"/>
      <c r="AI114" s="178"/>
      <c r="AJ114" s="178"/>
      <c r="AK114" s="178"/>
      <c r="AL114" s="178"/>
    </row>
    <row r="115" spans="1:40" s="144" customFormat="1" x14ac:dyDescent="0.2">
      <c r="A115" s="3" t="s">
        <v>1205</v>
      </c>
      <c r="J115" s="144">
        <v>3</v>
      </c>
      <c r="V115" s="177"/>
      <c r="W115" s="177"/>
      <c r="X115" s="177"/>
      <c r="Y115" s="177"/>
      <c r="Z115" s="177"/>
      <c r="AA115" s="177"/>
      <c r="AB115" s="178"/>
      <c r="AC115" s="177"/>
      <c r="AD115" s="177"/>
      <c r="AF115" s="178"/>
      <c r="AG115" s="177"/>
      <c r="AH115" s="177"/>
      <c r="AI115" s="178"/>
      <c r="AJ115" s="178"/>
      <c r="AK115" s="178"/>
      <c r="AL115" s="178"/>
    </row>
    <row r="116" spans="1:40" x14ac:dyDescent="0.2">
      <c r="A116" t="s">
        <v>104</v>
      </c>
      <c r="G116">
        <v>2</v>
      </c>
      <c r="O116">
        <v>8</v>
      </c>
      <c r="V116" s="8"/>
      <c r="W116" s="8"/>
      <c r="X116" s="8"/>
      <c r="Y116" s="8"/>
      <c r="Z116" s="8"/>
      <c r="AB116" s="4"/>
      <c r="AC116" s="8"/>
      <c r="AD116" s="8"/>
      <c r="AF116" s="8"/>
      <c r="AG116" s="8"/>
      <c r="AH116" s="8"/>
      <c r="AL116" s="8"/>
      <c r="AM116" s="8"/>
    </row>
    <row r="117" spans="1:40" x14ac:dyDescent="0.2">
      <c r="A117" t="s">
        <v>253</v>
      </c>
      <c r="N117">
        <v>2</v>
      </c>
      <c r="O117">
        <v>2</v>
      </c>
      <c r="V117" s="8"/>
      <c r="W117" s="8"/>
      <c r="X117" s="8"/>
      <c r="Y117" s="8"/>
      <c r="Z117" s="8"/>
      <c r="AB117" s="4"/>
      <c r="AC117" s="8"/>
      <c r="AD117" s="8"/>
      <c r="AF117" s="8"/>
      <c r="AG117" s="8"/>
      <c r="AH117" s="8"/>
      <c r="AL117" s="8"/>
      <c r="AM117" s="8"/>
    </row>
    <row r="118" spans="1:40" x14ac:dyDescent="0.2">
      <c r="A118" t="s">
        <v>1206</v>
      </c>
      <c r="V118" s="8">
        <v>0.01</v>
      </c>
      <c r="W118" s="8"/>
      <c r="X118" s="8"/>
      <c r="Y118" s="8"/>
      <c r="Z118" s="8"/>
      <c r="AB118" s="4"/>
      <c r="AC118" s="8"/>
      <c r="AD118" s="8"/>
      <c r="AF118" s="8"/>
      <c r="AG118" s="8"/>
      <c r="AH118" s="8"/>
      <c r="AL118" s="8"/>
      <c r="AM118" s="8"/>
    </row>
    <row r="119" spans="1:40" x14ac:dyDescent="0.2">
      <c r="A119" t="s">
        <v>254</v>
      </c>
      <c r="V119" s="8"/>
      <c r="W119" s="8"/>
      <c r="X119" s="8"/>
      <c r="Y119" s="8"/>
      <c r="Z119" s="8"/>
      <c r="AB119" s="4"/>
      <c r="AC119" s="8"/>
      <c r="AD119" s="8"/>
      <c r="AE119" s="4">
        <v>2</v>
      </c>
      <c r="AF119" s="8"/>
      <c r="AG119" s="8"/>
      <c r="AH119" s="8"/>
      <c r="AL119" s="8"/>
      <c r="AM119" s="8"/>
    </row>
    <row r="120" spans="1:40" x14ac:dyDescent="0.2">
      <c r="AB120" s="4"/>
    </row>
    <row r="122" spans="1:40" s="1" customFormat="1" x14ac:dyDescent="0.2">
      <c r="A122" s="1" t="s">
        <v>88</v>
      </c>
      <c r="B122" s="1" t="s">
        <v>72</v>
      </c>
      <c r="C122" s="1" t="s">
        <v>482</v>
      </c>
      <c r="D122" s="1" t="s">
        <v>483</v>
      </c>
      <c r="E122" s="1" t="s">
        <v>484</v>
      </c>
      <c r="F122" s="1" t="s">
        <v>492</v>
      </c>
      <c r="G122" s="1" t="s">
        <v>26</v>
      </c>
      <c r="H122" s="1" t="s">
        <v>27</v>
      </c>
      <c r="I122" s="1" t="s">
        <v>23</v>
      </c>
      <c r="J122" s="1" t="s">
        <v>25</v>
      </c>
      <c r="K122" s="1" t="s">
        <v>298</v>
      </c>
      <c r="L122" s="1" t="s">
        <v>299</v>
      </c>
      <c r="M122" s="1" t="s">
        <v>300</v>
      </c>
      <c r="N122" s="1" t="s">
        <v>74</v>
      </c>
      <c r="O122" s="1" t="s">
        <v>73</v>
      </c>
      <c r="P122" s="1" t="s">
        <v>375</v>
      </c>
      <c r="Q122" s="1" t="s">
        <v>553</v>
      </c>
      <c r="R122" s="1" t="s">
        <v>554</v>
      </c>
      <c r="S122" s="1" t="s">
        <v>555</v>
      </c>
      <c r="T122" s="213" t="s">
        <v>556</v>
      </c>
      <c r="U122" s="213" t="s">
        <v>557</v>
      </c>
      <c r="V122" s="1" t="s">
        <v>75</v>
      </c>
      <c r="W122" s="1" t="s">
        <v>76</v>
      </c>
      <c r="X122" s="1" t="s">
        <v>77</v>
      </c>
      <c r="Y122" s="1" t="s">
        <v>480</v>
      </c>
      <c r="Z122" s="1" t="s">
        <v>80</v>
      </c>
      <c r="AA122" s="1" t="s">
        <v>481</v>
      </c>
      <c r="AB122" s="1" t="s">
        <v>28</v>
      </c>
      <c r="AC122" s="1" t="s">
        <v>78</v>
      </c>
      <c r="AD122" s="1" t="s">
        <v>79</v>
      </c>
      <c r="AE122" s="213" t="s">
        <v>82</v>
      </c>
      <c r="AF122" s="1" t="s">
        <v>81</v>
      </c>
      <c r="AG122" s="1" t="s">
        <v>102</v>
      </c>
      <c r="AH122" s="1" t="s">
        <v>103</v>
      </c>
      <c r="AI122" s="213" t="s">
        <v>452</v>
      </c>
      <c r="AJ122" s="213" t="s">
        <v>453</v>
      </c>
      <c r="AK122" s="213" t="s">
        <v>440</v>
      </c>
      <c r="AL122" s="1" t="s">
        <v>349</v>
      </c>
      <c r="AM122" s="1" t="s">
        <v>524</v>
      </c>
      <c r="AN122" s="213" t="s">
        <v>109</v>
      </c>
    </row>
    <row r="123" spans="1:40" x14ac:dyDescent="0.2">
      <c r="A123" s="3" t="s">
        <v>245</v>
      </c>
      <c r="U123" s="8"/>
      <c r="V123" s="8"/>
      <c r="W123" s="8"/>
      <c r="X123" s="8"/>
      <c r="Y123" s="8"/>
      <c r="Z123" s="8"/>
      <c r="AA123" s="4"/>
      <c r="AB123" s="11"/>
      <c r="AC123" s="8"/>
      <c r="AD123" s="4"/>
      <c r="AF123" s="11"/>
      <c r="AG123" s="8"/>
      <c r="AH123" s="4"/>
      <c r="AL123" s="8"/>
      <c r="AM123" s="4"/>
      <c r="AN123"/>
    </row>
    <row r="124" spans="1:40" x14ac:dyDescent="0.2">
      <c r="A124" s="3" t="s">
        <v>620</v>
      </c>
      <c r="G124">
        <v>22</v>
      </c>
      <c r="H124">
        <v>18</v>
      </c>
      <c r="I124">
        <v>18</v>
      </c>
      <c r="J124">
        <v>16</v>
      </c>
      <c r="K124">
        <v>15</v>
      </c>
      <c r="L124">
        <v>15</v>
      </c>
      <c r="M124">
        <v>15</v>
      </c>
      <c r="O124">
        <v>15</v>
      </c>
      <c r="U124" s="8"/>
      <c r="V124" s="8"/>
      <c r="W124" s="8"/>
      <c r="X124" s="8"/>
      <c r="Y124" s="8"/>
      <c r="Z124" s="8"/>
      <c r="AA124" s="4"/>
      <c r="AB124" s="11">
        <v>71</v>
      </c>
      <c r="AC124" s="8"/>
      <c r="AD124" s="4"/>
      <c r="AE124" s="4">
        <v>3</v>
      </c>
      <c r="AF124" s="11"/>
      <c r="AG124" s="8"/>
      <c r="AH124" s="4"/>
      <c r="AL124" s="8"/>
      <c r="AM124" s="4"/>
      <c r="AN124"/>
    </row>
    <row r="125" spans="1:40" x14ac:dyDescent="0.2">
      <c r="A125" s="3" t="str">
        <f>Augments!A16</f>
        <v>Acro Helm (DA)</v>
      </c>
      <c r="B125">
        <f t="shared" ref="B125:K128" ca="1" si="8">IF(ISBLANK($A125),0,VLOOKUP($A125,INDIRECT(CONCATENATE("Aug",$A$122)),MATCH(B$1,AugStatHeader,0),0)
+VLOOKUP(LEFT($A125,FIND(" (",$A125,1)-1),INDIRECT("BaseAugArmor"),MATCH(B$1,StatHeader,0),0))</f>
        <v>0</v>
      </c>
      <c r="C125">
        <f t="shared" ca="1" si="8"/>
        <v>0</v>
      </c>
      <c r="D125">
        <f t="shared" ca="1" si="8"/>
        <v>0</v>
      </c>
      <c r="E125">
        <f t="shared" ca="1" si="8"/>
        <v>0</v>
      </c>
      <c r="F125">
        <f t="shared" ca="1" si="8"/>
        <v>0</v>
      </c>
      <c r="G125">
        <f t="shared" ca="1" si="8"/>
        <v>29</v>
      </c>
      <c r="H125">
        <f t="shared" ca="1" si="8"/>
        <v>25</v>
      </c>
      <c r="I125">
        <f t="shared" ca="1" si="8"/>
        <v>18</v>
      </c>
      <c r="J125">
        <f t="shared" ca="1" si="8"/>
        <v>16</v>
      </c>
      <c r="K125">
        <f t="shared" ca="1" si="8"/>
        <v>15</v>
      </c>
      <c r="L125">
        <f t="shared" ref="L125:U128" ca="1" si="9">IF(ISBLANK($A125),0,VLOOKUP($A125,INDIRECT(CONCATENATE("Aug",$A$122)),MATCH(L$1,AugStatHeader,0),0)
+VLOOKUP(LEFT($A125,FIND(" (",$A125,1)-1),INDIRECT("BaseAugArmor"),MATCH(L$1,StatHeader,0),0))</f>
        <v>15</v>
      </c>
      <c r="M125">
        <f t="shared" ca="1" si="9"/>
        <v>15</v>
      </c>
      <c r="N125">
        <f t="shared" ca="1" si="9"/>
        <v>20</v>
      </c>
      <c r="O125">
        <f t="shared" ca="1" si="9"/>
        <v>35</v>
      </c>
      <c r="P125" s="8">
        <f t="shared" ca="1" si="9"/>
        <v>0</v>
      </c>
      <c r="Q125">
        <f t="shared" ca="1" si="9"/>
        <v>0</v>
      </c>
      <c r="R125">
        <f t="shared" ca="1" si="9"/>
        <v>0</v>
      </c>
      <c r="S125">
        <f t="shared" ca="1" si="9"/>
        <v>0</v>
      </c>
      <c r="T125">
        <f t="shared" ca="1" si="9"/>
        <v>0</v>
      </c>
      <c r="U125">
        <f t="shared" ca="1" si="9"/>
        <v>0</v>
      </c>
      <c r="V125" s="8">
        <f t="shared" ref="V125:AE128" ca="1" si="10">IF(ISBLANK($A125),0,VLOOKUP($A125,INDIRECT(CONCATENATE("Aug",$A$122)),MATCH(V$1,AugStatHeader,0),0)
+VLOOKUP(LEFT($A125,FIND(" (",$A125,1)-1),INDIRECT("BaseAugArmor"),MATCH(V$1,StatHeader,0),0))</f>
        <v>0.03</v>
      </c>
      <c r="W125" s="8">
        <f t="shared" ca="1" si="10"/>
        <v>0</v>
      </c>
      <c r="X125" s="8">
        <f t="shared" ca="1" si="10"/>
        <v>0</v>
      </c>
      <c r="Y125" s="8">
        <f t="shared" ca="1" si="10"/>
        <v>0</v>
      </c>
      <c r="Z125" s="8">
        <f t="shared" ca="1" si="10"/>
        <v>0</v>
      </c>
      <c r="AA125">
        <f t="shared" ca="1" si="10"/>
        <v>0</v>
      </c>
      <c r="AB125">
        <f t="shared" ca="1" si="10"/>
        <v>71</v>
      </c>
      <c r="AC125" s="8">
        <f t="shared" ca="1" si="10"/>
        <v>0</v>
      </c>
      <c r="AD125" s="8">
        <f t="shared" ca="1" si="10"/>
        <v>0</v>
      </c>
      <c r="AE125">
        <f t="shared" ca="1" si="10"/>
        <v>3</v>
      </c>
      <c r="AF125">
        <f t="shared" ref="AF125:AN128" ca="1" si="11">IF(ISBLANK($A125),0,VLOOKUP($A125,INDIRECT(CONCATENATE("Aug",$A$122)),MATCH(AF$1,AugStatHeader,0),0)
+VLOOKUP(LEFT($A125,FIND(" (",$A125,1)-1),INDIRECT("BaseAugArmor"),MATCH(AF$1,StatHeader,0),0))</f>
        <v>0</v>
      </c>
      <c r="AG125">
        <f t="shared" ca="1" si="11"/>
        <v>0</v>
      </c>
      <c r="AH125" s="8">
        <f t="shared" ca="1" si="11"/>
        <v>0</v>
      </c>
      <c r="AI125">
        <f t="shared" ca="1" si="11"/>
        <v>0</v>
      </c>
      <c r="AJ125">
        <f t="shared" ca="1" si="11"/>
        <v>0</v>
      </c>
      <c r="AK125">
        <f t="shared" ca="1" si="11"/>
        <v>0</v>
      </c>
      <c r="AL125">
        <f t="shared" ca="1" si="11"/>
        <v>0</v>
      </c>
      <c r="AM125" s="8">
        <f t="shared" ca="1" si="11"/>
        <v>0</v>
      </c>
      <c r="AN125">
        <f t="shared" ca="1" si="11"/>
        <v>0</v>
      </c>
    </row>
    <row r="126" spans="1:40" x14ac:dyDescent="0.2">
      <c r="A126" s="3" t="str">
        <f>Augments!A17</f>
        <v>Acro Helm (STP)</v>
      </c>
      <c r="B126">
        <f t="shared" ca="1" si="8"/>
        <v>0</v>
      </c>
      <c r="C126">
        <f t="shared" ca="1" si="8"/>
        <v>0</v>
      </c>
      <c r="D126">
        <f t="shared" ca="1" si="8"/>
        <v>0</v>
      </c>
      <c r="E126">
        <f t="shared" ca="1" si="8"/>
        <v>0</v>
      </c>
      <c r="F126">
        <f t="shared" ca="1" si="8"/>
        <v>0</v>
      </c>
      <c r="G126">
        <f t="shared" ca="1" si="8"/>
        <v>29</v>
      </c>
      <c r="H126">
        <f t="shared" ca="1" si="8"/>
        <v>25</v>
      </c>
      <c r="I126">
        <f t="shared" ca="1" si="8"/>
        <v>18</v>
      </c>
      <c r="J126">
        <f t="shared" ca="1" si="8"/>
        <v>16</v>
      </c>
      <c r="K126">
        <f t="shared" ca="1" si="8"/>
        <v>15</v>
      </c>
      <c r="L126">
        <f t="shared" ca="1" si="9"/>
        <v>15</v>
      </c>
      <c r="M126">
        <f t="shared" ca="1" si="9"/>
        <v>15</v>
      </c>
      <c r="N126">
        <f t="shared" ca="1" si="9"/>
        <v>20</v>
      </c>
      <c r="O126">
        <f t="shared" ca="1" si="9"/>
        <v>35</v>
      </c>
      <c r="P126" s="8">
        <f t="shared" ca="1" si="9"/>
        <v>0</v>
      </c>
      <c r="Q126">
        <f t="shared" ca="1" si="9"/>
        <v>0</v>
      </c>
      <c r="R126">
        <f t="shared" ca="1" si="9"/>
        <v>0</v>
      </c>
      <c r="S126">
        <f t="shared" ca="1" si="9"/>
        <v>0</v>
      </c>
      <c r="T126">
        <f t="shared" ca="1" si="9"/>
        <v>0</v>
      </c>
      <c r="U126">
        <f t="shared" ca="1" si="9"/>
        <v>0</v>
      </c>
      <c r="V126" s="8">
        <f t="shared" ca="1" si="10"/>
        <v>0</v>
      </c>
      <c r="W126" s="8">
        <f t="shared" ca="1" si="10"/>
        <v>0</v>
      </c>
      <c r="X126" s="8">
        <f t="shared" ca="1" si="10"/>
        <v>0</v>
      </c>
      <c r="Y126" s="8">
        <f t="shared" ca="1" si="10"/>
        <v>0</v>
      </c>
      <c r="Z126" s="8">
        <f t="shared" ca="1" si="10"/>
        <v>0</v>
      </c>
      <c r="AA126">
        <f t="shared" ca="1" si="10"/>
        <v>0</v>
      </c>
      <c r="AB126">
        <f t="shared" ca="1" si="10"/>
        <v>71</v>
      </c>
      <c r="AC126" s="8">
        <f t="shared" ca="1" si="10"/>
        <v>0</v>
      </c>
      <c r="AD126" s="8">
        <f t="shared" ca="1" si="10"/>
        <v>0</v>
      </c>
      <c r="AE126">
        <f t="shared" ca="1" si="10"/>
        <v>9</v>
      </c>
      <c r="AF126">
        <f t="shared" ca="1" si="11"/>
        <v>0</v>
      </c>
      <c r="AG126">
        <f t="shared" ca="1" si="11"/>
        <v>0</v>
      </c>
      <c r="AH126" s="8">
        <f t="shared" ca="1" si="11"/>
        <v>0</v>
      </c>
      <c r="AI126">
        <f t="shared" ca="1" si="11"/>
        <v>0</v>
      </c>
      <c r="AJ126">
        <f t="shared" ca="1" si="11"/>
        <v>0</v>
      </c>
      <c r="AK126">
        <f t="shared" ca="1" si="11"/>
        <v>0</v>
      </c>
      <c r="AL126">
        <f t="shared" ca="1" si="11"/>
        <v>0</v>
      </c>
      <c r="AM126" s="8">
        <f t="shared" ca="1" si="11"/>
        <v>0</v>
      </c>
      <c r="AN126">
        <f t="shared" ca="1" si="11"/>
        <v>0</v>
      </c>
    </row>
    <row r="127" spans="1:40" x14ac:dyDescent="0.2">
      <c r="A127" s="3" t="str">
        <f>Augments!A18</f>
        <v>Acro Helm (Custom 1)</v>
      </c>
      <c r="B127">
        <f t="shared" ca="1" si="8"/>
        <v>0</v>
      </c>
      <c r="C127">
        <f t="shared" ca="1" si="8"/>
        <v>0</v>
      </c>
      <c r="D127">
        <f t="shared" ca="1" si="8"/>
        <v>0</v>
      </c>
      <c r="E127">
        <f t="shared" ca="1" si="8"/>
        <v>0</v>
      </c>
      <c r="F127">
        <f t="shared" ca="1" si="8"/>
        <v>0</v>
      </c>
      <c r="G127">
        <f t="shared" ca="1" si="8"/>
        <v>22</v>
      </c>
      <c r="H127">
        <f t="shared" ca="1" si="8"/>
        <v>18</v>
      </c>
      <c r="I127">
        <f t="shared" ca="1" si="8"/>
        <v>18</v>
      </c>
      <c r="J127">
        <f t="shared" ca="1" si="8"/>
        <v>16</v>
      </c>
      <c r="K127">
        <f t="shared" ca="1" si="8"/>
        <v>15</v>
      </c>
      <c r="L127">
        <f t="shared" ca="1" si="9"/>
        <v>15</v>
      </c>
      <c r="M127">
        <f t="shared" ca="1" si="9"/>
        <v>15</v>
      </c>
      <c r="N127">
        <f t="shared" ca="1" si="9"/>
        <v>0</v>
      </c>
      <c r="O127">
        <f t="shared" ca="1" si="9"/>
        <v>15</v>
      </c>
      <c r="P127" s="8">
        <f t="shared" ca="1" si="9"/>
        <v>0</v>
      </c>
      <c r="Q127">
        <f t="shared" ca="1" si="9"/>
        <v>0</v>
      </c>
      <c r="R127">
        <f t="shared" ca="1" si="9"/>
        <v>0</v>
      </c>
      <c r="S127">
        <f t="shared" ca="1" si="9"/>
        <v>0</v>
      </c>
      <c r="T127">
        <f t="shared" ca="1" si="9"/>
        <v>0</v>
      </c>
      <c r="U127">
        <f t="shared" ca="1" si="9"/>
        <v>0</v>
      </c>
      <c r="V127" s="8">
        <f t="shared" ca="1" si="10"/>
        <v>0</v>
      </c>
      <c r="W127" s="8">
        <f t="shared" ca="1" si="10"/>
        <v>0</v>
      </c>
      <c r="X127" s="8">
        <f t="shared" ca="1" si="10"/>
        <v>0</v>
      </c>
      <c r="Y127" s="8">
        <f t="shared" ca="1" si="10"/>
        <v>0</v>
      </c>
      <c r="Z127" s="8">
        <f t="shared" ca="1" si="10"/>
        <v>0</v>
      </c>
      <c r="AA127">
        <f t="shared" ca="1" si="10"/>
        <v>0</v>
      </c>
      <c r="AB127">
        <f t="shared" ca="1" si="10"/>
        <v>71</v>
      </c>
      <c r="AC127" s="8">
        <f t="shared" ca="1" si="10"/>
        <v>0</v>
      </c>
      <c r="AD127" s="8">
        <f t="shared" ca="1" si="10"/>
        <v>0</v>
      </c>
      <c r="AE127">
        <f t="shared" ca="1" si="10"/>
        <v>3</v>
      </c>
      <c r="AF127">
        <f t="shared" ca="1" si="11"/>
        <v>0</v>
      </c>
      <c r="AG127">
        <f t="shared" ca="1" si="11"/>
        <v>0</v>
      </c>
      <c r="AH127" s="8">
        <f t="shared" ca="1" si="11"/>
        <v>0</v>
      </c>
      <c r="AI127">
        <f t="shared" ca="1" si="11"/>
        <v>0</v>
      </c>
      <c r="AJ127">
        <f t="shared" ca="1" si="11"/>
        <v>0</v>
      </c>
      <c r="AK127">
        <f t="shared" ca="1" si="11"/>
        <v>0</v>
      </c>
      <c r="AL127">
        <f t="shared" ca="1" si="11"/>
        <v>0</v>
      </c>
      <c r="AM127" s="8">
        <f t="shared" ca="1" si="11"/>
        <v>0</v>
      </c>
      <c r="AN127">
        <f t="shared" ca="1" si="11"/>
        <v>0</v>
      </c>
    </row>
    <row r="128" spans="1:40" x14ac:dyDescent="0.2">
      <c r="A128" s="3" t="str">
        <f>Augments!A19</f>
        <v>Acro Helm (Custom 2)</v>
      </c>
      <c r="B128">
        <f t="shared" ca="1" si="8"/>
        <v>0</v>
      </c>
      <c r="C128">
        <f t="shared" ca="1" si="8"/>
        <v>0</v>
      </c>
      <c r="D128">
        <f t="shared" ca="1" si="8"/>
        <v>0</v>
      </c>
      <c r="E128">
        <f t="shared" ca="1" si="8"/>
        <v>0</v>
      </c>
      <c r="F128">
        <f t="shared" ca="1" si="8"/>
        <v>0</v>
      </c>
      <c r="G128">
        <f t="shared" ca="1" si="8"/>
        <v>22</v>
      </c>
      <c r="H128">
        <f t="shared" ca="1" si="8"/>
        <v>18</v>
      </c>
      <c r="I128">
        <f t="shared" ca="1" si="8"/>
        <v>18</v>
      </c>
      <c r="J128">
        <f t="shared" ca="1" si="8"/>
        <v>16</v>
      </c>
      <c r="K128">
        <f t="shared" ca="1" si="8"/>
        <v>15</v>
      </c>
      <c r="L128">
        <f t="shared" ca="1" si="9"/>
        <v>15</v>
      </c>
      <c r="M128">
        <f t="shared" ca="1" si="9"/>
        <v>15</v>
      </c>
      <c r="N128">
        <f t="shared" ca="1" si="9"/>
        <v>0</v>
      </c>
      <c r="O128">
        <f t="shared" ca="1" si="9"/>
        <v>15</v>
      </c>
      <c r="P128" s="8">
        <f t="shared" ca="1" si="9"/>
        <v>0</v>
      </c>
      <c r="Q128">
        <f t="shared" ca="1" si="9"/>
        <v>0</v>
      </c>
      <c r="R128">
        <f t="shared" ca="1" si="9"/>
        <v>0</v>
      </c>
      <c r="S128">
        <f t="shared" ca="1" si="9"/>
        <v>0</v>
      </c>
      <c r="T128">
        <f t="shared" ca="1" si="9"/>
        <v>0</v>
      </c>
      <c r="U128">
        <f t="shared" ca="1" si="9"/>
        <v>0</v>
      </c>
      <c r="V128" s="8">
        <f t="shared" ca="1" si="10"/>
        <v>0</v>
      </c>
      <c r="W128" s="8">
        <f t="shared" ca="1" si="10"/>
        <v>0</v>
      </c>
      <c r="X128" s="8">
        <f t="shared" ca="1" si="10"/>
        <v>0</v>
      </c>
      <c r="Y128" s="8">
        <f t="shared" ca="1" si="10"/>
        <v>0</v>
      </c>
      <c r="Z128" s="8">
        <f t="shared" ca="1" si="10"/>
        <v>0</v>
      </c>
      <c r="AA128">
        <f t="shared" ca="1" si="10"/>
        <v>0</v>
      </c>
      <c r="AB128">
        <f t="shared" ca="1" si="10"/>
        <v>71</v>
      </c>
      <c r="AC128" s="8">
        <f t="shared" ca="1" si="10"/>
        <v>0</v>
      </c>
      <c r="AD128" s="8">
        <f t="shared" ca="1" si="10"/>
        <v>0</v>
      </c>
      <c r="AE128">
        <f t="shared" ca="1" si="10"/>
        <v>3</v>
      </c>
      <c r="AF128">
        <f t="shared" ca="1" si="11"/>
        <v>0</v>
      </c>
      <c r="AG128">
        <f t="shared" ca="1" si="11"/>
        <v>0</v>
      </c>
      <c r="AH128" s="8">
        <f t="shared" ca="1" si="11"/>
        <v>0</v>
      </c>
      <c r="AI128">
        <f t="shared" ca="1" si="11"/>
        <v>0</v>
      </c>
      <c r="AJ128">
        <f t="shared" ca="1" si="11"/>
        <v>0</v>
      </c>
      <c r="AK128">
        <f t="shared" ca="1" si="11"/>
        <v>0</v>
      </c>
      <c r="AL128">
        <f t="shared" ca="1" si="11"/>
        <v>0</v>
      </c>
      <c r="AM128" s="8">
        <f t="shared" ca="1" si="11"/>
        <v>0</v>
      </c>
      <c r="AN128">
        <f t="shared" ca="1" si="11"/>
        <v>0</v>
      </c>
    </row>
    <row r="129" spans="1:40" x14ac:dyDescent="0.2">
      <c r="A129" s="3" t="s">
        <v>623</v>
      </c>
      <c r="G129">
        <v>23</v>
      </c>
      <c r="H129">
        <v>19</v>
      </c>
      <c r="I129">
        <v>23</v>
      </c>
      <c r="J129">
        <v>19</v>
      </c>
      <c r="K129">
        <v>19</v>
      </c>
      <c r="L129">
        <v>19</v>
      </c>
      <c r="M129">
        <v>19</v>
      </c>
      <c r="O129">
        <v>15</v>
      </c>
      <c r="U129" s="8"/>
      <c r="V129" s="8"/>
      <c r="W129" s="8"/>
      <c r="X129" s="8"/>
      <c r="Y129" s="8"/>
      <c r="Z129" s="8"/>
      <c r="AA129" s="4"/>
      <c r="AB129" s="11">
        <v>102</v>
      </c>
      <c r="AC129" s="8"/>
      <c r="AD129" s="4"/>
      <c r="AE129" s="8"/>
      <c r="AF129" s="11"/>
      <c r="AG129" s="8"/>
      <c r="AH129" s="4"/>
      <c r="AL129" s="8"/>
      <c r="AM129" s="4"/>
      <c r="AN129"/>
    </row>
    <row r="130" spans="1:40" x14ac:dyDescent="0.2">
      <c r="A130" s="3" t="s">
        <v>624</v>
      </c>
      <c r="G130">
        <v>23</v>
      </c>
      <c r="H130">
        <v>19</v>
      </c>
      <c r="I130">
        <v>23</v>
      </c>
      <c r="J130">
        <v>19</v>
      </c>
      <c r="K130">
        <v>19</v>
      </c>
      <c r="L130">
        <v>19</v>
      </c>
      <c r="M130">
        <v>19</v>
      </c>
      <c r="O130">
        <v>5</v>
      </c>
      <c r="U130" s="8"/>
      <c r="V130" s="8"/>
      <c r="W130" s="8"/>
      <c r="X130" s="8"/>
      <c r="Y130" s="8"/>
      <c r="Z130" s="8"/>
      <c r="AA130" s="4"/>
      <c r="AB130" s="11">
        <v>102</v>
      </c>
      <c r="AC130" s="8"/>
      <c r="AD130" s="4"/>
      <c r="AE130" s="8"/>
      <c r="AF130" s="11"/>
      <c r="AG130" s="8"/>
      <c r="AH130" s="4"/>
      <c r="AL130" s="8"/>
      <c r="AM130" s="4"/>
      <c r="AN130"/>
    </row>
    <row r="131" spans="1:40" x14ac:dyDescent="0.2">
      <c r="A131" t="s">
        <v>625</v>
      </c>
      <c r="G131">
        <v>23</v>
      </c>
      <c r="H131">
        <v>19</v>
      </c>
      <c r="I131">
        <v>23</v>
      </c>
      <c r="J131">
        <v>19</v>
      </c>
      <c r="K131">
        <v>19</v>
      </c>
      <c r="L131">
        <v>19</v>
      </c>
      <c r="M131">
        <v>19</v>
      </c>
      <c r="O131">
        <v>15</v>
      </c>
      <c r="U131" s="8"/>
      <c r="V131" s="8"/>
      <c r="W131" s="8"/>
      <c r="X131" s="8"/>
      <c r="Y131" s="8"/>
      <c r="AA131" s="4"/>
      <c r="AB131" s="11">
        <v>112</v>
      </c>
      <c r="AC131" s="8"/>
      <c r="AD131" s="4"/>
      <c r="AE131" s="8"/>
      <c r="AF131" s="11"/>
      <c r="AG131" s="8"/>
      <c r="AH131" s="4"/>
      <c r="AK131" s="8"/>
      <c r="AL131" s="8"/>
      <c r="AM131" s="4"/>
      <c r="AN131"/>
    </row>
    <row r="132" spans="1:40" x14ac:dyDescent="0.2">
      <c r="A132" t="s">
        <v>626</v>
      </c>
      <c r="G132">
        <v>23</v>
      </c>
      <c r="H132">
        <v>19</v>
      </c>
      <c r="I132">
        <v>23</v>
      </c>
      <c r="J132">
        <v>19</v>
      </c>
      <c r="K132">
        <v>19</v>
      </c>
      <c r="L132">
        <v>19</v>
      </c>
      <c r="M132">
        <v>19</v>
      </c>
      <c r="O132">
        <v>5</v>
      </c>
      <c r="U132" s="8"/>
      <c r="V132" s="8"/>
      <c r="W132" s="8"/>
      <c r="X132" s="8"/>
      <c r="Y132" s="8"/>
      <c r="AA132" s="4"/>
      <c r="AB132" s="11">
        <v>112</v>
      </c>
      <c r="AC132" s="8"/>
      <c r="AD132" s="4"/>
      <c r="AE132" s="8"/>
      <c r="AF132" s="11"/>
      <c r="AG132" s="8"/>
      <c r="AH132" s="4"/>
      <c r="AK132" s="8"/>
      <c r="AL132" s="8"/>
      <c r="AM132" s="4"/>
      <c r="AN132"/>
    </row>
    <row r="133" spans="1:40" x14ac:dyDescent="0.2">
      <c r="A133" t="s">
        <v>591</v>
      </c>
      <c r="G133">
        <v>16</v>
      </c>
      <c r="H133">
        <v>23</v>
      </c>
      <c r="I133">
        <v>16</v>
      </c>
      <c r="J133">
        <v>17</v>
      </c>
      <c r="K133">
        <v>16</v>
      </c>
      <c r="L133">
        <v>16</v>
      </c>
      <c r="M133">
        <v>17</v>
      </c>
      <c r="N133">
        <v>12</v>
      </c>
      <c r="U133" s="8"/>
      <c r="V133" s="8"/>
      <c r="W133" s="8"/>
      <c r="X133" s="8"/>
      <c r="Y133" s="8"/>
      <c r="AA133" s="4"/>
      <c r="AB133" s="11">
        <v>71</v>
      </c>
      <c r="AC133" s="8"/>
      <c r="AD133" s="4"/>
      <c r="AE133" s="8"/>
      <c r="AF133" s="11"/>
      <c r="AG133" s="8"/>
      <c r="AH133" s="4"/>
      <c r="AK133" s="8"/>
      <c r="AL133" s="8"/>
      <c r="AM133" s="4"/>
      <c r="AN133"/>
    </row>
    <row r="134" spans="1:40" x14ac:dyDescent="0.2">
      <c r="A134" t="s">
        <v>592</v>
      </c>
      <c r="G134">
        <v>18</v>
      </c>
      <c r="H134">
        <v>26</v>
      </c>
      <c r="I134">
        <v>18</v>
      </c>
      <c r="J134">
        <v>19</v>
      </c>
      <c r="K134">
        <v>18</v>
      </c>
      <c r="L134">
        <v>18</v>
      </c>
      <c r="M134">
        <v>19</v>
      </c>
      <c r="N134">
        <v>13</v>
      </c>
      <c r="U134" s="8"/>
      <c r="V134" s="8"/>
      <c r="W134" s="8"/>
      <c r="X134" s="8"/>
      <c r="Y134" s="8"/>
      <c r="AA134" s="4"/>
      <c r="AB134" s="11">
        <v>71</v>
      </c>
      <c r="AC134" s="8"/>
      <c r="AD134" s="4"/>
      <c r="AE134" s="8"/>
      <c r="AF134" s="11"/>
      <c r="AG134" s="8"/>
      <c r="AH134" s="4"/>
      <c r="AK134" s="8"/>
      <c r="AL134" s="8"/>
      <c r="AM134" s="4"/>
      <c r="AN134"/>
    </row>
    <row r="135" spans="1:40" x14ac:dyDescent="0.2">
      <c r="A135" t="s">
        <v>593</v>
      </c>
      <c r="N135">
        <v>40</v>
      </c>
      <c r="Q135">
        <v>40</v>
      </c>
      <c r="U135" s="8"/>
      <c r="V135" s="8"/>
      <c r="W135" s="8"/>
      <c r="X135" s="8"/>
      <c r="Y135" s="8"/>
      <c r="AA135" s="4"/>
      <c r="AB135" s="11"/>
      <c r="AC135" s="8"/>
      <c r="AD135" s="4"/>
      <c r="AE135" s="8"/>
      <c r="AF135" s="11"/>
      <c r="AG135" s="8"/>
      <c r="AH135" s="4"/>
      <c r="AK135" s="8"/>
      <c r="AL135" s="8"/>
      <c r="AM135" s="4"/>
      <c r="AN135"/>
    </row>
    <row r="136" spans="1:40" x14ac:dyDescent="0.2">
      <c r="A136" t="s">
        <v>594</v>
      </c>
      <c r="N136">
        <v>45</v>
      </c>
      <c r="Q136">
        <v>45</v>
      </c>
      <c r="U136" s="8"/>
      <c r="V136" s="8"/>
      <c r="W136" s="8"/>
      <c r="X136" s="8"/>
      <c r="Y136" s="8"/>
      <c r="AA136" s="4"/>
      <c r="AB136" s="11"/>
      <c r="AC136" s="8"/>
      <c r="AD136" s="4"/>
      <c r="AE136" s="8"/>
      <c r="AF136" s="11"/>
      <c r="AG136" s="8"/>
      <c r="AH136" s="4"/>
      <c r="AK136" s="8"/>
      <c r="AL136" s="8"/>
      <c r="AM136" s="4"/>
      <c r="AN136"/>
    </row>
    <row r="137" spans="1:40" x14ac:dyDescent="0.2">
      <c r="A137" t="s">
        <v>1874</v>
      </c>
      <c r="G137">
        <v>30</v>
      </c>
      <c r="H137">
        <v>26</v>
      </c>
      <c r="I137">
        <v>35</v>
      </c>
      <c r="J137">
        <v>21</v>
      </c>
      <c r="K137">
        <v>21</v>
      </c>
      <c r="L137">
        <v>28</v>
      </c>
      <c r="M137">
        <v>22</v>
      </c>
      <c r="N137">
        <v>40</v>
      </c>
      <c r="U137" s="8"/>
      <c r="V137" s="8"/>
      <c r="W137" s="8"/>
      <c r="X137" s="8"/>
      <c r="Y137" s="8"/>
      <c r="AA137" s="4"/>
      <c r="AB137" s="11">
        <v>71</v>
      </c>
      <c r="AC137" s="8"/>
      <c r="AD137" s="4"/>
      <c r="AE137" s="8"/>
      <c r="AF137" s="11"/>
      <c r="AG137" s="8"/>
      <c r="AH137" s="4"/>
      <c r="AK137" s="8"/>
      <c r="AL137" s="8"/>
      <c r="AM137" s="4"/>
      <c r="AN137"/>
    </row>
    <row r="138" spans="1:40" x14ac:dyDescent="0.2">
      <c r="A138" t="s">
        <v>1875</v>
      </c>
      <c r="G138">
        <v>35</v>
      </c>
      <c r="H138">
        <v>26</v>
      </c>
      <c r="I138">
        <v>40</v>
      </c>
      <c r="J138">
        <v>21</v>
      </c>
      <c r="K138">
        <v>21</v>
      </c>
      <c r="L138">
        <v>28</v>
      </c>
      <c r="M138">
        <v>22</v>
      </c>
      <c r="N138">
        <v>50</v>
      </c>
      <c r="U138" s="8"/>
      <c r="V138" s="8"/>
      <c r="W138" s="8"/>
      <c r="X138" s="8"/>
      <c r="Y138" s="8"/>
      <c r="AA138" s="4"/>
      <c r="AB138" s="11">
        <v>71</v>
      </c>
      <c r="AC138" s="8"/>
      <c r="AD138" s="4"/>
      <c r="AE138" s="8"/>
      <c r="AF138" s="11"/>
      <c r="AG138" s="8"/>
      <c r="AH138" s="4"/>
      <c r="AK138" s="8"/>
      <c r="AL138" s="8"/>
      <c r="AM138" s="4"/>
      <c r="AN138"/>
    </row>
    <row r="139" spans="1:40" x14ac:dyDescent="0.2">
      <c r="A139" t="s">
        <v>595</v>
      </c>
      <c r="G139">
        <v>16</v>
      </c>
      <c r="H139">
        <v>16</v>
      </c>
      <c r="I139">
        <v>16</v>
      </c>
      <c r="J139">
        <v>16</v>
      </c>
      <c r="K139">
        <v>16</v>
      </c>
      <c r="L139">
        <v>16</v>
      </c>
      <c r="M139">
        <v>16</v>
      </c>
      <c r="N139">
        <v>7</v>
      </c>
      <c r="U139" s="8"/>
      <c r="V139" s="8">
        <v>0.02</v>
      </c>
      <c r="W139" s="8"/>
      <c r="X139" s="8"/>
      <c r="Y139" s="8"/>
      <c r="Z139" s="8"/>
      <c r="AA139" s="4"/>
      <c r="AB139" s="11">
        <v>81</v>
      </c>
      <c r="AC139" s="8"/>
      <c r="AD139" s="4"/>
      <c r="AE139" s="8"/>
      <c r="AF139" s="11"/>
      <c r="AG139" s="8"/>
      <c r="AH139" s="4"/>
      <c r="AK139" s="8"/>
      <c r="AL139" s="8"/>
      <c r="AM139" s="4"/>
      <c r="AN139"/>
    </row>
    <row r="140" spans="1:40" x14ac:dyDescent="0.2">
      <c r="A140" s="144" t="s">
        <v>596</v>
      </c>
      <c r="G140">
        <v>16</v>
      </c>
      <c r="H140">
        <v>16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8</v>
      </c>
      <c r="U140" s="8"/>
      <c r="V140" s="8">
        <v>0.03</v>
      </c>
      <c r="W140" s="8"/>
      <c r="X140" s="8"/>
      <c r="Y140" s="8"/>
      <c r="Z140" s="8"/>
      <c r="AA140" s="4"/>
      <c r="AB140" s="11">
        <v>81</v>
      </c>
      <c r="AC140" s="8"/>
      <c r="AD140" s="4"/>
      <c r="AE140" s="8"/>
      <c r="AF140" s="11"/>
      <c r="AG140" s="8"/>
      <c r="AH140" s="4"/>
      <c r="AL140" s="8"/>
      <c r="AM140" s="4"/>
      <c r="AN140"/>
    </row>
    <row r="141" spans="1:40" x14ac:dyDescent="0.2">
      <c r="A141" t="s">
        <v>748</v>
      </c>
      <c r="G141">
        <v>35</v>
      </c>
      <c r="H141">
        <v>25</v>
      </c>
      <c r="I141">
        <v>25</v>
      </c>
      <c r="J141">
        <v>21</v>
      </c>
      <c r="K141">
        <v>35</v>
      </c>
      <c r="L141">
        <v>21</v>
      </c>
      <c r="M141">
        <v>21</v>
      </c>
      <c r="N141">
        <v>28</v>
      </c>
      <c r="P141" s="8"/>
      <c r="Q141" s="8"/>
      <c r="R141" s="8"/>
      <c r="S141">
        <v>28</v>
      </c>
      <c r="T141" s="8"/>
      <c r="U141" s="8"/>
      <c r="V141" s="8"/>
      <c r="W141" s="8"/>
      <c r="X141" s="8"/>
      <c r="Y141" s="8"/>
      <c r="AA141" s="4"/>
      <c r="AB141" s="11">
        <v>81</v>
      </c>
      <c r="AC141" s="8"/>
      <c r="AD141" s="4"/>
      <c r="AE141" s="8"/>
      <c r="AF141" s="11"/>
      <c r="AG141" s="8"/>
      <c r="AH141" s="4"/>
      <c r="AK141" s="8"/>
      <c r="AL141" s="8"/>
      <c r="AM141" s="4"/>
      <c r="AN141"/>
    </row>
    <row r="142" spans="1:40" x14ac:dyDescent="0.2">
      <c r="A142" t="s">
        <v>749</v>
      </c>
      <c r="G142">
        <v>25</v>
      </c>
      <c r="H142">
        <v>35</v>
      </c>
      <c r="I142">
        <v>25</v>
      </c>
      <c r="J142">
        <v>21</v>
      </c>
      <c r="K142">
        <v>25</v>
      </c>
      <c r="L142">
        <v>36</v>
      </c>
      <c r="M142">
        <v>21</v>
      </c>
      <c r="N142">
        <v>38</v>
      </c>
      <c r="P142" s="8"/>
      <c r="Q142" s="8"/>
      <c r="R142" s="8"/>
      <c r="S142">
        <v>28</v>
      </c>
      <c r="T142" s="8"/>
      <c r="U142" s="8"/>
      <c r="V142" s="8"/>
      <c r="W142" s="8"/>
      <c r="X142" s="8"/>
      <c r="Y142" s="8"/>
      <c r="AA142" s="4"/>
      <c r="AB142" s="11">
        <v>81</v>
      </c>
      <c r="AC142" s="8"/>
      <c r="AD142" s="4"/>
      <c r="AE142" s="8"/>
      <c r="AF142" s="11"/>
      <c r="AG142" s="8"/>
      <c r="AH142" s="4"/>
      <c r="AK142" s="8"/>
      <c r="AL142" s="8"/>
      <c r="AM142" s="4"/>
      <c r="AN142"/>
    </row>
    <row r="143" spans="1:40" x14ac:dyDescent="0.2">
      <c r="A143" t="s">
        <v>750</v>
      </c>
      <c r="G143">
        <v>25</v>
      </c>
      <c r="H143">
        <v>25</v>
      </c>
      <c r="I143">
        <v>25</v>
      </c>
      <c r="J143">
        <v>21</v>
      </c>
      <c r="K143">
        <v>35</v>
      </c>
      <c r="L143">
        <v>31</v>
      </c>
      <c r="M143">
        <v>21</v>
      </c>
      <c r="N143">
        <v>28</v>
      </c>
      <c r="P143" s="8"/>
      <c r="Q143" s="8"/>
      <c r="R143" s="8"/>
      <c r="S143">
        <v>28</v>
      </c>
      <c r="T143" s="8"/>
      <c r="U143" s="8"/>
      <c r="V143" s="8"/>
      <c r="W143" s="8"/>
      <c r="X143" s="8"/>
      <c r="Y143" s="8"/>
      <c r="AA143" s="4"/>
      <c r="AB143" s="11">
        <v>81</v>
      </c>
      <c r="AC143" s="8"/>
      <c r="AD143" s="4"/>
      <c r="AE143" s="8"/>
      <c r="AF143" s="11"/>
      <c r="AG143" s="8"/>
      <c r="AH143" s="4"/>
      <c r="AK143" s="8"/>
      <c r="AL143" s="8"/>
      <c r="AM143" s="4"/>
      <c r="AN143"/>
    </row>
    <row r="144" spans="1:40" x14ac:dyDescent="0.2">
      <c r="A144" t="s">
        <v>751</v>
      </c>
      <c r="G144">
        <v>25</v>
      </c>
      <c r="H144">
        <v>25</v>
      </c>
      <c r="I144">
        <v>25</v>
      </c>
      <c r="J144">
        <v>21</v>
      </c>
      <c r="K144">
        <v>25</v>
      </c>
      <c r="L144">
        <v>21</v>
      </c>
      <c r="M144">
        <v>21</v>
      </c>
      <c r="N144">
        <v>43</v>
      </c>
      <c r="P144" s="8"/>
      <c r="Q144" s="8"/>
      <c r="R144" s="8"/>
      <c r="S144">
        <v>38</v>
      </c>
      <c r="T144" s="8"/>
      <c r="U144" s="8"/>
      <c r="V144" s="8"/>
      <c r="W144" s="8"/>
      <c r="X144" s="8"/>
      <c r="Y144" s="8"/>
      <c r="AA144" s="4"/>
      <c r="AB144" s="11">
        <v>81</v>
      </c>
      <c r="AC144" s="8"/>
      <c r="AD144" s="4"/>
      <c r="AE144" s="8"/>
      <c r="AF144" s="11"/>
      <c r="AG144" s="8"/>
      <c r="AH144" s="4"/>
      <c r="AK144" s="8"/>
      <c r="AL144" s="8"/>
      <c r="AM144" s="4"/>
      <c r="AN144"/>
    </row>
    <row r="145" spans="1:40" x14ac:dyDescent="0.2">
      <c r="A145" t="s">
        <v>752</v>
      </c>
      <c r="G145">
        <v>37</v>
      </c>
      <c r="H145">
        <v>25</v>
      </c>
      <c r="I145">
        <v>25</v>
      </c>
      <c r="J145">
        <v>21</v>
      </c>
      <c r="K145">
        <v>38</v>
      </c>
      <c r="L145">
        <v>21</v>
      </c>
      <c r="M145">
        <v>21</v>
      </c>
      <c r="N145">
        <v>38</v>
      </c>
      <c r="S145">
        <v>38</v>
      </c>
      <c r="U145" s="8"/>
      <c r="V145" s="8"/>
      <c r="W145" s="8"/>
      <c r="X145" s="8"/>
      <c r="Y145" s="8"/>
      <c r="AA145" s="4"/>
      <c r="AB145" s="11">
        <v>81</v>
      </c>
      <c r="AC145" s="8"/>
      <c r="AD145" s="4"/>
      <c r="AE145" s="8"/>
      <c r="AF145" s="11"/>
      <c r="AG145" s="8"/>
      <c r="AH145" s="4"/>
      <c r="AK145" s="8"/>
      <c r="AL145" s="8"/>
      <c r="AM145" s="4"/>
      <c r="AN145"/>
    </row>
    <row r="146" spans="1:40" x14ac:dyDescent="0.2">
      <c r="A146" t="s">
        <v>753</v>
      </c>
      <c r="G146">
        <v>25</v>
      </c>
      <c r="H146">
        <v>37</v>
      </c>
      <c r="I146">
        <v>25</v>
      </c>
      <c r="J146">
        <v>21</v>
      </c>
      <c r="K146">
        <v>26</v>
      </c>
      <c r="L146">
        <v>41</v>
      </c>
      <c r="M146">
        <v>21</v>
      </c>
      <c r="N146">
        <v>50</v>
      </c>
      <c r="S146">
        <v>38</v>
      </c>
      <c r="U146" s="8"/>
      <c r="V146" s="8"/>
      <c r="W146" s="8"/>
      <c r="X146" s="8"/>
      <c r="Y146" s="8"/>
      <c r="AA146" s="4"/>
      <c r="AB146" s="11">
        <v>81</v>
      </c>
      <c r="AC146" s="8"/>
      <c r="AD146" s="4"/>
      <c r="AE146" s="8"/>
      <c r="AF146" s="11"/>
      <c r="AG146" s="8"/>
      <c r="AH146" s="4"/>
      <c r="AK146" s="8"/>
      <c r="AL146" s="8"/>
      <c r="AM146" s="4"/>
      <c r="AN146"/>
    </row>
    <row r="147" spans="1:40" x14ac:dyDescent="0.2">
      <c r="A147" t="s">
        <v>754</v>
      </c>
      <c r="G147">
        <v>25</v>
      </c>
      <c r="H147">
        <v>25</v>
      </c>
      <c r="I147">
        <v>25</v>
      </c>
      <c r="J147">
        <v>21</v>
      </c>
      <c r="K147">
        <v>38</v>
      </c>
      <c r="L147">
        <v>33</v>
      </c>
      <c r="M147">
        <v>21</v>
      </c>
      <c r="N147">
        <v>38</v>
      </c>
      <c r="S147">
        <v>38</v>
      </c>
      <c r="U147" s="8"/>
      <c r="V147" s="8"/>
      <c r="W147" s="8"/>
      <c r="X147" s="8"/>
      <c r="Y147" s="8"/>
      <c r="AA147" s="4"/>
      <c r="AB147" s="11">
        <v>81</v>
      </c>
      <c r="AC147" s="8"/>
      <c r="AD147" s="4"/>
      <c r="AE147" s="8"/>
      <c r="AF147" s="11"/>
      <c r="AG147" s="8"/>
      <c r="AH147" s="4"/>
      <c r="AK147" s="8"/>
      <c r="AL147" s="8"/>
      <c r="AM147" s="4"/>
      <c r="AN147"/>
    </row>
    <row r="148" spans="1:40" x14ac:dyDescent="0.2">
      <c r="A148" t="s">
        <v>755</v>
      </c>
      <c r="G148">
        <v>25</v>
      </c>
      <c r="H148">
        <v>25</v>
      </c>
      <c r="I148">
        <v>25</v>
      </c>
      <c r="J148">
        <v>21</v>
      </c>
      <c r="K148">
        <v>26</v>
      </c>
      <c r="L148">
        <v>21</v>
      </c>
      <c r="M148">
        <v>21</v>
      </c>
      <c r="N148">
        <v>58</v>
      </c>
      <c r="S148">
        <v>50</v>
      </c>
      <c r="U148" s="8"/>
      <c r="V148" s="8"/>
      <c r="W148" s="8"/>
      <c r="X148" s="8"/>
      <c r="Y148" s="8"/>
      <c r="AA148" s="4"/>
      <c r="AB148" s="11">
        <v>81</v>
      </c>
      <c r="AC148" s="8"/>
      <c r="AD148" s="4"/>
      <c r="AE148" s="8"/>
      <c r="AF148" s="11"/>
      <c r="AG148" s="8"/>
      <c r="AH148" s="4"/>
      <c r="AK148" s="8"/>
      <c r="AL148" s="8"/>
      <c r="AM148" s="4"/>
      <c r="AN148"/>
    </row>
    <row r="149" spans="1:40" x14ac:dyDescent="0.2">
      <c r="A149" t="s">
        <v>627</v>
      </c>
      <c r="G149">
        <v>23</v>
      </c>
      <c r="H149">
        <v>17</v>
      </c>
      <c r="I149">
        <v>23</v>
      </c>
      <c r="J149">
        <v>17</v>
      </c>
      <c r="K149">
        <v>15</v>
      </c>
      <c r="L149">
        <v>15</v>
      </c>
      <c r="M149">
        <v>15</v>
      </c>
      <c r="U149" s="8"/>
      <c r="V149" s="8"/>
      <c r="W149" s="8"/>
      <c r="X149" s="8"/>
      <c r="Y149" s="8"/>
      <c r="AA149" s="4"/>
      <c r="AB149" s="11">
        <v>81</v>
      </c>
      <c r="AC149" s="8"/>
      <c r="AD149" s="4"/>
      <c r="AE149" s="8"/>
      <c r="AF149" s="11"/>
      <c r="AG149" s="8"/>
      <c r="AH149" s="4"/>
      <c r="AK149" s="8"/>
      <c r="AL149" s="8"/>
      <c r="AM149" s="4"/>
      <c r="AN149"/>
    </row>
    <row r="150" spans="1:40" x14ac:dyDescent="0.2">
      <c r="A150" t="s">
        <v>809</v>
      </c>
      <c r="G150">
        <v>21</v>
      </c>
      <c r="H150">
        <v>21</v>
      </c>
      <c r="I150">
        <v>30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Q150">
        <v>20</v>
      </c>
      <c r="R150">
        <v>20</v>
      </c>
      <c r="U150" s="8"/>
      <c r="V150" s="8"/>
      <c r="W150" s="8"/>
      <c r="X150" s="8"/>
      <c r="Y150" s="8"/>
      <c r="AA150" s="4"/>
      <c r="AB150" s="11">
        <v>81</v>
      </c>
      <c r="AC150" s="8"/>
      <c r="AD150" s="4"/>
      <c r="AE150" s="8"/>
      <c r="AF150" s="11"/>
      <c r="AG150" s="8"/>
      <c r="AH150" s="4"/>
      <c r="AK150" s="8"/>
      <c r="AL150" s="8"/>
      <c r="AM150" s="4"/>
      <c r="AN150"/>
    </row>
    <row r="151" spans="1:40" x14ac:dyDescent="0.2">
      <c r="A151" t="s">
        <v>810</v>
      </c>
      <c r="G151">
        <v>33</v>
      </c>
      <c r="H151">
        <v>21</v>
      </c>
      <c r="I151">
        <v>27</v>
      </c>
      <c r="J151">
        <v>20</v>
      </c>
      <c r="K151">
        <v>20</v>
      </c>
      <c r="L151">
        <v>20</v>
      </c>
      <c r="M151">
        <v>20</v>
      </c>
      <c r="N151">
        <v>20</v>
      </c>
      <c r="O151">
        <v>20</v>
      </c>
      <c r="Q151">
        <v>20</v>
      </c>
      <c r="R151">
        <v>20</v>
      </c>
      <c r="U151" s="8"/>
      <c r="V151" s="8"/>
      <c r="W151" s="8"/>
      <c r="X151" s="8"/>
      <c r="Y151" s="8"/>
      <c r="AA151" s="4"/>
      <c r="AB151" s="11">
        <v>101</v>
      </c>
      <c r="AC151" s="8"/>
      <c r="AD151" s="4"/>
      <c r="AE151" s="8"/>
      <c r="AF151" s="11"/>
      <c r="AG151" s="8"/>
      <c r="AH151" s="4"/>
      <c r="AK151" s="8"/>
      <c r="AL151" s="8"/>
      <c r="AM151" s="4"/>
      <c r="AN151"/>
    </row>
    <row r="152" spans="1:40" x14ac:dyDescent="0.2">
      <c r="A152" t="s">
        <v>811</v>
      </c>
      <c r="G152">
        <v>21</v>
      </c>
      <c r="H152">
        <v>21</v>
      </c>
      <c r="I152">
        <v>20</v>
      </c>
      <c r="J152">
        <v>20</v>
      </c>
      <c r="K152">
        <v>20</v>
      </c>
      <c r="L152">
        <v>20</v>
      </c>
      <c r="M152">
        <v>20</v>
      </c>
      <c r="N152">
        <v>30</v>
      </c>
      <c r="O152">
        <v>20</v>
      </c>
      <c r="Q152">
        <v>20</v>
      </c>
      <c r="R152">
        <v>20</v>
      </c>
      <c r="U152" s="8"/>
      <c r="V152" s="8"/>
      <c r="W152" s="8"/>
      <c r="X152" s="8"/>
      <c r="Y152" s="8"/>
      <c r="AA152" s="4"/>
      <c r="AB152" s="11">
        <v>81</v>
      </c>
      <c r="AC152" s="8"/>
      <c r="AD152" s="4"/>
      <c r="AE152" s="8"/>
      <c r="AF152" s="11"/>
      <c r="AG152" s="8"/>
      <c r="AH152" s="4"/>
      <c r="AK152" s="8"/>
      <c r="AL152" s="8"/>
      <c r="AM152" s="4"/>
      <c r="AN152"/>
    </row>
    <row r="153" spans="1:40" x14ac:dyDescent="0.2">
      <c r="A153" t="s">
        <v>812</v>
      </c>
      <c r="G153">
        <v>36</v>
      </c>
      <c r="H153">
        <v>21</v>
      </c>
      <c r="I153">
        <v>20</v>
      </c>
      <c r="J153">
        <v>20</v>
      </c>
      <c r="K153">
        <v>20</v>
      </c>
      <c r="L153">
        <v>20</v>
      </c>
      <c r="M153">
        <v>20</v>
      </c>
      <c r="N153">
        <v>20</v>
      </c>
      <c r="O153">
        <v>20</v>
      </c>
      <c r="Q153">
        <v>20</v>
      </c>
      <c r="R153">
        <v>20</v>
      </c>
      <c r="U153" s="8"/>
      <c r="V153" s="8"/>
      <c r="W153" s="8"/>
      <c r="X153" s="8"/>
      <c r="Y153" s="8"/>
      <c r="AA153" s="4"/>
      <c r="AB153" s="11">
        <v>81</v>
      </c>
      <c r="AC153" s="8"/>
      <c r="AD153" s="4"/>
      <c r="AE153" s="178">
        <v>3</v>
      </c>
      <c r="AF153" s="11"/>
      <c r="AG153" s="8"/>
      <c r="AH153" s="4"/>
      <c r="AK153" s="8"/>
      <c r="AL153" s="8"/>
      <c r="AM153" s="4"/>
      <c r="AN153"/>
    </row>
    <row r="154" spans="1:40" s="144" customFormat="1" x14ac:dyDescent="0.2">
      <c r="A154" s="3" t="s">
        <v>761</v>
      </c>
      <c r="G154" s="144">
        <v>30</v>
      </c>
      <c r="H154" s="144">
        <v>19</v>
      </c>
      <c r="I154" s="144">
        <v>15</v>
      </c>
      <c r="J154" s="144">
        <v>20</v>
      </c>
      <c r="K154" s="144">
        <v>19</v>
      </c>
      <c r="L154" s="144">
        <v>16</v>
      </c>
      <c r="M154" s="144">
        <v>17</v>
      </c>
      <c r="O154" s="144">
        <v>40</v>
      </c>
      <c r="U154" s="177"/>
      <c r="V154" s="177"/>
      <c r="W154" s="177"/>
      <c r="X154" s="177"/>
      <c r="Y154" s="177"/>
      <c r="Z154" s="177"/>
      <c r="AA154" s="178"/>
      <c r="AB154" s="205">
        <v>71</v>
      </c>
      <c r="AC154" s="177"/>
      <c r="AD154" s="178"/>
      <c r="AE154" s="178"/>
      <c r="AF154" s="205"/>
      <c r="AG154" s="177"/>
      <c r="AH154" s="178"/>
      <c r="AI154" s="178"/>
      <c r="AJ154" s="178"/>
      <c r="AK154" s="178"/>
      <c r="AL154" s="178"/>
      <c r="AM154" s="178"/>
    </row>
    <row r="155" spans="1:40" s="144" customFormat="1" x14ac:dyDescent="0.2">
      <c r="A155" s="3" t="s">
        <v>762</v>
      </c>
      <c r="G155" s="144">
        <v>20</v>
      </c>
      <c r="H155" s="144">
        <v>29</v>
      </c>
      <c r="I155" s="144">
        <v>15</v>
      </c>
      <c r="J155" s="144">
        <v>20</v>
      </c>
      <c r="K155" s="144">
        <v>19</v>
      </c>
      <c r="L155" s="144">
        <v>16</v>
      </c>
      <c r="M155" s="144">
        <v>17</v>
      </c>
      <c r="N155" s="3">
        <v>15</v>
      </c>
      <c r="O155" s="144">
        <v>25</v>
      </c>
      <c r="U155" s="177"/>
      <c r="V155" s="177"/>
      <c r="W155" s="177"/>
      <c r="X155" s="177"/>
      <c r="Y155" s="177"/>
      <c r="Z155" s="177"/>
      <c r="AA155" s="178"/>
      <c r="AB155" s="205">
        <v>71</v>
      </c>
      <c r="AC155" s="177"/>
      <c r="AD155" s="178"/>
      <c r="AE155" s="178"/>
      <c r="AF155" s="205"/>
      <c r="AG155" s="177"/>
      <c r="AH155" s="178"/>
      <c r="AI155" s="178"/>
      <c r="AJ155" s="178"/>
      <c r="AK155" s="178"/>
      <c r="AL155" s="178"/>
      <c r="AM155" s="178"/>
    </row>
    <row r="156" spans="1:40" s="144" customFormat="1" x14ac:dyDescent="0.2">
      <c r="A156" s="3" t="s">
        <v>763</v>
      </c>
      <c r="G156" s="144">
        <v>20</v>
      </c>
      <c r="H156" s="144">
        <v>19</v>
      </c>
      <c r="I156" s="144">
        <v>15</v>
      </c>
      <c r="J156" s="144">
        <v>20</v>
      </c>
      <c r="K156" s="144">
        <v>19</v>
      </c>
      <c r="L156" s="144">
        <v>16</v>
      </c>
      <c r="M156" s="144">
        <v>17</v>
      </c>
      <c r="O156" s="144">
        <v>25</v>
      </c>
      <c r="U156" s="177"/>
      <c r="V156" s="177"/>
      <c r="W156" s="177"/>
      <c r="X156" s="177"/>
      <c r="Y156" s="177"/>
      <c r="Z156" s="177"/>
      <c r="AA156" s="178"/>
      <c r="AB156" s="205">
        <v>71</v>
      </c>
      <c r="AC156" s="177"/>
      <c r="AD156" s="178"/>
      <c r="AE156" s="178"/>
      <c r="AF156" s="205"/>
      <c r="AG156" s="177"/>
      <c r="AH156" s="178"/>
      <c r="AI156" s="178"/>
      <c r="AJ156" s="178"/>
      <c r="AK156" s="178"/>
      <c r="AL156" s="178"/>
      <c r="AM156" s="178"/>
    </row>
    <row r="157" spans="1:40" s="144" customFormat="1" x14ac:dyDescent="0.2">
      <c r="A157" s="3" t="s">
        <v>764</v>
      </c>
      <c r="G157" s="144">
        <v>20</v>
      </c>
      <c r="H157" s="144">
        <v>19</v>
      </c>
      <c r="I157" s="144">
        <v>15</v>
      </c>
      <c r="J157" s="144">
        <v>20</v>
      </c>
      <c r="K157" s="144">
        <v>19</v>
      </c>
      <c r="L157" s="144">
        <v>16</v>
      </c>
      <c r="M157" s="144">
        <v>17</v>
      </c>
      <c r="O157" s="144">
        <v>45</v>
      </c>
      <c r="U157" s="177"/>
      <c r="V157" s="177"/>
      <c r="W157" s="177"/>
      <c r="X157" s="177"/>
      <c r="Y157" s="177"/>
      <c r="Z157" s="177"/>
      <c r="AA157" s="178"/>
      <c r="AB157" s="205">
        <v>71</v>
      </c>
      <c r="AC157" s="177"/>
      <c r="AD157" s="178"/>
      <c r="AE157" s="178">
        <v>6</v>
      </c>
      <c r="AF157" s="205"/>
      <c r="AG157" s="177"/>
      <c r="AH157" s="178"/>
      <c r="AI157" s="178"/>
      <c r="AJ157" s="178"/>
      <c r="AK157" s="178"/>
      <c r="AL157" s="178"/>
      <c r="AM157" s="178"/>
    </row>
    <row r="158" spans="1:40" x14ac:dyDescent="0.2">
      <c r="A158" t="s">
        <v>765</v>
      </c>
      <c r="G158">
        <v>32</v>
      </c>
      <c r="H158">
        <v>19</v>
      </c>
      <c r="I158">
        <v>15</v>
      </c>
      <c r="J158">
        <v>20</v>
      </c>
      <c r="K158">
        <v>19</v>
      </c>
      <c r="L158">
        <v>16</v>
      </c>
      <c r="M158">
        <v>17</v>
      </c>
      <c r="O158">
        <v>55</v>
      </c>
      <c r="U158" s="8"/>
      <c r="V158" s="8"/>
      <c r="W158" s="8"/>
      <c r="X158" s="8"/>
      <c r="Y158" s="8"/>
      <c r="AA158" s="4"/>
      <c r="AB158" s="11">
        <v>71</v>
      </c>
      <c r="AC158" s="8"/>
      <c r="AD158" s="4"/>
      <c r="AE158" s="8"/>
      <c r="AF158" s="11"/>
      <c r="AG158" s="8"/>
      <c r="AH158" s="4"/>
      <c r="AK158" s="8"/>
      <c r="AL158" s="8"/>
      <c r="AM158" s="4"/>
      <c r="AN158"/>
    </row>
    <row r="159" spans="1:40" x14ac:dyDescent="0.2">
      <c r="A159" t="s">
        <v>766</v>
      </c>
      <c r="G159">
        <v>20</v>
      </c>
      <c r="H159">
        <v>31</v>
      </c>
      <c r="I159">
        <v>15</v>
      </c>
      <c r="J159">
        <v>20</v>
      </c>
      <c r="K159">
        <v>19</v>
      </c>
      <c r="L159">
        <v>16</v>
      </c>
      <c r="M159">
        <v>17</v>
      </c>
      <c r="N159">
        <v>20</v>
      </c>
      <c r="O159">
        <v>35</v>
      </c>
      <c r="U159" s="8"/>
      <c r="V159" s="8"/>
      <c r="W159" s="8"/>
      <c r="X159" s="8"/>
      <c r="Y159" s="8"/>
      <c r="AA159" s="4"/>
      <c r="AB159" s="11">
        <v>71</v>
      </c>
      <c r="AC159" s="8"/>
      <c r="AD159" s="4"/>
      <c r="AE159" s="8"/>
      <c r="AF159" s="11"/>
      <c r="AG159" s="8"/>
      <c r="AH159" s="4"/>
      <c r="AK159" s="8"/>
      <c r="AL159" s="8"/>
      <c r="AM159" s="4"/>
      <c r="AN159"/>
    </row>
    <row r="160" spans="1:40" x14ac:dyDescent="0.2">
      <c r="A160" t="s">
        <v>767</v>
      </c>
      <c r="G160">
        <v>20</v>
      </c>
      <c r="H160">
        <v>19</v>
      </c>
      <c r="I160">
        <v>15</v>
      </c>
      <c r="J160">
        <v>20</v>
      </c>
      <c r="K160">
        <v>19</v>
      </c>
      <c r="L160">
        <v>16</v>
      </c>
      <c r="M160">
        <v>17</v>
      </c>
      <c r="O160">
        <v>35</v>
      </c>
      <c r="U160" s="8"/>
      <c r="V160" s="8"/>
      <c r="W160" s="8"/>
      <c r="X160" s="8"/>
      <c r="Y160" s="8"/>
      <c r="AA160" s="4"/>
      <c r="AB160" s="11">
        <v>71</v>
      </c>
      <c r="AC160" s="8"/>
      <c r="AD160" s="4"/>
      <c r="AE160" s="8"/>
      <c r="AF160" s="11"/>
      <c r="AG160" s="8"/>
      <c r="AH160" s="4"/>
      <c r="AK160" s="8"/>
      <c r="AL160" s="8"/>
      <c r="AM160" s="4"/>
      <c r="AN160"/>
    </row>
    <row r="161" spans="1:40" x14ac:dyDescent="0.2">
      <c r="A161" t="s">
        <v>768</v>
      </c>
      <c r="G161">
        <v>20</v>
      </c>
      <c r="H161">
        <v>19</v>
      </c>
      <c r="I161">
        <v>15</v>
      </c>
      <c r="J161">
        <v>20</v>
      </c>
      <c r="K161">
        <v>19</v>
      </c>
      <c r="L161">
        <v>16</v>
      </c>
      <c r="M161">
        <v>17</v>
      </c>
      <c r="O161">
        <v>60</v>
      </c>
      <c r="U161" s="8"/>
      <c r="V161" s="8"/>
      <c r="W161" s="8"/>
      <c r="X161" s="8"/>
      <c r="Y161" s="8"/>
      <c r="AA161" s="4"/>
      <c r="AB161" s="11">
        <v>71</v>
      </c>
      <c r="AC161" s="8"/>
      <c r="AD161" s="4"/>
      <c r="AE161" s="4">
        <v>7</v>
      </c>
      <c r="AF161" s="11"/>
      <c r="AG161" s="8"/>
      <c r="AH161" s="4"/>
      <c r="AK161" s="8"/>
      <c r="AL161" s="8"/>
      <c r="AM161" s="4"/>
      <c r="AN161"/>
    </row>
    <row r="162" spans="1:40" s="144" customFormat="1" x14ac:dyDescent="0.2">
      <c r="A162" s="3" t="s">
        <v>597</v>
      </c>
      <c r="G162" s="144">
        <v>20</v>
      </c>
      <c r="H162" s="144">
        <v>22</v>
      </c>
      <c r="I162" s="144">
        <v>20</v>
      </c>
      <c r="J162" s="144">
        <v>22</v>
      </c>
      <c r="K162" s="144">
        <v>20</v>
      </c>
      <c r="L162" s="144">
        <v>20</v>
      </c>
      <c r="M162" s="144">
        <v>20</v>
      </c>
      <c r="N162" s="144">
        <v>5</v>
      </c>
      <c r="U162" s="177"/>
      <c r="V162" s="177"/>
      <c r="W162" s="177"/>
      <c r="X162" s="177"/>
      <c r="Y162" s="177"/>
      <c r="Z162" s="177"/>
      <c r="AA162" s="178"/>
      <c r="AB162" s="205">
        <v>71</v>
      </c>
      <c r="AC162" s="177"/>
      <c r="AD162" s="178"/>
      <c r="AE162" s="178"/>
      <c r="AF162" s="205"/>
      <c r="AG162" s="177"/>
      <c r="AH162" s="178"/>
      <c r="AI162" s="178"/>
      <c r="AJ162" s="178"/>
      <c r="AK162" s="178"/>
    </row>
    <row r="163" spans="1:40" s="144" customFormat="1" x14ac:dyDescent="0.2">
      <c r="A163" s="3" t="s">
        <v>1379</v>
      </c>
      <c r="G163" s="3">
        <v>25</v>
      </c>
      <c r="H163" s="3">
        <v>21</v>
      </c>
      <c r="I163" s="3">
        <v>24</v>
      </c>
      <c r="J163" s="3">
        <v>16</v>
      </c>
      <c r="K163" s="3">
        <v>12</v>
      </c>
      <c r="L163" s="3">
        <v>12</v>
      </c>
      <c r="M163" s="3">
        <v>12</v>
      </c>
      <c r="N163" s="3">
        <v>26</v>
      </c>
      <c r="S163" s="144">
        <v>26</v>
      </c>
      <c r="U163" s="177"/>
      <c r="V163" s="177"/>
      <c r="W163" s="177">
        <v>0.02</v>
      </c>
      <c r="X163" s="177"/>
      <c r="Y163" s="177"/>
      <c r="Z163" s="177"/>
      <c r="AA163" s="178"/>
      <c r="AB163" s="205">
        <v>40</v>
      </c>
      <c r="AC163" s="177"/>
      <c r="AD163" s="178"/>
      <c r="AE163" s="178">
        <v>3</v>
      </c>
      <c r="AF163" s="205"/>
      <c r="AG163" s="177"/>
      <c r="AH163" s="178"/>
      <c r="AI163" s="178"/>
      <c r="AJ163" s="178"/>
      <c r="AK163" s="178"/>
    </row>
    <row r="164" spans="1:40" s="144" customFormat="1" x14ac:dyDescent="0.2">
      <c r="A164" s="3" t="s">
        <v>1380</v>
      </c>
      <c r="G164" s="3">
        <v>32</v>
      </c>
      <c r="H164" s="3">
        <v>28</v>
      </c>
      <c r="I164" s="3">
        <v>24</v>
      </c>
      <c r="J164" s="3">
        <v>16</v>
      </c>
      <c r="K164" s="3">
        <v>12</v>
      </c>
      <c r="L164" s="3">
        <v>12</v>
      </c>
      <c r="M164" s="3">
        <v>12</v>
      </c>
      <c r="N164" s="3">
        <v>38</v>
      </c>
      <c r="S164" s="144">
        <v>38</v>
      </c>
      <c r="U164" s="177"/>
      <c r="V164" s="177"/>
      <c r="W164" s="177">
        <v>0.04</v>
      </c>
      <c r="X164" s="177"/>
      <c r="Y164" s="177"/>
      <c r="Z164" s="177"/>
      <c r="AA164" s="178"/>
      <c r="AB164" s="205">
        <v>40</v>
      </c>
      <c r="AC164" s="177"/>
      <c r="AD164" s="178"/>
      <c r="AE164" s="178">
        <v>5</v>
      </c>
      <c r="AF164" s="205"/>
      <c r="AG164" s="177"/>
      <c r="AH164" s="178"/>
      <c r="AI164" s="178"/>
      <c r="AJ164" s="178"/>
      <c r="AK164" s="178"/>
    </row>
    <row r="165" spans="1:40" s="283" customFormat="1" x14ac:dyDescent="0.2">
      <c r="A165" s="282" t="s">
        <v>1885</v>
      </c>
      <c r="G165" s="282">
        <v>36</v>
      </c>
      <c r="H165" s="282">
        <v>32</v>
      </c>
      <c r="I165" s="282">
        <v>24</v>
      </c>
      <c r="J165" s="282">
        <v>16</v>
      </c>
      <c r="K165" s="282">
        <v>12</v>
      </c>
      <c r="L165" s="282">
        <v>12</v>
      </c>
      <c r="M165" s="282">
        <v>12</v>
      </c>
      <c r="N165" s="282">
        <v>44</v>
      </c>
      <c r="S165" s="283">
        <v>44</v>
      </c>
      <c r="U165" s="284"/>
      <c r="V165" s="284"/>
      <c r="W165" s="284">
        <v>0.05</v>
      </c>
      <c r="X165" s="284"/>
      <c r="Y165" s="284"/>
      <c r="Z165" s="284"/>
      <c r="AA165" s="285"/>
      <c r="AB165" s="286">
        <v>40</v>
      </c>
      <c r="AC165" s="284"/>
      <c r="AD165" s="285"/>
      <c r="AE165" s="285">
        <v>6</v>
      </c>
      <c r="AF165" s="286"/>
      <c r="AG165" s="284"/>
      <c r="AH165" s="285"/>
      <c r="AI165" s="285"/>
      <c r="AJ165" s="285"/>
      <c r="AK165" s="285"/>
    </row>
    <row r="166" spans="1:40" x14ac:dyDescent="0.2">
      <c r="A166" t="s">
        <v>628</v>
      </c>
      <c r="G166">
        <v>24</v>
      </c>
      <c r="H166">
        <v>20</v>
      </c>
      <c r="I166">
        <v>23</v>
      </c>
      <c r="J166">
        <v>17</v>
      </c>
      <c r="K166">
        <v>14</v>
      </c>
      <c r="L166">
        <v>14</v>
      </c>
      <c r="M166">
        <v>14</v>
      </c>
      <c r="N166">
        <v>20</v>
      </c>
      <c r="S166">
        <v>20</v>
      </c>
      <c r="U166" s="8"/>
      <c r="V166" s="8">
        <v>0.02</v>
      </c>
      <c r="W166" s="8"/>
      <c r="X166" s="8"/>
      <c r="Y166" s="8"/>
      <c r="AA166" s="4"/>
      <c r="AB166" s="11">
        <v>71</v>
      </c>
      <c r="AC166" s="8"/>
      <c r="AD166" s="4"/>
      <c r="AE166" s="8"/>
      <c r="AF166" s="11"/>
      <c r="AG166" s="8"/>
      <c r="AH166" s="4"/>
      <c r="AK166" s="8"/>
      <c r="AL166" s="8"/>
      <c r="AM166" s="4"/>
      <c r="AN166"/>
    </row>
    <row r="167" spans="1:40" x14ac:dyDescent="0.2">
      <c r="A167" t="s">
        <v>667</v>
      </c>
      <c r="G167">
        <v>24</v>
      </c>
      <c r="H167">
        <v>30</v>
      </c>
      <c r="I167">
        <v>23</v>
      </c>
      <c r="J167">
        <v>17</v>
      </c>
      <c r="K167">
        <v>14</v>
      </c>
      <c r="L167">
        <v>14</v>
      </c>
      <c r="M167">
        <v>14</v>
      </c>
      <c r="N167">
        <v>35</v>
      </c>
      <c r="S167">
        <v>35</v>
      </c>
      <c r="U167" s="8"/>
      <c r="V167" s="8">
        <v>0.02</v>
      </c>
      <c r="W167" s="8"/>
      <c r="X167" s="8"/>
      <c r="Y167" s="8"/>
      <c r="AA167" s="4"/>
      <c r="AB167" s="11">
        <v>71</v>
      </c>
      <c r="AC167" s="8"/>
      <c r="AD167" s="4"/>
      <c r="AE167" s="8"/>
      <c r="AF167" s="11"/>
      <c r="AG167" s="8"/>
      <c r="AH167" s="4"/>
      <c r="AK167" s="8"/>
      <c r="AL167" s="8"/>
      <c r="AM167" s="4"/>
      <c r="AN167"/>
    </row>
    <row r="168" spans="1:40" x14ac:dyDescent="0.2">
      <c r="A168" t="s">
        <v>598</v>
      </c>
      <c r="G168">
        <v>21</v>
      </c>
      <c r="H168">
        <v>25</v>
      </c>
      <c r="I168">
        <v>21</v>
      </c>
      <c r="J168">
        <v>25</v>
      </c>
      <c r="K168">
        <v>18</v>
      </c>
      <c r="L168">
        <v>18</v>
      </c>
      <c r="M168">
        <v>19</v>
      </c>
      <c r="N168">
        <v>25</v>
      </c>
      <c r="O168">
        <v>25</v>
      </c>
      <c r="U168" s="8"/>
      <c r="V168" s="8"/>
      <c r="W168" s="8"/>
      <c r="X168" s="8"/>
      <c r="Y168" s="8"/>
      <c r="AA168" s="4"/>
      <c r="AB168" s="11">
        <v>81</v>
      </c>
      <c r="AC168" s="8"/>
      <c r="AD168" s="4"/>
      <c r="AE168" s="8"/>
      <c r="AF168" s="11"/>
      <c r="AG168" s="8"/>
      <c r="AH168" s="4"/>
      <c r="AJ168" s="4">
        <v>120</v>
      </c>
      <c r="AK168" s="8"/>
      <c r="AL168" s="8"/>
      <c r="AM168" s="4"/>
      <c r="AN168"/>
    </row>
    <row r="169" spans="1:40" x14ac:dyDescent="0.2">
      <c r="A169" t="s">
        <v>599</v>
      </c>
      <c r="G169">
        <v>26</v>
      </c>
      <c r="H169">
        <v>22</v>
      </c>
      <c r="I169">
        <v>24</v>
      </c>
      <c r="J169">
        <v>21</v>
      </c>
      <c r="K169">
        <v>20</v>
      </c>
      <c r="L169">
        <v>20</v>
      </c>
      <c r="M169">
        <v>20</v>
      </c>
      <c r="N169">
        <v>10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AA169" s="4"/>
      <c r="AB169" s="11">
        <v>71</v>
      </c>
      <c r="AC169" s="8"/>
      <c r="AD169" s="4"/>
      <c r="AE169" s="4">
        <v>4</v>
      </c>
      <c r="AF169" s="11"/>
      <c r="AG169" s="8"/>
      <c r="AH169" s="4"/>
      <c r="AK169" s="8"/>
      <c r="AL169" s="8"/>
      <c r="AM169" s="4"/>
      <c r="AN169"/>
    </row>
    <row r="170" spans="1:40" x14ac:dyDescent="0.2">
      <c r="A170" t="s">
        <v>617</v>
      </c>
      <c r="G170">
        <v>27</v>
      </c>
      <c r="H170">
        <v>23</v>
      </c>
      <c r="I170">
        <v>25</v>
      </c>
      <c r="J170">
        <v>22</v>
      </c>
      <c r="K170">
        <v>21</v>
      </c>
      <c r="L170">
        <v>21</v>
      </c>
      <c r="M170">
        <v>21</v>
      </c>
      <c r="N170">
        <v>11</v>
      </c>
      <c r="U170" s="8"/>
      <c r="V170" s="8"/>
      <c r="W170" s="8"/>
      <c r="X170" s="8"/>
      <c r="Y170" s="8"/>
      <c r="AA170" s="4"/>
      <c r="AB170" s="11">
        <v>71</v>
      </c>
      <c r="AC170" s="8"/>
      <c r="AD170" s="4"/>
      <c r="AE170" s="4">
        <v>5</v>
      </c>
      <c r="AF170" s="11"/>
      <c r="AG170" s="8"/>
      <c r="AH170" s="4"/>
      <c r="AK170" s="8"/>
      <c r="AL170" s="8"/>
      <c r="AM170" s="4"/>
      <c r="AN170"/>
    </row>
    <row r="171" spans="1:40" s="144" customFormat="1" x14ac:dyDescent="0.2">
      <c r="A171" s="144" t="s">
        <v>600</v>
      </c>
      <c r="G171" s="144">
        <v>28</v>
      </c>
      <c r="H171" s="144">
        <v>22</v>
      </c>
      <c r="I171" s="144">
        <v>28</v>
      </c>
      <c r="J171" s="144">
        <v>22</v>
      </c>
      <c r="K171" s="144">
        <v>12</v>
      </c>
      <c r="L171" s="144">
        <v>12</v>
      </c>
      <c r="M171" s="144">
        <v>12</v>
      </c>
      <c r="U171" s="177"/>
      <c r="V171" s="177"/>
      <c r="W171" s="177"/>
      <c r="X171" s="177"/>
      <c r="Y171" s="177"/>
      <c r="Z171" s="177"/>
      <c r="AA171" s="178"/>
      <c r="AB171" s="205">
        <v>71</v>
      </c>
      <c r="AC171" s="177"/>
      <c r="AD171" s="178"/>
      <c r="AE171" s="178"/>
      <c r="AF171" s="205"/>
      <c r="AG171" s="177"/>
      <c r="AH171" s="178"/>
      <c r="AI171" s="178"/>
      <c r="AJ171" s="178"/>
      <c r="AK171" s="178"/>
    </row>
    <row r="172" spans="1:40" x14ac:dyDescent="0.2">
      <c r="A172" s="144" t="s">
        <v>601</v>
      </c>
      <c r="G172">
        <v>19</v>
      </c>
      <c r="H172">
        <v>15</v>
      </c>
      <c r="I172">
        <v>17</v>
      </c>
      <c r="J172">
        <v>15</v>
      </c>
      <c r="K172">
        <v>14</v>
      </c>
      <c r="L172">
        <v>14</v>
      </c>
      <c r="M172">
        <v>14</v>
      </c>
      <c r="N172">
        <v>20</v>
      </c>
      <c r="U172" s="8"/>
      <c r="V172" s="8"/>
      <c r="W172" s="8"/>
      <c r="X172" s="8"/>
      <c r="Y172" s="8"/>
      <c r="Z172" s="8"/>
      <c r="AA172" s="4"/>
      <c r="AB172" s="11">
        <v>71</v>
      </c>
      <c r="AC172" s="8"/>
      <c r="AD172" s="4"/>
      <c r="AE172" s="8"/>
      <c r="AF172" s="11"/>
      <c r="AG172" s="8"/>
      <c r="AH172" s="4"/>
      <c r="AK172" s="8"/>
      <c r="AL172" s="8"/>
      <c r="AM172" s="4"/>
      <c r="AN172"/>
    </row>
    <row r="173" spans="1:40" x14ac:dyDescent="0.2">
      <c r="A173" s="144" t="s">
        <v>602</v>
      </c>
      <c r="G173">
        <v>26</v>
      </c>
      <c r="H173">
        <v>22</v>
      </c>
      <c r="I173">
        <v>24</v>
      </c>
      <c r="J173">
        <v>19</v>
      </c>
      <c r="K173">
        <v>18</v>
      </c>
      <c r="L173">
        <v>18</v>
      </c>
      <c r="M173">
        <v>18</v>
      </c>
      <c r="O173">
        <v>20</v>
      </c>
      <c r="T173">
        <v>20</v>
      </c>
      <c r="U173" s="8"/>
      <c r="V173" s="8">
        <v>0.03</v>
      </c>
      <c r="W173" s="8"/>
      <c r="X173" s="8"/>
      <c r="Y173" s="8"/>
      <c r="Z173" s="8"/>
      <c r="AA173" s="4"/>
      <c r="AB173" s="11">
        <v>71</v>
      </c>
      <c r="AC173" s="8"/>
      <c r="AD173" s="4"/>
      <c r="AE173" s="8"/>
      <c r="AF173" s="11"/>
      <c r="AG173" s="8"/>
      <c r="AH173" s="4"/>
      <c r="AL173" s="8"/>
      <c r="AM173" s="4"/>
      <c r="AN173"/>
    </row>
    <row r="174" spans="1:40" x14ac:dyDescent="0.2">
      <c r="A174" t="s">
        <v>603</v>
      </c>
      <c r="G174">
        <v>25</v>
      </c>
      <c r="H174">
        <v>22</v>
      </c>
      <c r="I174">
        <v>25</v>
      </c>
      <c r="J174">
        <v>22</v>
      </c>
      <c r="K174">
        <v>20</v>
      </c>
      <c r="L174">
        <v>20</v>
      </c>
      <c r="M174">
        <v>20</v>
      </c>
      <c r="N174">
        <v>18</v>
      </c>
      <c r="O174">
        <v>18</v>
      </c>
      <c r="U174" s="8"/>
      <c r="V174" s="8"/>
      <c r="W174" s="8"/>
      <c r="X174" s="8"/>
      <c r="Y174" s="8"/>
      <c r="AA174" s="4"/>
      <c r="AB174" s="11">
        <v>71</v>
      </c>
      <c r="AC174" s="8"/>
      <c r="AD174" s="4"/>
      <c r="AE174" s="8"/>
      <c r="AF174" s="11"/>
      <c r="AG174" s="8"/>
      <c r="AH174" s="4"/>
      <c r="AK174" s="8"/>
      <c r="AL174" s="8"/>
      <c r="AM174" s="4"/>
      <c r="AN174"/>
    </row>
    <row r="175" spans="1:40" x14ac:dyDescent="0.2">
      <c r="A175" t="s">
        <v>671</v>
      </c>
      <c r="G175">
        <v>21</v>
      </c>
      <c r="H175">
        <v>15</v>
      </c>
      <c r="I175">
        <v>38</v>
      </c>
      <c r="J175">
        <v>15</v>
      </c>
      <c r="K175">
        <v>8</v>
      </c>
      <c r="L175">
        <v>8</v>
      </c>
      <c r="M175">
        <v>8</v>
      </c>
      <c r="S175">
        <v>20</v>
      </c>
      <c r="T175">
        <v>20</v>
      </c>
      <c r="U175">
        <v>20</v>
      </c>
      <c r="V175" s="8"/>
      <c r="W175" s="8"/>
      <c r="X175" s="8"/>
      <c r="Y175" s="8"/>
      <c r="AA175" s="4"/>
      <c r="AB175" s="11">
        <v>71</v>
      </c>
      <c r="AC175" s="8"/>
      <c r="AD175" s="4"/>
      <c r="AE175" s="8"/>
      <c r="AF175" s="11"/>
      <c r="AG175" s="8"/>
      <c r="AH175" s="4"/>
      <c r="AK175" s="8"/>
      <c r="AL175" s="8"/>
      <c r="AM175" s="4"/>
      <c r="AN175"/>
    </row>
    <row r="176" spans="1:40" x14ac:dyDescent="0.2">
      <c r="A176" t="s">
        <v>670</v>
      </c>
      <c r="G176">
        <v>21</v>
      </c>
      <c r="H176">
        <v>15</v>
      </c>
      <c r="I176">
        <v>38</v>
      </c>
      <c r="J176">
        <v>15</v>
      </c>
      <c r="K176">
        <v>8</v>
      </c>
      <c r="L176">
        <v>18</v>
      </c>
      <c r="M176">
        <v>8</v>
      </c>
      <c r="S176">
        <v>20</v>
      </c>
      <c r="T176">
        <v>35</v>
      </c>
      <c r="U176">
        <v>20</v>
      </c>
      <c r="V176" s="8"/>
      <c r="W176" s="8"/>
      <c r="X176" s="8"/>
      <c r="Y176" s="8"/>
      <c r="AA176" s="4"/>
      <c r="AB176" s="11">
        <v>71</v>
      </c>
      <c r="AC176" s="8"/>
      <c r="AD176" s="4"/>
      <c r="AE176" s="8"/>
      <c r="AF176" s="11"/>
      <c r="AG176" s="8"/>
      <c r="AH176" s="4"/>
      <c r="AK176" s="8"/>
      <c r="AL176" s="8"/>
      <c r="AM176" s="4"/>
      <c r="AN176"/>
    </row>
    <row r="177" spans="1:40" x14ac:dyDescent="0.2">
      <c r="A177" s="144" t="s">
        <v>604</v>
      </c>
      <c r="G177">
        <v>24</v>
      </c>
      <c r="H177">
        <v>20</v>
      </c>
      <c r="I177">
        <v>24</v>
      </c>
      <c r="J177">
        <v>31</v>
      </c>
      <c r="K177">
        <v>20</v>
      </c>
      <c r="L177">
        <v>20</v>
      </c>
      <c r="M177">
        <v>20</v>
      </c>
      <c r="N177">
        <v>15</v>
      </c>
      <c r="U177" s="8"/>
      <c r="V177" s="8"/>
      <c r="W177" s="8"/>
      <c r="X177" s="8"/>
      <c r="Y177" s="8"/>
      <c r="Z177" s="8"/>
      <c r="AA177" s="4"/>
      <c r="AB177" s="11">
        <v>81</v>
      </c>
      <c r="AC177" s="8"/>
      <c r="AD177" s="4"/>
      <c r="AE177" s="8"/>
      <c r="AF177" s="11"/>
      <c r="AG177" s="8"/>
      <c r="AH177" s="4"/>
      <c r="AL177" s="8"/>
      <c r="AM177" s="4"/>
      <c r="AN177"/>
    </row>
    <row r="178" spans="1:40" x14ac:dyDescent="0.2">
      <c r="A178" t="s">
        <v>605</v>
      </c>
      <c r="G178">
        <v>20</v>
      </c>
      <c r="H178">
        <v>20</v>
      </c>
      <c r="I178">
        <v>20</v>
      </c>
      <c r="J178">
        <v>20</v>
      </c>
      <c r="K178">
        <v>20</v>
      </c>
      <c r="L178">
        <v>-10</v>
      </c>
      <c r="M178">
        <v>-10</v>
      </c>
      <c r="U178" s="8"/>
      <c r="V178" s="8"/>
      <c r="W178" s="8"/>
      <c r="X178" s="8"/>
      <c r="Y178" s="8"/>
      <c r="Z178" s="8"/>
      <c r="AA178" s="4"/>
      <c r="AB178" s="11"/>
      <c r="AC178" s="8"/>
      <c r="AD178" s="4"/>
      <c r="AE178" s="8"/>
      <c r="AF178" s="11"/>
      <c r="AG178" s="8"/>
      <c r="AH178" s="4"/>
      <c r="AK178" s="8"/>
      <c r="AL178" s="8"/>
      <c r="AM178" s="4"/>
      <c r="AN178"/>
    </row>
    <row r="179" spans="1:40" x14ac:dyDescent="0.2">
      <c r="A179" s="144" t="s">
        <v>606</v>
      </c>
      <c r="G179">
        <v>21</v>
      </c>
      <c r="H179">
        <v>21</v>
      </c>
      <c r="I179">
        <v>21</v>
      </c>
      <c r="J179">
        <v>21</v>
      </c>
      <c r="K179">
        <v>21</v>
      </c>
      <c r="L179">
        <v>-11</v>
      </c>
      <c r="M179">
        <v>-11</v>
      </c>
      <c r="U179" s="8"/>
      <c r="V179" s="8"/>
      <c r="W179" s="8"/>
      <c r="X179" s="8"/>
      <c r="Y179" s="8"/>
      <c r="Z179" s="8"/>
      <c r="AA179" s="4"/>
      <c r="AB179" s="11"/>
      <c r="AC179" s="8"/>
      <c r="AD179" s="4"/>
      <c r="AE179" s="8"/>
      <c r="AF179" s="11"/>
      <c r="AG179" s="8"/>
      <c r="AH179" s="4"/>
      <c r="AK179" s="8"/>
      <c r="AL179" s="8"/>
      <c r="AM179" s="4"/>
      <c r="AN179"/>
    </row>
    <row r="180" spans="1:40" x14ac:dyDescent="0.2">
      <c r="A180" t="s">
        <v>769</v>
      </c>
      <c r="G180">
        <v>41</v>
      </c>
      <c r="H180">
        <v>34</v>
      </c>
      <c r="O180">
        <v>15</v>
      </c>
      <c r="U180" s="8"/>
      <c r="V180" s="8">
        <v>0.02</v>
      </c>
      <c r="W180" s="8"/>
      <c r="X180" s="8"/>
      <c r="Y180" s="8"/>
      <c r="AA180" s="4"/>
      <c r="AB180" s="11">
        <v>-122</v>
      </c>
      <c r="AC180" s="8"/>
      <c r="AD180" s="4"/>
      <c r="AE180" s="8"/>
      <c r="AF180" s="11"/>
      <c r="AG180" s="8"/>
      <c r="AH180" s="4"/>
      <c r="AK180" s="8"/>
      <c r="AL180" s="8"/>
      <c r="AM180" s="4"/>
      <c r="AN180"/>
    </row>
    <row r="181" spans="1:40" x14ac:dyDescent="0.2">
      <c r="A181" t="s">
        <v>770</v>
      </c>
      <c r="G181">
        <v>36</v>
      </c>
      <c r="H181">
        <v>39</v>
      </c>
      <c r="N181">
        <v>15</v>
      </c>
      <c r="U181" s="8"/>
      <c r="V181" s="8"/>
      <c r="W181" s="8"/>
      <c r="X181" s="8"/>
      <c r="Y181" s="8"/>
      <c r="AA181" s="4"/>
      <c r="AB181" s="11">
        <v>-122</v>
      </c>
      <c r="AC181" s="8">
        <v>0.02</v>
      </c>
      <c r="AD181" s="4"/>
      <c r="AE181" s="8"/>
      <c r="AF181" s="11"/>
      <c r="AG181" s="8"/>
      <c r="AH181" s="4"/>
      <c r="AK181" s="8"/>
      <c r="AL181" s="8"/>
      <c r="AM181" s="4"/>
      <c r="AN181"/>
    </row>
    <row r="182" spans="1:40" x14ac:dyDescent="0.2">
      <c r="A182" t="s">
        <v>771</v>
      </c>
      <c r="G182">
        <v>36</v>
      </c>
      <c r="H182">
        <v>34</v>
      </c>
      <c r="N182">
        <v>8</v>
      </c>
      <c r="O182">
        <v>8</v>
      </c>
      <c r="U182" s="8"/>
      <c r="V182" s="8"/>
      <c r="W182" s="8"/>
      <c r="X182" s="8"/>
      <c r="Y182" s="8"/>
      <c r="AA182" s="4"/>
      <c r="AB182" s="11">
        <v>-122</v>
      </c>
      <c r="AC182" s="8"/>
      <c r="AD182" s="4"/>
      <c r="AE182" s="4">
        <v>4</v>
      </c>
      <c r="AF182" s="11"/>
      <c r="AG182" s="8"/>
      <c r="AH182" s="4"/>
      <c r="AK182" s="8"/>
      <c r="AL182" s="8"/>
      <c r="AM182" s="4"/>
      <c r="AN182"/>
    </row>
    <row r="183" spans="1:40" x14ac:dyDescent="0.2">
      <c r="A183" t="s">
        <v>772</v>
      </c>
      <c r="G183">
        <v>41</v>
      </c>
      <c r="H183">
        <v>39</v>
      </c>
      <c r="K183">
        <v>30</v>
      </c>
      <c r="U183" s="8"/>
      <c r="V183" s="8"/>
      <c r="W183" s="8"/>
      <c r="X183" s="8"/>
      <c r="Y183" s="8"/>
      <c r="AA183" s="4"/>
      <c r="AB183" s="11">
        <v>-122</v>
      </c>
      <c r="AC183" s="8"/>
      <c r="AD183" s="4"/>
      <c r="AE183" s="8"/>
      <c r="AF183" s="11"/>
      <c r="AG183" s="8"/>
      <c r="AH183" s="4"/>
      <c r="AK183" s="8"/>
      <c r="AL183" s="8"/>
      <c r="AM183" s="4"/>
      <c r="AN183"/>
    </row>
    <row r="184" spans="1:40" x14ac:dyDescent="0.2">
      <c r="A184" t="s">
        <v>773</v>
      </c>
      <c r="G184">
        <v>47</v>
      </c>
      <c r="H184">
        <v>37</v>
      </c>
      <c r="O184">
        <v>20</v>
      </c>
      <c r="U184" s="8"/>
      <c r="V184" s="8">
        <v>0.03</v>
      </c>
      <c r="W184" s="8"/>
      <c r="X184" s="8"/>
      <c r="Y184" s="8"/>
      <c r="AA184" s="4"/>
      <c r="AB184" s="11">
        <v>-122</v>
      </c>
      <c r="AC184" s="8"/>
      <c r="AD184" s="4"/>
      <c r="AE184" s="8"/>
      <c r="AF184" s="11"/>
      <c r="AG184" s="8"/>
      <c r="AH184" s="4"/>
      <c r="AK184" s="8"/>
      <c r="AL184" s="8"/>
      <c r="AM184" s="4"/>
      <c r="AN184"/>
    </row>
    <row r="185" spans="1:40" x14ac:dyDescent="0.2">
      <c r="A185" t="s">
        <v>774</v>
      </c>
      <c r="G185">
        <v>39</v>
      </c>
      <c r="H185">
        <v>45</v>
      </c>
      <c r="N185">
        <v>20</v>
      </c>
      <c r="U185" s="8"/>
      <c r="V185" s="8"/>
      <c r="W185" s="8"/>
      <c r="X185" s="8"/>
      <c r="Y185" s="8"/>
      <c r="AA185" s="4"/>
      <c r="AB185" s="11">
        <v>-122</v>
      </c>
      <c r="AC185" s="8">
        <v>0.03</v>
      </c>
      <c r="AD185" s="4"/>
      <c r="AE185" s="8"/>
      <c r="AF185" s="11"/>
      <c r="AG185" s="8"/>
      <c r="AH185" s="4"/>
      <c r="AK185" s="8"/>
      <c r="AL185" s="8"/>
      <c r="AM185" s="4"/>
      <c r="AN185"/>
    </row>
    <row r="186" spans="1:40" x14ac:dyDescent="0.2">
      <c r="A186" t="s">
        <v>775</v>
      </c>
      <c r="G186">
        <v>39</v>
      </c>
      <c r="H186">
        <v>37</v>
      </c>
      <c r="N186">
        <v>10</v>
      </c>
      <c r="O186">
        <v>10</v>
      </c>
      <c r="U186" s="8"/>
      <c r="V186" s="8"/>
      <c r="W186" s="8"/>
      <c r="X186" s="8"/>
      <c r="Y186" s="8"/>
      <c r="AA186" s="4"/>
      <c r="AB186" s="11">
        <v>-122</v>
      </c>
      <c r="AC186" s="8"/>
      <c r="AD186" s="4"/>
      <c r="AE186" s="4">
        <v>5</v>
      </c>
      <c r="AF186" s="11"/>
      <c r="AG186" s="8"/>
      <c r="AH186" s="4"/>
      <c r="AK186" s="8"/>
      <c r="AL186" s="8"/>
      <c r="AM186" s="4"/>
      <c r="AN186"/>
    </row>
    <row r="187" spans="1:40" x14ac:dyDescent="0.2">
      <c r="A187" t="s">
        <v>776</v>
      </c>
      <c r="G187">
        <v>47</v>
      </c>
      <c r="H187">
        <v>45</v>
      </c>
      <c r="K187">
        <v>35</v>
      </c>
      <c r="U187" s="8"/>
      <c r="V187" s="8"/>
      <c r="W187" s="8"/>
      <c r="X187" s="8"/>
      <c r="Y187" s="8"/>
      <c r="AA187" s="4"/>
      <c r="AB187" s="11">
        <v>-122</v>
      </c>
      <c r="AC187" s="8"/>
      <c r="AD187" s="4"/>
      <c r="AE187" s="8"/>
      <c r="AF187" s="11"/>
      <c r="AG187" s="8"/>
      <c r="AH187" s="4"/>
      <c r="AK187" s="8"/>
      <c r="AL187" s="8"/>
      <c r="AM187" s="4"/>
      <c r="AN187"/>
    </row>
    <row r="188" spans="1:40" x14ac:dyDescent="0.2">
      <c r="A188" t="s">
        <v>607</v>
      </c>
      <c r="G188">
        <v>28</v>
      </c>
      <c r="H188">
        <v>24</v>
      </c>
      <c r="I188">
        <v>20</v>
      </c>
      <c r="J188">
        <v>18</v>
      </c>
      <c r="K188">
        <v>17</v>
      </c>
      <c r="L188">
        <v>17</v>
      </c>
      <c r="M188">
        <v>17</v>
      </c>
      <c r="O188">
        <v>33</v>
      </c>
      <c r="U188" s="8"/>
      <c r="V188" s="8"/>
      <c r="W188" s="8"/>
      <c r="X188" s="8"/>
      <c r="Y188" s="8"/>
      <c r="Z188" s="8">
        <v>0.05</v>
      </c>
      <c r="AA188" s="4"/>
      <c r="AB188" s="11">
        <v>71</v>
      </c>
      <c r="AC188" s="8"/>
      <c r="AD188" s="4"/>
      <c r="AE188" s="8"/>
      <c r="AF188" s="11"/>
      <c r="AG188" s="8"/>
      <c r="AH188" s="4"/>
      <c r="AK188" s="8"/>
      <c r="AL188" s="8"/>
      <c r="AM188" s="4"/>
      <c r="AN188"/>
    </row>
    <row r="189" spans="1:40" x14ac:dyDescent="0.2">
      <c r="A189" t="s">
        <v>633</v>
      </c>
      <c r="G189">
        <v>27</v>
      </c>
      <c r="H189">
        <v>17</v>
      </c>
      <c r="I189">
        <v>22</v>
      </c>
      <c r="J189">
        <v>17</v>
      </c>
      <c r="K189">
        <v>16</v>
      </c>
      <c r="L189">
        <v>16</v>
      </c>
      <c r="M189">
        <v>16</v>
      </c>
      <c r="O189">
        <v>20</v>
      </c>
      <c r="U189" s="8"/>
      <c r="V189" s="8">
        <v>0.03</v>
      </c>
      <c r="W189" s="8"/>
      <c r="X189" s="8"/>
      <c r="Y189" s="8"/>
      <c r="AA189" s="4"/>
      <c r="AB189" s="11">
        <v>81</v>
      </c>
      <c r="AC189" s="8"/>
      <c r="AD189" s="4"/>
      <c r="AE189" s="8"/>
      <c r="AF189" s="11"/>
      <c r="AG189" s="8"/>
      <c r="AH189" s="4"/>
      <c r="AK189" s="8"/>
      <c r="AL189" s="8"/>
      <c r="AM189" s="4"/>
      <c r="AN189"/>
    </row>
    <row r="190" spans="1:40" x14ac:dyDescent="0.2">
      <c r="A190" t="s">
        <v>608</v>
      </c>
      <c r="B190">
        <v>7</v>
      </c>
      <c r="G190">
        <v>13</v>
      </c>
      <c r="H190">
        <v>11</v>
      </c>
      <c r="I190">
        <v>12</v>
      </c>
      <c r="J190">
        <v>9</v>
      </c>
      <c r="K190">
        <v>7</v>
      </c>
      <c r="L190">
        <v>7</v>
      </c>
      <c r="M190">
        <v>7</v>
      </c>
      <c r="O190">
        <v>23</v>
      </c>
      <c r="U190" s="8"/>
      <c r="V190" s="8"/>
      <c r="W190" s="8"/>
      <c r="X190" s="8"/>
      <c r="Y190" s="8"/>
      <c r="AA190" s="4"/>
      <c r="AB190" s="11">
        <v>61</v>
      </c>
      <c r="AC190" s="8"/>
      <c r="AD190" s="4"/>
      <c r="AE190" s="8"/>
      <c r="AF190" s="11"/>
      <c r="AG190" s="8"/>
      <c r="AH190" s="4"/>
      <c r="AK190" s="8"/>
      <c r="AL190" s="8"/>
      <c r="AM190" s="4"/>
      <c r="AN190"/>
    </row>
    <row r="191" spans="1:40" x14ac:dyDescent="0.2">
      <c r="A191" t="s">
        <v>609</v>
      </c>
      <c r="B191">
        <v>17</v>
      </c>
      <c r="G191">
        <v>21</v>
      </c>
      <c r="H191">
        <v>17</v>
      </c>
      <c r="I191">
        <v>20</v>
      </c>
      <c r="J191">
        <v>15</v>
      </c>
      <c r="K191">
        <v>11</v>
      </c>
      <c r="L191">
        <v>11</v>
      </c>
      <c r="M191">
        <v>11</v>
      </c>
      <c r="O191">
        <v>28</v>
      </c>
      <c r="U191" s="8"/>
      <c r="V191" s="8"/>
      <c r="W191" s="8"/>
      <c r="X191" s="8"/>
      <c r="Y191" s="8"/>
      <c r="AA191" s="4"/>
      <c r="AB191" s="11">
        <v>71</v>
      </c>
      <c r="AC191" s="8"/>
      <c r="AD191" s="4"/>
      <c r="AE191" s="8"/>
      <c r="AF191" s="11"/>
      <c r="AG191" s="8"/>
      <c r="AH191" s="4"/>
      <c r="AK191" s="8"/>
      <c r="AL191" s="8"/>
      <c r="AM191" s="4"/>
      <c r="AN191"/>
    </row>
    <row r="192" spans="1:40" x14ac:dyDescent="0.2">
      <c r="A192" t="s">
        <v>686</v>
      </c>
      <c r="G192">
        <v>19</v>
      </c>
      <c r="H192">
        <v>9</v>
      </c>
      <c r="I192">
        <v>18</v>
      </c>
      <c r="J192">
        <v>9</v>
      </c>
      <c r="K192">
        <v>8</v>
      </c>
      <c r="L192">
        <v>8</v>
      </c>
      <c r="M192">
        <v>8</v>
      </c>
      <c r="N192">
        <v>10</v>
      </c>
      <c r="O192">
        <v>10</v>
      </c>
      <c r="U192" s="8"/>
      <c r="V192" s="8"/>
      <c r="W192" s="8"/>
      <c r="X192" s="8"/>
      <c r="Y192" s="8"/>
      <c r="AA192" s="4"/>
      <c r="AB192" s="11">
        <v>61</v>
      </c>
      <c r="AC192" s="8"/>
      <c r="AD192" s="4"/>
      <c r="AE192" s="8"/>
      <c r="AF192" s="11"/>
      <c r="AG192" s="8"/>
      <c r="AH192" s="4"/>
      <c r="AK192" s="8"/>
      <c r="AL192" s="8"/>
      <c r="AM192" s="4"/>
      <c r="AN192"/>
    </row>
    <row r="193" spans="1:40" x14ac:dyDescent="0.2">
      <c r="A193" t="s">
        <v>687</v>
      </c>
      <c r="G193">
        <v>27</v>
      </c>
      <c r="H193">
        <v>15</v>
      </c>
      <c r="I193">
        <v>25</v>
      </c>
      <c r="J193">
        <v>15</v>
      </c>
      <c r="K193">
        <v>14</v>
      </c>
      <c r="L193">
        <v>14</v>
      </c>
      <c r="M193">
        <v>14</v>
      </c>
      <c r="N193">
        <v>15</v>
      </c>
      <c r="O193">
        <v>15</v>
      </c>
      <c r="U193" s="8"/>
      <c r="V193" s="8"/>
      <c r="W193" s="8"/>
      <c r="X193" s="8"/>
      <c r="Y193" s="8"/>
      <c r="AA193" s="4"/>
      <c r="AB193" s="11">
        <v>71</v>
      </c>
      <c r="AC193" s="8"/>
      <c r="AD193" s="4"/>
      <c r="AE193" s="8"/>
      <c r="AF193" s="11"/>
      <c r="AG193" s="8"/>
      <c r="AH193" s="4"/>
      <c r="AK193" s="8"/>
      <c r="AL193" s="8"/>
      <c r="AM193" s="4"/>
      <c r="AN193"/>
    </row>
    <row r="194" spans="1:40" x14ac:dyDescent="0.2">
      <c r="A194" t="s">
        <v>634</v>
      </c>
      <c r="G194">
        <v>22</v>
      </c>
      <c r="H194">
        <v>20</v>
      </c>
      <c r="I194">
        <v>22</v>
      </c>
      <c r="J194">
        <v>20</v>
      </c>
      <c r="K194">
        <v>19</v>
      </c>
      <c r="L194">
        <v>19</v>
      </c>
      <c r="M194">
        <v>19</v>
      </c>
      <c r="O194">
        <v>20</v>
      </c>
      <c r="U194" s="8"/>
      <c r="V194" s="8"/>
      <c r="W194" s="8"/>
      <c r="X194" s="8"/>
      <c r="Y194" s="8"/>
      <c r="AA194" s="4"/>
      <c r="AB194" s="11">
        <v>71</v>
      </c>
      <c r="AC194" s="8"/>
      <c r="AD194" s="4"/>
      <c r="AE194" s="8"/>
      <c r="AF194" s="11"/>
      <c r="AG194" s="8"/>
      <c r="AH194" s="4"/>
      <c r="AK194" s="8"/>
      <c r="AL194" s="8"/>
      <c r="AM194" s="4"/>
      <c r="AN194"/>
    </row>
    <row r="195" spans="1:40" x14ac:dyDescent="0.2">
      <c r="A195" t="s">
        <v>610</v>
      </c>
      <c r="G195">
        <v>26</v>
      </c>
      <c r="H195">
        <v>19</v>
      </c>
      <c r="I195">
        <v>21</v>
      </c>
      <c r="J195">
        <v>19</v>
      </c>
      <c r="K195">
        <v>19</v>
      </c>
      <c r="L195">
        <v>19</v>
      </c>
      <c r="M195">
        <v>19</v>
      </c>
      <c r="U195" s="8"/>
      <c r="V195" s="8"/>
      <c r="W195" s="8"/>
      <c r="X195" s="8"/>
      <c r="Y195" s="8"/>
      <c r="Z195" s="8"/>
      <c r="AA195" s="4"/>
      <c r="AB195" s="11">
        <v>81</v>
      </c>
      <c r="AC195" s="8"/>
      <c r="AD195" s="4"/>
      <c r="AE195" s="8"/>
      <c r="AF195" s="11"/>
      <c r="AG195" s="8"/>
      <c r="AH195" s="4"/>
      <c r="AK195" s="8"/>
      <c r="AL195" s="8"/>
      <c r="AM195" s="4"/>
      <c r="AN195"/>
    </row>
    <row r="196" spans="1:40" x14ac:dyDescent="0.2">
      <c r="A196" s="144" t="s">
        <v>611</v>
      </c>
      <c r="G196">
        <v>23</v>
      </c>
      <c r="H196">
        <v>22</v>
      </c>
      <c r="I196">
        <v>23</v>
      </c>
      <c r="J196">
        <v>22</v>
      </c>
      <c r="K196">
        <v>23</v>
      </c>
      <c r="L196">
        <v>18</v>
      </c>
      <c r="M196">
        <v>19</v>
      </c>
      <c r="N196">
        <v>20</v>
      </c>
      <c r="U196" s="8"/>
      <c r="V196" s="8"/>
      <c r="W196" s="8"/>
      <c r="X196" s="8"/>
      <c r="Y196" s="8"/>
      <c r="Z196" s="8"/>
      <c r="AA196" s="4"/>
      <c r="AB196" s="11">
        <v>81</v>
      </c>
      <c r="AC196" s="8"/>
      <c r="AD196" s="4"/>
      <c r="AE196" s="8"/>
      <c r="AF196" s="11"/>
      <c r="AG196" s="8"/>
      <c r="AH196" s="4"/>
      <c r="AK196" s="8"/>
      <c r="AL196" s="8"/>
      <c r="AM196" s="4"/>
      <c r="AN196"/>
    </row>
    <row r="197" spans="1:40" x14ac:dyDescent="0.2">
      <c r="A197" s="3" t="s">
        <v>629</v>
      </c>
      <c r="G197">
        <v>33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19</v>
      </c>
      <c r="U197" s="8"/>
      <c r="V197" s="8"/>
      <c r="W197" s="8"/>
      <c r="X197" s="8"/>
      <c r="Y197" s="8"/>
      <c r="Z197" s="8"/>
      <c r="AA197" s="4"/>
      <c r="AB197" s="11">
        <v>91</v>
      </c>
      <c r="AC197" s="8"/>
      <c r="AD197" s="4"/>
      <c r="AE197" s="8"/>
      <c r="AF197" s="11"/>
      <c r="AG197" s="8"/>
      <c r="AH197" s="4"/>
      <c r="AK197" s="8"/>
      <c r="AL197" s="8"/>
      <c r="AM197" s="4"/>
      <c r="AN197"/>
    </row>
    <row r="198" spans="1:40" x14ac:dyDescent="0.2">
      <c r="A198" s="3" t="s">
        <v>630</v>
      </c>
      <c r="G198">
        <v>28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19</v>
      </c>
      <c r="U198" s="8"/>
      <c r="V198" s="8"/>
      <c r="W198" s="8"/>
      <c r="X198" s="8"/>
      <c r="Y198" s="8"/>
      <c r="Z198" s="8"/>
      <c r="AA198" s="4"/>
      <c r="AB198" s="11">
        <v>91</v>
      </c>
      <c r="AC198" s="8"/>
      <c r="AD198" s="4"/>
      <c r="AE198" s="8"/>
      <c r="AF198" s="11"/>
      <c r="AG198" s="8"/>
      <c r="AH198" s="4"/>
      <c r="AK198" s="8"/>
      <c r="AL198" s="8"/>
      <c r="AM198" s="4"/>
      <c r="AN198"/>
    </row>
    <row r="199" spans="1:40" x14ac:dyDescent="0.2">
      <c r="A199" t="s">
        <v>631</v>
      </c>
      <c r="G199">
        <v>33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20</v>
      </c>
      <c r="U199" s="8"/>
      <c r="V199" s="8"/>
      <c r="W199" s="8"/>
      <c r="X199" s="8"/>
      <c r="Y199" s="8"/>
      <c r="AA199" s="8"/>
      <c r="AB199" s="11">
        <v>102</v>
      </c>
      <c r="AC199" s="8"/>
      <c r="AD199" s="4"/>
      <c r="AE199" s="8"/>
      <c r="AF199" s="11"/>
      <c r="AG199" s="8"/>
      <c r="AH199" s="4"/>
      <c r="AK199" s="8"/>
      <c r="AL199" s="8"/>
      <c r="AM199" s="4"/>
      <c r="AN199"/>
    </row>
    <row r="200" spans="1:40" x14ac:dyDescent="0.2">
      <c r="A200" t="s">
        <v>632</v>
      </c>
      <c r="G200">
        <v>28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20</v>
      </c>
      <c r="U200" s="8"/>
      <c r="V200" s="8"/>
      <c r="W200" s="8"/>
      <c r="X200" s="8"/>
      <c r="Y200" s="8"/>
      <c r="AA200" s="8"/>
      <c r="AB200" s="11">
        <v>102</v>
      </c>
      <c r="AC200" s="8"/>
      <c r="AD200" s="4"/>
      <c r="AE200" s="8"/>
      <c r="AF200" s="11"/>
      <c r="AG200" s="8"/>
      <c r="AH200" s="4"/>
      <c r="AK200" s="8"/>
      <c r="AL200" s="8"/>
      <c r="AM200" s="4"/>
      <c r="AN200"/>
    </row>
    <row r="201" spans="1:40" x14ac:dyDescent="0.2">
      <c r="A201" t="s">
        <v>688</v>
      </c>
      <c r="G201" s="4">
        <v>25</v>
      </c>
      <c r="H201">
        <v>20</v>
      </c>
      <c r="I201">
        <v>20</v>
      </c>
      <c r="J201">
        <v>20</v>
      </c>
      <c r="K201">
        <v>20</v>
      </c>
      <c r="L201">
        <v>20</v>
      </c>
      <c r="M201">
        <v>20</v>
      </c>
      <c r="U201" s="8"/>
      <c r="V201" s="8"/>
      <c r="W201" s="8"/>
      <c r="X201" s="8"/>
      <c r="Y201" s="8"/>
      <c r="AA201" s="8"/>
      <c r="AB201" s="11"/>
      <c r="AC201" s="8"/>
      <c r="AD201" s="4"/>
      <c r="AE201" s="8"/>
      <c r="AF201" s="11"/>
      <c r="AG201" s="8"/>
      <c r="AH201" s="4"/>
      <c r="AK201" s="8"/>
      <c r="AL201" s="4">
        <v>8</v>
      </c>
      <c r="AM201" s="4"/>
      <c r="AN201"/>
    </row>
    <row r="202" spans="1:40" x14ac:dyDescent="0.2">
      <c r="A202" t="s">
        <v>635</v>
      </c>
      <c r="G202" s="4">
        <v>25</v>
      </c>
      <c r="H202">
        <v>20</v>
      </c>
      <c r="I202">
        <v>20</v>
      </c>
      <c r="J202">
        <v>20</v>
      </c>
      <c r="K202">
        <v>20</v>
      </c>
      <c r="L202">
        <v>20</v>
      </c>
      <c r="M202">
        <v>20</v>
      </c>
      <c r="N202">
        <v>30</v>
      </c>
      <c r="U202" s="8"/>
      <c r="V202" s="8"/>
      <c r="W202" s="8"/>
      <c r="X202" s="8"/>
      <c r="Y202" s="8"/>
      <c r="AA202" s="8"/>
      <c r="AB202" s="11"/>
      <c r="AC202" s="8"/>
      <c r="AD202" s="4"/>
      <c r="AE202" s="8"/>
      <c r="AF202" s="11"/>
      <c r="AG202" s="8"/>
      <c r="AH202" s="4"/>
      <c r="AK202" s="8"/>
      <c r="AL202" s="4">
        <v>8</v>
      </c>
      <c r="AM202" s="4"/>
      <c r="AN202"/>
    </row>
    <row r="203" spans="1:40" x14ac:dyDescent="0.2">
      <c r="A203" t="s">
        <v>612</v>
      </c>
      <c r="G203" s="4">
        <v>25</v>
      </c>
      <c r="H203">
        <v>11</v>
      </c>
      <c r="I203">
        <v>32</v>
      </c>
      <c r="J203">
        <v>12</v>
      </c>
      <c r="K203">
        <v>11</v>
      </c>
      <c r="L203">
        <v>14</v>
      </c>
      <c r="M203">
        <v>14</v>
      </c>
      <c r="N203">
        <v>26</v>
      </c>
      <c r="O203">
        <v>30</v>
      </c>
      <c r="U203" s="8"/>
      <c r="V203" s="8"/>
      <c r="W203" s="8"/>
      <c r="X203" s="8"/>
      <c r="Y203" s="8"/>
      <c r="AA203" s="4"/>
      <c r="AB203" s="11">
        <v>30</v>
      </c>
      <c r="AC203" s="8"/>
      <c r="AD203" s="4"/>
      <c r="AE203" s="4">
        <v>5</v>
      </c>
      <c r="AF203" s="11"/>
      <c r="AG203" s="8"/>
      <c r="AH203" s="4"/>
      <c r="AK203" s="8"/>
      <c r="AL203" s="8"/>
      <c r="AM203" s="4"/>
      <c r="AN203"/>
    </row>
    <row r="204" spans="1:40" x14ac:dyDescent="0.2">
      <c r="A204" t="s">
        <v>613</v>
      </c>
      <c r="G204" s="4">
        <v>30</v>
      </c>
      <c r="H204">
        <v>16</v>
      </c>
      <c r="I204">
        <v>37</v>
      </c>
      <c r="J204">
        <v>12</v>
      </c>
      <c r="K204">
        <v>11</v>
      </c>
      <c r="L204">
        <v>19</v>
      </c>
      <c r="M204">
        <v>19</v>
      </c>
      <c r="N204">
        <v>38</v>
      </c>
      <c r="O204">
        <v>42</v>
      </c>
      <c r="U204" s="8"/>
      <c r="V204" s="8"/>
      <c r="W204" s="8"/>
      <c r="X204" s="8"/>
      <c r="Y204" s="8"/>
      <c r="AA204" s="8"/>
      <c r="AB204" s="11">
        <v>30</v>
      </c>
      <c r="AC204" s="8"/>
      <c r="AD204" s="4"/>
      <c r="AE204" s="4">
        <v>8</v>
      </c>
      <c r="AF204" s="11"/>
      <c r="AG204" s="8"/>
      <c r="AH204" s="4"/>
      <c r="AK204" s="8"/>
      <c r="AL204" s="8"/>
      <c r="AM204" s="4"/>
      <c r="AN204"/>
    </row>
    <row r="205" spans="1:40" x14ac:dyDescent="0.2">
      <c r="A205" t="s">
        <v>1869</v>
      </c>
      <c r="G205" s="4">
        <v>33</v>
      </c>
      <c r="H205">
        <v>19</v>
      </c>
      <c r="I205">
        <v>40</v>
      </c>
      <c r="J205">
        <v>12</v>
      </c>
      <c r="K205">
        <v>11</v>
      </c>
      <c r="L205">
        <v>22</v>
      </c>
      <c r="M205">
        <v>22</v>
      </c>
      <c r="N205">
        <v>44</v>
      </c>
      <c r="O205">
        <v>48</v>
      </c>
      <c r="U205" s="8"/>
      <c r="V205" s="8"/>
      <c r="W205" s="8"/>
      <c r="X205" s="8"/>
      <c r="Y205" s="8"/>
      <c r="AA205" s="8"/>
      <c r="AB205" s="11">
        <v>30</v>
      </c>
      <c r="AC205" s="8"/>
      <c r="AD205" s="4"/>
      <c r="AE205" s="4">
        <v>10</v>
      </c>
      <c r="AF205" s="11"/>
      <c r="AG205" s="8"/>
      <c r="AH205" s="4"/>
      <c r="AK205" s="8"/>
      <c r="AL205" s="8"/>
      <c r="AM205" s="4"/>
      <c r="AN205"/>
    </row>
    <row r="206" spans="1:40" x14ac:dyDescent="0.2">
      <c r="A206" t="s">
        <v>668</v>
      </c>
      <c r="G206">
        <v>16</v>
      </c>
      <c r="H206">
        <v>23</v>
      </c>
      <c r="I206">
        <v>16</v>
      </c>
      <c r="J206">
        <v>23</v>
      </c>
      <c r="K206">
        <v>16</v>
      </c>
      <c r="L206">
        <v>16</v>
      </c>
      <c r="M206">
        <v>17</v>
      </c>
      <c r="N206">
        <v>10</v>
      </c>
      <c r="O206">
        <v>20</v>
      </c>
      <c r="Q206">
        <v>10</v>
      </c>
      <c r="U206" s="8"/>
      <c r="V206" s="8"/>
      <c r="W206" s="8"/>
      <c r="X206" s="8"/>
      <c r="Y206" s="8"/>
      <c r="AA206" s="4"/>
      <c r="AB206" s="11">
        <v>81</v>
      </c>
      <c r="AC206" s="8">
        <v>0.02</v>
      </c>
      <c r="AD206" s="4"/>
      <c r="AE206" s="8"/>
      <c r="AF206" s="11"/>
      <c r="AG206" s="8"/>
      <c r="AH206" s="4"/>
      <c r="AK206" s="8"/>
      <c r="AL206" s="8"/>
      <c r="AM206" s="4"/>
      <c r="AN206"/>
    </row>
    <row r="207" spans="1:40" x14ac:dyDescent="0.2">
      <c r="A207" t="str">
        <f>Augments!A20</f>
        <v>Taeon Chapeau (TA)</v>
      </c>
      <c r="B207">
        <f t="shared" ref="B207:K210" ca="1" si="12">IF(ISBLANK($A207),0,VLOOKUP($A207,INDIRECT(CONCATENATE("Aug",$A$122)),MATCH(B$1,AugStatHeader,0),0)
+VLOOKUP(LEFT($A207,FIND(" (",$A207,1)-1),INDIRECT("BaseAugArmor"),MATCH(B$1,StatHeader,0),0))</f>
        <v>0</v>
      </c>
      <c r="C207">
        <f t="shared" ca="1" si="12"/>
        <v>0</v>
      </c>
      <c r="D207">
        <f t="shared" ca="1" si="12"/>
        <v>0</v>
      </c>
      <c r="E207">
        <f t="shared" ca="1" si="12"/>
        <v>0</v>
      </c>
      <c r="F207">
        <f t="shared" ca="1" si="12"/>
        <v>0</v>
      </c>
      <c r="G207">
        <f t="shared" ca="1" si="12"/>
        <v>23</v>
      </c>
      <c r="H207">
        <f t="shared" ca="1" si="12"/>
        <v>30</v>
      </c>
      <c r="I207">
        <f t="shared" ca="1" si="12"/>
        <v>16</v>
      </c>
      <c r="J207">
        <f t="shared" ca="1" si="12"/>
        <v>23</v>
      </c>
      <c r="K207">
        <f t="shared" ca="1" si="12"/>
        <v>16</v>
      </c>
      <c r="L207">
        <f t="shared" ref="L207:U210" ca="1" si="13">IF(ISBLANK($A207),0,VLOOKUP($A207,INDIRECT(CONCATENATE("Aug",$A$122)),MATCH(L$1,AugStatHeader,0),0)
+VLOOKUP(LEFT($A207,FIND(" (",$A207,1)-1),INDIRECT("BaseAugArmor"),MATCH(L$1,StatHeader,0),0))</f>
        <v>16</v>
      </c>
      <c r="M207">
        <f t="shared" ca="1" si="13"/>
        <v>17</v>
      </c>
      <c r="N207">
        <f t="shared" ca="1" si="13"/>
        <v>30</v>
      </c>
      <c r="O207">
        <f t="shared" ca="1" si="13"/>
        <v>40</v>
      </c>
      <c r="P207" s="8">
        <f t="shared" ca="1" si="13"/>
        <v>0</v>
      </c>
      <c r="Q207">
        <f t="shared" ca="1" si="13"/>
        <v>10</v>
      </c>
      <c r="R207">
        <f t="shared" ca="1" si="13"/>
        <v>0</v>
      </c>
      <c r="S207">
        <f t="shared" ca="1" si="13"/>
        <v>0</v>
      </c>
      <c r="T207">
        <f t="shared" ca="1" si="13"/>
        <v>0</v>
      </c>
      <c r="U207">
        <f t="shared" ca="1" si="13"/>
        <v>0</v>
      </c>
      <c r="V207" s="8">
        <f t="shared" ref="V207:AE210" ca="1" si="14">IF(ISBLANK($A207),0,VLOOKUP($A207,INDIRECT(CONCATENATE("Aug",$A$122)),MATCH(V$1,AugStatHeader,0),0)
+VLOOKUP(LEFT($A207,FIND(" (",$A207,1)-1),INDIRECT("BaseAugArmor"),MATCH(V$1,StatHeader,0),0))</f>
        <v>0</v>
      </c>
      <c r="W207" s="8">
        <f t="shared" ca="1" si="14"/>
        <v>0.02</v>
      </c>
      <c r="X207" s="8">
        <f t="shared" ca="1" si="14"/>
        <v>0</v>
      </c>
      <c r="Y207" s="8">
        <f t="shared" ca="1" si="14"/>
        <v>0</v>
      </c>
      <c r="Z207" s="8">
        <f t="shared" ca="1" si="14"/>
        <v>0</v>
      </c>
      <c r="AA207">
        <f t="shared" ca="1" si="14"/>
        <v>0</v>
      </c>
      <c r="AB207">
        <f t="shared" ca="1" si="14"/>
        <v>81</v>
      </c>
      <c r="AC207" s="8">
        <f t="shared" ca="1" si="14"/>
        <v>0.02</v>
      </c>
      <c r="AD207" s="8">
        <f t="shared" ca="1" si="14"/>
        <v>0</v>
      </c>
      <c r="AE207">
        <f t="shared" ca="1" si="14"/>
        <v>0</v>
      </c>
      <c r="AF207">
        <f t="shared" ref="AF207:AN210" ca="1" si="15">IF(ISBLANK($A207),0,VLOOKUP($A207,INDIRECT(CONCATENATE("Aug",$A$122)),MATCH(AF$1,AugStatHeader,0),0)
+VLOOKUP(LEFT($A207,FIND(" (",$A207,1)-1),INDIRECT("BaseAugArmor"),MATCH(AF$1,StatHeader,0),0))</f>
        <v>0</v>
      </c>
      <c r="AG207">
        <f t="shared" ca="1" si="15"/>
        <v>0</v>
      </c>
      <c r="AH207" s="8">
        <f t="shared" ca="1" si="15"/>
        <v>0</v>
      </c>
      <c r="AI207">
        <f t="shared" ca="1" si="15"/>
        <v>0</v>
      </c>
      <c r="AJ207">
        <f t="shared" ca="1" si="15"/>
        <v>0</v>
      </c>
      <c r="AK207">
        <f t="shared" ca="1" si="15"/>
        <v>0</v>
      </c>
      <c r="AL207">
        <f t="shared" ca="1" si="15"/>
        <v>0</v>
      </c>
      <c r="AM207" s="8">
        <f t="shared" ca="1" si="15"/>
        <v>0</v>
      </c>
      <c r="AN207">
        <f t="shared" ca="1" si="15"/>
        <v>0</v>
      </c>
    </row>
    <row r="208" spans="1:40" x14ac:dyDescent="0.2">
      <c r="A208" t="str">
        <f>Augments!A21</f>
        <v>Taeon Chapeau (C.Rate)</v>
      </c>
      <c r="B208">
        <f t="shared" ca="1" si="12"/>
        <v>0</v>
      </c>
      <c r="C208">
        <f t="shared" ca="1" si="12"/>
        <v>0</v>
      </c>
      <c r="D208">
        <f t="shared" ca="1" si="12"/>
        <v>0</v>
      </c>
      <c r="E208">
        <f t="shared" ca="1" si="12"/>
        <v>0</v>
      </c>
      <c r="F208">
        <f t="shared" ca="1" si="12"/>
        <v>0</v>
      </c>
      <c r="G208">
        <f t="shared" ca="1" si="12"/>
        <v>23</v>
      </c>
      <c r="H208">
        <f t="shared" ca="1" si="12"/>
        <v>30</v>
      </c>
      <c r="I208">
        <f t="shared" ca="1" si="12"/>
        <v>16</v>
      </c>
      <c r="J208">
        <f t="shared" ca="1" si="12"/>
        <v>23</v>
      </c>
      <c r="K208">
        <f t="shared" ca="1" si="12"/>
        <v>16</v>
      </c>
      <c r="L208">
        <f t="shared" ca="1" si="13"/>
        <v>16</v>
      </c>
      <c r="M208">
        <f t="shared" ca="1" si="13"/>
        <v>17</v>
      </c>
      <c r="N208">
        <f t="shared" ca="1" si="13"/>
        <v>30</v>
      </c>
      <c r="O208">
        <f t="shared" ca="1" si="13"/>
        <v>40</v>
      </c>
      <c r="P208" s="8">
        <f t="shared" ca="1" si="13"/>
        <v>0</v>
      </c>
      <c r="Q208">
        <f t="shared" ca="1" si="13"/>
        <v>10</v>
      </c>
      <c r="R208">
        <f t="shared" ca="1" si="13"/>
        <v>0</v>
      </c>
      <c r="S208">
        <f t="shared" ca="1" si="13"/>
        <v>0</v>
      </c>
      <c r="T208">
        <f t="shared" ca="1" si="13"/>
        <v>0</v>
      </c>
      <c r="U208">
        <f t="shared" ca="1" si="13"/>
        <v>0</v>
      </c>
      <c r="V208" s="8">
        <f t="shared" ca="1" si="14"/>
        <v>0</v>
      </c>
      <c r="W208" s="8">
        <f t="shared" ca="1" si="14"/>
        <v>0</v>
      </c>
      <c r="X208" s="8">
        <f t="shared" ca="1" si="14"/>
        <v>0</v>
      </c>
      <c r="Y208" s="8">
        <f t="shared" ca="1" si="14"/>
        <v>0</v>
      </c>
      <c r="Z208" s="8">
        <f t="shared" ca="1" si="14"/>
        <v>0</v>
      </c>
      <c r="AA208">
        <f t="shared" ca="1" si="14"/>
        <v>0</v>
      </c>
      <c r="AB208">
        <f t="shared" ca="1" si="14"/>
        <v>81</v>
      </c>
      <c r="AC208" s="8">
        <f t="shared" ca="1" si="14"/>
        <v>0.05</v>
      </c>
      <c r="AD208" s="8">
        <f t="shared" ca="1" si="14"/>
        <v>0</v>
      </c>
      <c r="AE208">
        <f t="shared" ca="1" si="14"/>
        <v>0</v>
      </c>
      <c r="AF208">
        <f t="shared" ca="1" si="15"/>
        <v>0</v>
      </c>
      <c r="AG208">
        <f t="shared" ca="1" si="15"/>
        <v>0</v>
      </c>
      <c r="AH208" s="8">
        <f t="shared" ca="1" si="15"/>
        <v>0</v>
      </c>
      <c r="AI208">
        <f t="shared" ca="1" si="15"/>
        <v>0</v>
      </c>
      <c r="AJ208">
        <f t="shared" ca="1" si="15"/>
        <v>0</v>
      </c>
      <c r="AK208">
        <f t="shared" ca="1" si="15"/>
        <v>0</v>
      </c>
      <c r="AL208">
        <f t="shared" ca="1" si="15"/>
        <v>0</v>
      </c>
      <c r="AM208" s="8">
        <f t="shared" ca="1" si="15"/>
        <v>0</v>
      </c>
      <c r="AN208">
        <f t="shared" ca="1" si="15"/>
        <v>0</v>
      </c>
    </row>
    <row r="209" spans="1:40" x14ac:dyDescent="0.2">
      <c r="A209" t="str">
        <f>Augments!A22</f>
        <v>Taeon Chapeau (Custom 1)</v>
      </c>
      <c r="B209">
        <f t="shared" ca="1" si="12"/>
        <v>0</v>
      </c>
      <c r="C209">
        <f t="shared" ca="1" si="12"/>
        <v>0</v>
      </c>
      <c r="D209">
        <f t="shared" ca="1" si="12"/>
        <v>0</v>
      </c>
      <c r="E209">
        <f t="shared" ca="1" si="12"/>
        <v>0</v>
      </c>
      <c r="F209">
        <f t="shared" ca="1" si="12"/>
        <v>0</v>
      </c>
      <c r="G209">
        <f t="shared" ca="1" si="12"/>
        <v>16</v>
      </c>
      <c r="H209">
        <f t="shared" ca="1" si="12"/>
        <v>23</v>
      </c>
      <c r="I209">
        <f t="shared" ca="1" si="12"/>
        <v>16</v>
      </c>
      <c r="J209">
        <f t="shared" ca="1" si="12"/>
        <v>23</v>
      </c>
      <c r="K209">
        <f t="shared" ca="1" si="12"/>
        <v>16</v>
      </c>
      <c r="L209">
        <f t="shared" ca="1" si="13"/>
        <v>16</v>
      </c>
      <c r="M209">
        <f t="shared" ca="1" si="13"/>
        <v>17</v>
      </c>
      <c r="N209">
        <f t="shared" ca="1" si="13"/>
        <v>10</v>
      </c>
      <c r="O209">
        <f t="shared" ca="1" si="13"/>
        <v>20</v>
      </c>
      <c r="P209" s="8">
        <f t="shared" ca="1" si="13"/>
        <v>0</v>
      </c>
      <c r="Q209">
        <f t="shared" ca="1" si="13"/>
        <v>10</v>
      </c>
      <c r="R209">
        <f t="shared" ca="1" si="13"/>
        <v>0</v>
      </c>
      <c r="S209">
        <f t="shared" ca="1" si="13"/>
        <v>0</v>
      </c>
      <c r="T209">
        <f t="shared" ca="1" si="13"/>
        <v>0</v>
      </c>
      <c r="U209">
        <f t="shared" ca="1" si="13"/>
        <v>0</v>
      </c>
      <c r="V209" s="8">
        <f t="shared" ca="1" si="14"/>
        <v>0</v>
      </c>
      <c r="W209" s="8">
        <f t="shared" ca="1" si="14"/>
        <v>0</v>
      </c>
      <c r="X209" s="8">
        <f t="shared" ca="1" si="14"/>
        <v>0</v>
      </c>
      <c r="Y209" s="8">
        <f t="shared" ca="1" si="14"/>
        <v>0</v>
      </c>
      <c r="Z209" s="8">
        <f t="shared" ca="1" si="14"/>
        <v>0</v>
      </c>
      <c r="AA209">
        <f t="shared" ca="1" si="14"/>
        <v>0</v>
      </c>
      <c r="AB209">
        <f t="shared" ca="1" si="14"/>
        <v>81</v>
      </c>
      <c r="AC209" s="8">
        <f t="shared" ca="1" si="14"/>
        <v>0.02</v>
      </c>
      <c r="AD209" s="8">
        <f t="shared" ca="1" si="14"/>
        <v>0</v>
      </c>
      <c r="AE209">
        <f t="shared" ca="1" si="14"/>
        <v>0</v>
      </c>
      <c r="AF209">
        <f t="shared" ca="1" si="15"/>
        <v>0</v>
      </c>
      <c r="AG209">
        <f t="shared" ca="1" si="15"/>
        <v>0</v>
      </c>
      <c r="AH209" s="8">
        <f t="shared" ca="1" si="15"/>
        <v>0</v>
      </c>
      <c r="AI209">
        <f t="shared" ca="1" si="15"/>
        <v>0</v>
      </c>
      <c r="AJ209">
        <f t="shared" ca="1" si="15"/>
        <v>0</v>
      </c>
      <c r="AK209">
        <f t="shared" ca="1" si="15"/>
        <v>0</v>
      </c>
      <c r="AL209">
        <f t="shared" ca="1" si="15"/>
        <v>0</v>
      </c>
      <c r="AM209" s="8">
        <f t="shared" ca="1" si="15"/>
        <v>0</v>
      </c>
      <c r="AN209">
        <f t="shared" ca="1" si="15"/>
        <v>0</v>
      </c>
    </row>
    <row r="210" spans="1:40" x14ac:dyDescent="0.2">
      <c r="A210" t="str">
        <f>Augments!A23</f>
        <v>Taeon Chapeau (Custom 2)</v>
      </c>
      <c r="B210">
        <f t="shared" ca="1" si="12"/>
        <v>0</v>
      </c>
      <c r="C210">
        <f t="shared" ca="1" si="12"/>
        <v>0</v>
      </c>
      <c r="D210">
        <f t="shared" ca="1" si="12"/>
        <v>0</v>
      </c>
      <c r="E210">
        <f t="shared" ca="1" si="12"/>
        <v>0</v>
      </c>
      <c r="F210">
        <f t="shared" ca="1" si="12"/>
        <v>0</v>
      </c>
      <c r="G210">
        <f t="shared" ca="1" si="12"/>
        <v>16</v>
      </c>
      <c r="H210">
        <f t="shared" ca="1" si="12"/>
        <v>23</v>
      </c>
      <c r="I210">
        <f t="shared" ca="1" si="12"/>
        <v>16</v>
      </c>
      <c r="J210">
        <f t="shared" ca="1" si="12"/>
        <v>23</v>
      </c>
      <c r="K210">
        <f t="shared" ca="1" si="12"/>
        <v>16</v>
      </c>
      <c r="L210">
        <f t="shared" ca="1" si="13"/>
        <v>16</v>
      </c>
      <c r="M210">
        <f t="shared" ca="1" si="13"/>
        <v>17</v>
      </c>
      <c r="N210">
        <f t="shared" ca="1" si="13"/>
        <v>10</v>
      </c>
      <c r="O210">
        <f t="shared" ca="1" si="13"/>
        <v>20</v>
      </c>
      <c r="P210" s="8">
        <f t="shared" ca="1" si="13"/>
        <v>0</v>
      </c>
      <c r="Q210">
        <f t="shared" ca="1" si="13"/>
        <v>10</v>
      </c>
      <c r="R210">
        <f t="shared" ca="1" si="13"/>
        <v>0</v>
      </c>
      <c r="S210">
        <f t="shared" ca="1" si="13"/>
        <v>0</v>
      </c>
      <c r="T210">
        <f t="shared" ca="1" si="13"/>
        <v>0</v>
      </c>
      <c r="U210">
        <f t="shared" ca="1" si="13"/>
        <v>0</v>
      </c>
      <c r="V210" s="8">
        <f t="shared" ca="1" si="14"/>
        <v>0</v>
      </c>
      <c r="W210" s="8">
        <f t="shared" ca="1" si="14"/>
        <v>0</v>
      </c>
      <c r="X210" s="8">
        <f t="shared" ca="1" si="14"/>
        <v>0</v>
      </c>
      <c r="Y210" s="8">
        <f t="shared" ca="1" si="14"/>
        <v>0</v>
      </c>
      <c r="Z210" s="8">
        <f t="shared" ca="1" si="14"/>
        <v>0</v>
      </c>
      <c r="AA210">
        <f t="shared" ca="1" si="14"/>
        <v>0</v>
      </c>
      <c r="AB210">
        <f t="shared" ca="1" si="14"/>
        <v>81</v>
      </c>
      <c r="AC210" s="8">
        <f t="shared" ca="1" si="14"/>
        <v>0.02</v>
      </c>
      <c r="AD210" s="8">
        <f t="shared" ca="1" si="14"/>
        <v>0</v>
      </c>
      <c r="AE210">
        <f t="shared" ca="1" si="14"/>
        <v>0</v>
      </c>
      <c r="AF210">
        <f t="shared" ca="1" si="15"/>
        <v>0</v>
      </c>
      <c r="AG210">
        <f t="shared" ca="1" si="15"/>
        <v>0</v>
      </c>
      <c r="AH210" s="8">
        <f t="shared" ca="1" si="15"/>
        <v>0</v>
      </c>
      <c r="AI210">
        <f t="shared" ca="1" si="15"/>
        <v>0</v>
      </c>
      <c r="AJ210">
        <f t="shared" ca="1" si="15"/>
        <v>0</v>
      </c>
      <c r="AK210">
        <f t="shared" ca="1" si="15"/>
        <v>0</v>
      </c>
      <c r="AL210">
        <f t="shared" ca="1" si="15"/>
        <v>0</v>
      </c>
      <c r="AM210" s="8">
        <f t="shared" ca="1" si="15"/>
        <v>0</v>
      </c>
      <c r="AN210">
        <f t="shared" ca="1" si="15"/>
        <v>0</v>
      </c>
    </row>
    <row r="211" spans="1:40" x14ac:dyDescent="0.2">
      <c r="A211" s="144" t="s">
        <v>614</v>
      </c>
      <c r="G211">
        <v>24</v>
      </c>
      <c r="H211">
        <v>8</v>
      </c>
      <c r="I211">
        <v>19</v>
      </c>
      <c r="J211">
        <v>14</v>
      </c>
      <c r="K211">
        <v>16</v>
      </c>
      <c r="L211">
        <v>12</v>
      </c>
      <c r="M211">
        <v>14</v>
      </c>
      <c r="N211">
        <v>23</v>
      </c>
      <c r="Q211">
        <v>23</v>
      </c>
      <c r="T211">
        <v>15</v>
      </c>
      <c r="U211">
        <v>15</v>
      </c>
      <c r="V211" s="8"/>
      <c r="W211" s="8"/>
      <c r="X211" s="8"/>
      <c r="Y211" s="8"/>
      <c r="Z211" s="8"/>
      <c r="AA211" s="4"/>
      <c r="AB211" s="11">
        <v>71</v>
      </c>
      <c r="AC211" s="8"/>
      <c r="AD211" s="4"/>
      <c r="AE211" s="8"/>
      <c r="AF211" s="11"/>
      <c r="AG211" s="8"/>
      <c r="AH211" s="4"/>
      <c r="AK211" s="8"/>
      <c r="AL211" s="8"/>
      <c r="AM211" s="4"/>
      <c r="AN211"/>
    </row>
    <row r="212" spans="1:40" x14ac:dyDescent="0.2">
      <c r="A212" t="s">
        <v>669</v>
      </c>
      <c r="G212">
        <v>28</v>
      </c>
      <c r="H212">
        <v>24</v>
      </c>
      <c r="I212">
        <v>23</v>
      </c>
      <c r="J212">
        <v>18</v>
      </c>
      <c r="K212">
        <v>14</v>
      </c>
      <c r="L212">
        <v>14</v>
      </c>
      <c r="M212">
        <v>14</v>
      </c>
      <c r="N212">
        <v>13</v>
      </c>
      <c r="U212" s="8"/>
      <c r="V212" s="8"/>
      <c r="W212" s="8"/>
      <c r="X212" s="8"/>
      <c r="Y212" s="8"/>
      <c r="Z212" s="8"/>
      <c r="AA212" s="4"/>
      <c r="AB212" s="11">
        <v>71</v>
      </c>
      <c r="AC212" s="8">
        <v>0.02</v>
      </c>
      <c r="AD212" s="4"/>
      <c r="AE212" s="8"/>
      <c r="AF212" s="11">
        <v>3</v>
      </c>
      <c r="AG212" s="8"/>
      <c r="AH212" s="4"/>
      <c r="AK212" s="8"/>
      <c r="AL212" s="8"/>
      <c r="AM212" s="4"/>
      <c r="AN212"/>
    </row>
    <row r="213" spans="1:40" x14ac:dyDescent="0.2">
      <c r="A213" t="str">
        <f>Augments!A24</f>
        <v>Valorous Mask (Custom 1)</v>
      </c>
      <c r="B213">
        <f t="shared" ref="B213:K218" ca="1" si="16">IF(ISBLANK($A213),0,VLOOKUP($A213,INDIRECT(CONCATENATE("Aug",$A$122)),MATCH(B$1,AugStatHeader,0),0)
+VLOOKUP(LEFT($A213,FIND(" (",$A213,1)-1),INDIRECT("BaseAugArmor"),MATCH(B$1,StatHeader,0),0))</f>
        <v>0</v>
      </c>
      <c r="C213">
        <f t="shared" ca="1" si="16"/>
        <v>0</v>
      </c>
      <c r="D213">
        <f t="shared" ca="1" si="16"/>
        <v>0</v>
      </c>
      <c r="E213">
        <f t="shared" ca="1" si="16"/>
        <v>0</v>
      </c>
      <c r="F213">
        <f t="shared" ca="1" si="16"/>
        <v>0</v>
      </c>
      <c r="G213">
        <f t="shared" ca="1" si="16"/>
        <v>28</v>
      </c>
      <c r="H213">
        <f t="shared" ca="1" si="16"/>
        <v>24</v>
      </c>
      <c r="I213">
        <f t="shared" ca="1" si="16"/>
        <v>23</v>
      </c>
      <c r="J213">
        <f t="shared" ca="1" si="16"/>
        <v>18</v>
      </c>
      <c r="K213">
        <f t="shared" ca="1" si="16"/>
        <v>14</v>
      </c>
      <c r="L213">
        <f t="shared" ref="L213:U218" ca="1" si="17">IF(ISBLANK($A213),0,VLOOKUP($A213,INDIRECT(CONCATENATE("Aug",$A$122)),MATCH(L$1,AugStatHeader,0),0)
+VLOOKUP(LEFT($A213,FIND(" (",$A213,1)-1),INDIRECT("BaseAugArmor"),MATCH(L$1,StatHeader,0),0))</f>
        <v>14</v>
      </c>
      <c r="M213">
        <f t="shared" ca="1" si="17"/>
        <v>14</v>
      </c>
      <c r="N213">
        <f t="shared" ca="1" si="17"/>
        <v>13</v>
      </c>
      <c r="O213">
        <f t="shared" ca="1" si="17"/>
        <v>0</v>
      </c>
      <c r="P213" s="8">
        <f t="shared" ca="1" si="17"/>
        <v>0</v>
      </c>
      <c r="Q213">
        <f t="shared" ca="1" si="17"/>
        <v>0</v>
      </c>
      <c r="R213">
        <f t="shared" ca="1" si="17"/>
        <v>0</v>
      </c>
      <c r="S213">
        <f t="shared" ca="1" si="17"/>
        <v>0</v>
      </c>
      <c r="T213">
        <f t="shared" ca="1" si="17"/>
        <v>0</v>
      </c>
      <c r="U213">
        <f t="shared" ca="1" si="17"/>
        <v>0</v>
      </c>
      <c r="V213" s="8">
        <f t="shared" ref="V213:AE218" ca="1" si="18">IF(ISBLANK($A213),0,VLOOKUP($A213,INDIRECT(CONCATENATE("Aug",$A$122)),MATCH(V$1,AugStatHeader,0),0)
+VLOOKUP(LEFT($A213,FIND(" (",$A213,1)-1),INDIRECT("BaseAugArmor"),MATCH(V$1,StatHeader,0),0))</f>
        <v>0</v>
      </c>
      <c r="W213" s="8">
        <f t="shared" ca="1" si="18"/>
        <v>0</v>
      </c>
      <c r="X213" s="8">
        <f t="shared" ca="1" si="18"/>
        <v>0</v>
      </c>
      <c r="Y213" s="8">
        <f t="shared" ca="1" si="18"/>
        <v>0</v>
      </c>
      <c r="Z213" s="8">
        <f t="shared" ca="1" si="18"/>
        <v>0</v>
      </c>
      <c r="AA213">
        <f t="shared" ca="1" si="18"/>
        <v>0</v>
      </c>
      <c r="AB213">
        <f t="shared" ca="1" si="18"/>
        <v>71</v>
      </c>
      <c r="AC213" s="8">
        <f t="shared" ca="1" si="18"/>
        <v>0.02</v>
      </c>
      <c r="AD213" s="8">
        <f t="shared" ca="1" si="18"/>
        <v>0</v>
      </c>
      <c r="AE213">
        <f t="shared" ca="1" si="18"/>
        <v>0</v>
      </c>
      <c r="AF213">
        <f t="shared" ref="AF213:AN218" ca="1" si="19">IF(ISBLANK($A213),0,VLOOKUP($A213,INDIRECT(CONCATENATE("Aug",$A$122)),MATCH(AF$1,AugStatHeader,0),0)
+VLOOKUP(LEFT($A213,FIND(" (",$A213,1)-1),INDIRECT("BaseAugArmor"),MATCH(AF$1,StatHeader,0),0))</f>
        <v>3</v>
      </c>
      <c r="AG213">
        <f t="shared" ca="1" si="19"/>
        <v>0</v>
      </c>
      <c r="AH213" s="8">
        <f t="shared" ca="1" si="19"/>
        <v>0</v>
      </c>
      <c r="AI213">
        <f t="shared" ca="1" si="19"/>
        <v>0</v>
      </c>
      <c r="AJ213">
        <f t="shared" ca="1" si="19"/>
        <v>0</v>
      </c>
      <c r="AK213">
        <f t="shared" ca="1" si="19"/>
        <v>0</v>
      </c>
      <c r="AL213">
        <f t="shared" ca="1" si="19"/>
        <v>0</v>
      </c>
      <c r="AM213" s="8">
        <f t="shared" ca="1" si="19"/>
        <v>0</v>
      </c>
      <c r="AN213">
        <f t="shared" ca="1" si="19"/>
        <v>0</v>
      </c>
    </row>
    <row r="214" spans="1:40" x14ac:dyDescent="0.2">
      <c r="A214" t="str">
        <f>Augments!A25</f>
        <v>Valorous Mask (Custom 2)</v>
      </c>
      <c r="B214">
        <f t="shared" ca="1" si="16"/>
        <v>0</v>
      </c>
      <c r="C214">
        <f t="shared" ca="1" si="16"/>
        <v>0</v>
      </c>
      <c r="D214">
        <f t="shared" ca="1" si="16"/>
        <v>0</v>
      </c>
      <c r="E214">
        <f t="shared" ca="1" si="16"/>
        <v>0</v>
      </c>
      <c r="F214">
        <f t="shared" ca="1" si="16"/>
        <v>0</v>
      </c>
      <c r="G214">
        <f t="shared" ca="1" si="16"/>
        <v>28</v>
      </c>
      <c r="H214">
        <f t="shared" ca="1" si="16"/>
        <v>24</v>
      </c>
      <c r="I214">
        <f t="shared" ca="1" si="16"/>
        <v>23</v>
      </c>
      <c r="J214">
        <f t="shared" ca="1" si="16"/>
        <v>18</v>
      </c>
      <c r="K214">
        <f t="shared" ca="1" si="16"/>
        <v>14</v>
      </c>
      <c r="L214">
        <f t="shared" ca="1" si="17"/>
        <v>14</v>
      </c>
      <c r="M214">
        <f t="shared" ca="1" si="17"/>
        <v>14</v>
      </c>
      <c r="N214">
        <f t="shared" ca="1" si="17"/>
        <v>13</v>
      </c>
      <c r="O214">
        <f t="shared" ca="1" si="17"/>
        <v>0</v>
      </c>
      <c r="P214" s="8">
        <f t="shared" ca="1" si="17"/>
        <v>0</v>
      </c>
      <c r="Q214">
        <f t="shared" ca="1" si="17"/>
        <v>0</v>
      </c>
      <c r="R214">
        <f t="shared" ca="1" si="17"/>
        <v>0</v>
      </c>
      <c r="S214">
        <f t="shared" ca="1" si="17"/>
        <v>0</v>
      </c>
      <c r="T214">
        <f t="shared" ca="1" si="17"/>
        <v>0</v>
      </c>
      <c r="U214">
        <f t="shared" ca="1" si="17"/>
        <v>0</v>
      </c>
      <c r="V214" s="8">
        <f t="shared" ca="1" si="18"/>
        <v>0</v>
      </c>
      <c r="W214" s="8">
        <f t="shared" ca="1" si="18"/>
        <v>0</v>
      </c>
      <c r="X214" s="8">
        <f t="shared" ca="1" si="18"/>
        <v>0</v>
      </c>
      <c r="Y214" s="8">
        <f t="shared" ca="1" si="18"/>
        <v>0</v>
      </c>
      <c r="Z214" s="8">
        <f t="shared" ca="1" si="18"/>
        <v>0</v>
      </c>
      <c r="AA214">
        <f t="shared" ca="1" si="18"/>
        <v>0</v>
      </c>
      <c r="AB214">
        <f t="shared" ca="1" si="18"/>
        <v>71</v>
      </c>
      <c r="AC214" s="8">
        <f t="shared" ca="1" si="18"/>
        <v>0.02</v>
      </c>
      <c r="AD214" s="8">
        <f t="shared" ca="1" si="18"/>
        <v>0</v>
      </c>
      <c r="AE214">
        <f t="shared" ca="1" si="18"/>
        <v>0</v>
      </c>
      <c r="AF214">
        <f t="shared" ca="1" si="19"/>
        <v>3</v>
      </c>
      <c r="AG214">
        <f t="shared" ca="1" si="19"/>
        <v>0</v>
      </c>
      <c r="AH214" s="8">
        <f t="shared" ca="1" si="19"/>
        <v>0</v>
      </c>
      <c r="AI214">
        <f t="shared" ca="1" si="19"/>
        <v>0</v>
      </c>
      <c r="AJ214">
        <f t="shared" ca="1" si="19"/>
        <v>0</v>
      </c>
      <c r="AK214">
        <f t="shared" ca="1" si="19"/>
        <v>0</v>
      </c>
      <c r="AL214">
        <f t="shared" ca="1" si="19"/>
        <v>0</v>
      </c>
      <c r="AM214" s="8">
        <f t="shared" ca="1" si="19"/>
        <v>0</v>
      </c>
      <c r="AN214">
        <f t="shared" ca="1" si="19"/>
        <v>0</v>
      </c>
    </row>
    <row r="215" spans="1:40" x14ac:dyDescent="0.2">
      <c r="A215" t="str">
        <f>Augments!A26</f>
        <v>Valorous Mask (Custom 3)</v>
      </c>
      <c r="B215">
        <f t="shared" ca="1" si="16"/>
        <v>0</v>
      </c>
      <c r="C215">
        <f t="shared" ca="1" si="16"/>
        <v>0</v>
      </c>
      <c r="D215">
        <f t="shared" ca="1" si="16"/>
        <v>0</v>
      </c>
      <c r="E215">
        <f t="shared" ca="1" si="16"/>
        <v>0</v>
      </c>
      <c r="F215">
        <f t="shared" ca="1" si="16"/>
        <v>0</v>
      </c>
      <c r="G215">
        <f t="shared" ca="1" si="16"/>
        <v>28</v>
      </c>
      <c r="H215">
        <f t="shared" ca="1" si="16"/>
        <v>24</v>
      </c>
      <c r="I215">
        <f t="shared" ca="1" si="16"/>
        <v>23</v>
      </c>
      <c r="J215">
        <f t="shared" ca="1" si="16"/>
        <v>18</v>
      </c>
      <c r="K215">
        <f t="shared" ca="1" si="16"/>
        <v>14</v>
      </c>
      <c r="L215">
        <f t="shared" ca="1" si="17"/>
        <v>14</v>
      </c>
      <c r="M215">
        <f t="shared" ca="1" si="17"/>
        <v>14</v>
      </c>
      <c r="N215">
        <f t="shared" ca="1" si="17"/>
        <v>13</v>
      </c>
      <c r="O215">
        <f t="shared" ca="1" si="17"/>
        <v>0</v>
      </c>
      <c r="P215" s="8">
        <f t="shared" ca="1" si="17"/>
        <v>0</v>
      </c>
      <c r="Q215">
        <f t="shared" ca="1" si="17"/>
        <v>0</v>
      </c>
      <c r="R215">
        <f t="shared" ca="1" si="17"/>
        <v>0</v>
      </c>
      <c r="S215">
        <f t="shared" ca="1" si="17"/>
        <v>0</v>
      </c>
      <c r="T215">
        <f t="shared" ca="1" si="17"/>
        <v>0</v>
      </c>
      <c r="U215">
        <f t="shared" ca="1" si="17"/>
        <v>0</v>
      </c>
      <c r="V215" s="8">
        <f t="shared" ca="1" si="18"/>
        <v>0</v>
      </c>
      <c r="W215" s="8">
        <f t="shared" ca="1" si="18"/>
        <v>0</v>
      </c>
      <c r="X215" s="8">
        <f t="shared" ca="1" si="18"/>
        <v>0</v>
      </c>
      <c r="Y215" s="8">
        <f t="shared" ca="1" si="18"/>
        <v>0</v>
      </c>
      <c r="Z215" s="8">
        <f t="shared" ca="1" si="18"/>
        <v>0</v>
      </c>
      <c r="AA215">
        <f t="shared" ca="1" si="18"/>
        <v>0</v>
      </c>
      <c r="AB215">
        <f t="shared" ca="1" si="18"/>
        <v>71</v>
      </c>
      <c r="AC215" s="8">
        <f t="shared" ca="1" si="18"/>
        <v>0.02</v>
      </c>
      <c r="AD215" s="8">
        <f t="shared" ca="1" si="18"/>
        <v>0</v>
      </c>
      <c r="AE215">
        <f t="shared" ca="1" si="18"/>
        <v>0</v>
      </c>
      <c r="AF215">
        <f t="shared" ca="1" si="19"/>
        <v>3</v>
      </c>
      <c r="AG215">
        <f t="shared" ca="1" si="19"/>
        <v>0</v>
      </c>
      <c r="AH215" s="8">
        <f t="shared" ca="1" si="19"/>
        <v>0</v>
      </c>
      <c r="AI215">
        <f t="shared" ca="1" si="19"/>
        <v>0</v>
      </c>
      <c r="AJ215">
        <f t="shared" ca="1" si="19"/>
        <v>0</v>
      </c>
      <c r="AK215">
        <f t="shared" ca="1" si="19"/>
        <v>0</v>
      </c>
      <c r="AL215">
        <f t="shared" ca="1" si="19"/>
        <v>0</v>
      </c>
      <c r="AM215" s="8">
        <f t="shared" ca="1" si="19"/>
        <v>0</v>
      </c>
      <c r="AN215">
        <f t="shared" ca="1" si="19"/>
        <v>0</v>
      </c>
    </row>
    <row r="216" spans="1:40" x14ac:dyDescent="0.2">
      <c r="A216" t="str">
        <f>Augments!A27</f>
        <v>Valorous Mask (Custom 4)</v>
      </c>
      <c r="B216">
        <f t="shared" ca="1" si="16"/>
        <v>0</v>
      </c>
      <c r="C216">
        <f t="shared" ca="1" si="16"/>
        <v>0</v>
      </c>
      <c r="D216">
        <f t="shared" ca="1" si="16"/>
        <v>0</v>
      </c>
      <c r="E216">
        <f t="shared" ca="1" si="16"/>
        <v>0</v>
      </c>
      <c r="F216">
        <f t="shared" ca="1" si="16"/>
        <v>0</v>
      </c>
      <c r="G216">
        <f t="shared" ca="1" si="16"/>
        <v>28</v>
      </c>
      <c r="H216">
        <f t="shared" ca="1" si="16"/>
        <v>24</v>
      </c>
      <c r="I216">
        <f t="shared" ca="1" si="16"/>
        <v>23</v>
      </c>
      <c r="J216">
        <f t="shared" ca="1" si="16"/>
        <v>18</v>
      </c>
      <c r="K216">
        <f t="shared" ca="1" si="16"/>
        <v>14</v>
      </c>
      <c r="L216">
        <f t="shared" ca="1" si="17"/>
        <v>14</v>
      </c>
      <c r="M216">
        <f t="shared" ca="1" si="17"/>
        <v>14</v>
      </c>
      <c r="N216">
        <f t="shared" ca="1" si="17"/>
        <v>13</v>
      </c>
      <c r="O216">
        <f t="shared" ca="1" si="17"/>
        <v>0</v>
      </c>
      <c r="P216" s="8">
        <f t="shared" ca="1" si="17"/>
        <v>0</v>
      </c>
      <c r="Q216">
        <f t="shared" ca="1" si="17"/>
        <v>0</v>
      </c>
      <c r="R216">
        <f t="shared" ca="1" si="17"/>
        <v>0</v>
      </c>
      <c r="S216">
        <f t="shared" ca="1" si="17"/>
        <v>0</v>
      </c>
      <c r="T216">
        <f t="shared" ca="1" si="17"/>
        <v>0</v>
      </c>
      <c r="U216">
        <f t="shared" ca="1" si="17"/>
        <v>0</v>
      </c>
      <c r="V216" s="8">
        <f t="shared" ca="1" si="18"/>
        <v>0</v>
      </c>
      <c r="W216" s="8">
        <f t="shared" ca="1" si="18"/>
        <v>0</v>
      </c>
      <c r="X216" s="8">
        <f t="shared" ca="1" si="18"/>
        <v>0</v>
      </c>
      <c r="Y216" s="8">
        <f t="shared" ca="1" si="18"/>
        <v>0</v>
      </c>
      <c r="Z216" s="8">
        <f t="shared" ca="1" si="18"/>
        <v>0</v>
      </c>
      <c r="AA216">
        <f t="shared" ca="1" si="18"/>
        <v>0</v>
      </c>
      <c r="AB216">
        <f t="shared" ca="1" si="18"/>
        <v>71</v>
      </c>
      <c r="AC216" s="8">
        <f t="shared" ca="1" si="18"/>
        <v>0.02</v>
      </c>
      <c r="AD216" s="8">
        <f t="shared" ca="1" si="18"/>
        <v>0</v>
      </c>
      <c r="AE216">
        <f t="shared" ca="1" si="18"/>
        <v>0</v>
      </c>
      <c r="AF216">
        <f t="shared" ca="1" si="19"/>
        <v>3</v>
      </c>
      <c r="AG216">
        <f t="shared" ca="1" si="19"/>
        <v>0</v>
      </c>
      <c r="AH216" s="8">
        <f t="shared" ca="1" si="19"/>
        <v>0</v>
      </c>
      <c r="AI216">
        <f t="shared" ca="1" si="19"/>
        <v>0</v>
      </c>
      <c r="AJ216">
        <f t="shared" ca="1" si="19"/>
        <v>0</v>
      </c>
      <c r="AK216">
        <f t="shared" ca="1" si="19"/>
        <v>0</v>
      </c>
      <c r="AL216">
        <f t="shared" ca="1" si="19"/>
        <v>0</v>
      </c>
      <c r="AM216" s="8">
        <f t="shared" ca="1" si="19"/>
        <v>0</v>
      </c>
      <c r="AN216">
        <f t="shared" ca="1" si="19"/>
        <v>0</v>
      </c>
    </row>
    <row r="217" spans="1:40" x14ac:dyDescent="0.2">
      <c r="A217" t="str">
        <f>Augments!A28</f>
        <v>Valorous Mask (Custom 5)</v>
      </c>
      <c r="B217">
        <f t="shared" ca="1" si="16"/>
        <v>0</v>
      </c>
      <c r="C217">
        <f t="shared" ca="1" si="16"/>
        <v>0</v>
      </c>
      <c r="D217">
        <f t="shared" ca="1" si="16"/>
        <v>0</v>
      </c>
      <c r="E217">
        <f t="shared" ca="1" si="16"/>
        <v>0</v>
      </c>
      <c r="F217">
        <f t="shared" ca="1" si="16"/>
        <v>0</v>
      </c>
      <c r="G217">
        <f t="shared" ca="1" si="16"/>
        <v>28</v>
      </c>
      <c r="H217">
        <f t="shared" ca="1" si="16"/>
        <v>24</v>
      </c>
      <c r="I217">
        <f t="shared" ca="1" si="16"/>
        <v>23</v>
      </c>
      <c r="J217">
        <f t="shared" ca="1" si="16"/>
        <v>18</v>
      </c>
      <c r="K217">
        <f t="shared" ca="1" si="16"/>
        <v>14</v>
      </c>
      <c r="L217">
        <f t="shared" ca="1" si="17"/>
        <v>14</v>
      </c>
      <c r="M217">
        <f t="shared" ca="1" si="17"/>
        <v>14</v>
      </c>
      <c r="N217">
        <f t="shared" ca="1" si="17"/>
        <v>13</v>
      </c>
      <c r="O217">
        <f t="shared" ca="1" si="17"/>
        <v>0</v>
      </c>
      <c r="P217" s="8">
        <f t="shared" ca="1" si="17"/>
        <v>0</v>
      </c>
      <c r="Q217">
        <f t="shared" ca="1" si="17"/>
        <v>0</v>
      </c>
      <c r="R217">
        <f t="shared" ca="1" si="17"/>
        <v>0</v>
      </c>
      <c r="S217">
        <f t="shared" ca="1" si="17"/>
        <v>0</v>
      </c>
      <c r="T217">
        <f t="shared" ca="1" si="17"/>
        <v>0</v>
      </c>
      <c r="U217">
        <f t="shared" ca="1" si="17"/>
        <v>0</v>
      </c>
      <c r="V217" s="8">
        <f t="shared" ca="1" si="18"/>
        <v>0</v>
      </c>
      <c r="W217" s="8">
        <f t="shared" ca="1" si="18"/>
        <v>0</v>
      </c>
      <c r="X217" s="8">
        <f t="shared" ca="1" si="18"/>
        <v>0</v>
      </c>
      <c r="Y217" s="8">
        <f t="shared" ca="1" si="18"/>
        <v>0</v>
      </c>
      <c r="Z217" s="8">
        <f t="shared" ca="1" si="18"/>
        <v>0</v>
      </c>
      <c r="AA217">
        <f t="shared" ca="1" si="18"/>
        <v>0</v>
      </c>
      <c r="AB217">
        <f t="shared" ca="1" si="18"/>
        <v>71</v>
      </c>
      <c r="AC217" s="8">
        <f t="shared" ca="1" si="18"/>
        <v>0.02</v>
      </c>
      <c r="AD217" s="8">
        <f t="shared" ca="1" si="18"/>
        <v>0</v>
      </c>
      <c r="AE217">
        <f t="shared" ca="1" si="18"/>
        <v>0</v>
      </c>
      <c r="AF217">
        <f t="shared" ca="1" si="19"/>
        <v>3</v>
      </c>
      <c r="AG217">
        <f t="shared" ca="1" si="19"/>
        <v>0</v>
      </c>
      <c r="AH217" s="8">
        <f t="shared" ca="1" si="19"/>
        <v>0</v>
      </c>
      <c r="AI217">
        <f t="shared" ca="1" si="19"/>
        <v>0</v>
      </c>
      <c r="AJ217">
        <f t="shared" ca="1" si="19"/>
        <v>0</v>
      </c>
      <c r="AK217">
        <f t="shared" ca="1" si="19"/>
        <v>0</v>
      </c>
      <c r="AL217">
        <f t="shared" ca="1" si="19"/>
        <v>0</v>
      </c>
      <c r="AM217" s="8">
        <f t="shared" ca="1" si="19"/>
        <v>0</v>
      </c>
      <c r="AN217">
        <f t="shared" ca="1" si="19"/>
        <v>0</v>
      </c>
    </row>
    <row r="218" spans="1:40" x14ac:dyDescent="0.2">
      <c r="A218" t="str">
        <f>Augments!A29</f>
        <v>Valorous Mask (Custom 6)</v>
      </c>
      <c r="B218">
        <f t="shared" ca="1" si="16"/>
        <v>0</v>
      </c>
      <c r="C218">
        <f t="shared" ca="1" si="16"/>
        <v>0</v>
      </c>
      <c r="D218">
        <f t="shared" ca="1" si="16"/>
        <v>0</v>
      </c>
      <c r="E218">
        <f t="shared" ca="1" si="16"/>
        <v>0</v>
      </c>
      <c r="F218">
        <f t="shared" ca="1" si="16"/>
        <v>0</v>
      </c>
      <c r="G218">
        <f t="shared" ca="1" si="16"/>
        <v>28</v>
      </c>
      <c r="H218">
        <f t="shared" ca="1" si="16"/>
        <v>24</v>
      </c>
      <c r="I218">
        <f t="shared" ca="1" si="16"/>
        <v>23</v>
      </c>
      <c r="J218">
        <f t="shared" ca="1" si="16"/>
        <v>18</v>
      </c>
      <c r="K218">
        <f t="shared" ca="1" si="16"/>
        <v>14</v>
      </c>
      <c r="L218">
        <f t="shared" ca="1" si="17"/>
        <v>14</v>
      </c>
      <c r="M218">
        <f t="shared" ca="1" si="17"/>
        <v>14</v>
      </c>
      <c r="N218">
        <f t="shared" ca="1" si="17"/>
        <v>13</v>
      </c>
      <c r="O218">
        <f t="shared" ca="1" si="17"/>
        <v>0</v>
      </c>
      <c r="P218" s="8">
        <f t="shared" ca="1" si="17"/>
        <v>0</v>
      </c>
      <c r="Q218">
        <f t="shared" ca="1" si="17"/>
        <v>0</v>
      </c>
      <c r="R218">
        <f t="shared" ca="1" si="17"/>
        <v>0</v>
      </c>
      <c r="S218">
        <f t="shared" ca="1" si="17"/>
        <v>0</v>
      </c>
      <c r="T218">
        <f t="shared" ca="1" si="17"/>
        <v>0</v>
      </c>
      <c r="U218">
        <f t="shared" ca="1" si="17"/>
        <v>0</v>
      </c>
      <c r="V218" s="8">
        <f t="shared" ca="1" si="18"/>
        <v>0</v>
      </c>
      <c r="W218" s="8">
        <f t="shared" ca="1" si="18"/>
        <v>0</v>
      </c>
      <c r="X218" s="8">
        <f t="shared" ca="1" si="18"/>
        <v>0</v>
      </c>
      <c r="Y218" s="8">
        <f t="shared" ca="1" si="18"/>
        <v>0</v>
      </c>
      <c r="Z218" s="8">
        <f t="shared" ca="1" si="18"/>
        <v>0</v>
      </c>
      <c r="AA218">
        <f t="shared" ca="1" si="18"/>
        <v>0</v>
      </c>
      <c r="AB218">
        <f t="shared" ca="1" si="18"/>
        <v>71</v>
      </c>
      <c r="AC218" s="8">
        <f t="shared" ca="1" si="18"/>
        <v>0.02</v>
      </c>
      <c r="AD218" s="8">
        <f t="shared" ca="1" si="18"/>
        <v>0</v>
      </c>
      <c r="AE218">
        <f t="shared" ca="1" si="18"/>
        <v>0</v>
      </c>
      <c r="AF218">
        <f t="shared" ca="1" si="19"/>
        <v>3</v>
      </c>
      <c r="AG218">
        <f t="shared" ca="1" si="19"/>
        <v>0</v>
      </c>
      <c r="AH218" s="8">
        <f t="shared" ca="1" si="19"/>
        <v>0</v>
      </c>
      <c r="AI218">
        <f t="shared" ca="1" si="19"/>
        <v>0</v>
      </c>
      <c r="AJ218">
        <f t="shared" ca="1" si="19"/>
        <v>0</v>
      </c>
      <c r="AK218">
        <f t="shared" ca="1" si="19"/>
        <v>0</v>
      </c>
      <c r="AL218">
        <f t="shared" ca="1" si="19"/>
        <v>0</v>
      </c>
      <c r="AM218" s="8">
        <f t="shared" ca="1" si="19"/>
        <v>0</v>
      </c>
      <c r="AN218">
        <f t="shared" ca="1" si="19"/>
        <v>0</v>
      </c>
    </row>
    <row r="219" spans="1:40" x14ac:dyDescent="0.2">
      <c r="A219" t="s">
        <v>615</v>
      </c>
      <c r="G219">
        <v>20</v>
      </c>
      <c r="H219">
        <v>14</v>
      </c>
      <c r="I219">
        <v>19</v>
      </c>
      <c r="J219">
        <v>14</v>
      </c>
      <c r="K219">
        <v>13</v>
      </c>
      <c r="L219">
        <v>16</v>
      </c>
      <c r="M219">
        <v>13</v>
      </c>
      <c r="O219">
        <v>17</v>
      </c>
      <c r="U219" s="8"/>
      <c r="V219" s="8"/>
      <c r="W219" s="8"/>
      <c r="X219" s="8"/>
      <c r="Y219" s="8"/>
      <c r="AA219" s="4"/>
      <c r="AB219" s="11">
        <v>61</v>
      </c>
      <c r="AC219" s="8"/>
      <c r="AD219" s="4"/>
      <c r="AE219" s="8"/>
      <c r="AF219" s="11"/>
      <c r="AG219" s="8"/>
      <c r="AH219" s="4"/>
      <c r="AK219" s="8"/>
      <c r="AL219" s="8"/>
      <c r="AM219" s="4"/>
      <c r="AN219"/>
    </row>
    <row r="220" spans="1:40" x14ac:dyDescent="0.2">
      <c r="A220" t="s">
        <v>616</v>
      </c>
      <c r="G220">
        <v>27</v>
      </c>
      <c r="H220">
        <v>20</v>
      </c>
      <c r="I220">
        <v>25</v>
      </c>
      <c r="J220">
        <v>20</v>
      </c>
      <c r="K220">
        <v>19</v>
      </c>
      <c r="L220">
        <v>22</v>
      </c>
      <c r="M220">
        <v>19</v>
      </c>
      <c r="O220">
        <v>22</v>
      </c>
      <c r="U220" s="8"/>
      <c r="V220" s="8"/>
      <c r="W220" s="8"/>
      <c r="X220" s="8"/>
      <c r="Y220" s="8"/>
      <c r="AA220" s="4"/>
      <c r="AB220" s="11">
        <v>71</v>
      </c>
      <c r="AC220" s="8"/>
      <c r="AD220" s="4"/>
      <c r="AE220" s="8"/>
      <c r="AF220" s="11"/>
      <c r="AG220" s="8"/>
      <c r="AH220" s="4"/>
      <c r="AK220" s="8"/>
      <c r="AL220" s="8"/>
      <c r="AM220" s="4"/>
      <c r="AN220"/>
    </row>
    <row r="221" spans="1:40" x14ac:dyDescent="0.2">
      <c r="A221" t="s">
        <v>1707</v>
      </c>
      <c r="G221">
        <v>32</v>
      </c>
      <c r="H221">
        <v>25</v>
      </c>
      <c r="I221">
        <v>30</v>
      </c>
      <c r="J221">
        <v>25</v>
      </c>
      <c r="K221">
        <v>24</v>
      </c>
      <c r="L221">
        <v>27</v>
      </c>
      <c r="M221">
        <v>24</v>
      </c>
      <c r="N221">
        <v>37</v>
      </c>
      <c r="O221">
        <v>32</v>
      </c>
      <c r="U221" s="8"/>
      <c r="V221" s="8"/>
      <c r="W221" s="8"/>
      <c r="X221" s="8"/>
      <c r="Y221" s="8"/>
      <c r="AA221" s="4"/>
      <c r="AB221" s="11">
        <v>71</v>
      </c>
      <c r="AC221" s="8"/>
      <c r="AD221" s="4"/>
      <c r="AE221" s="8"/>
      <c r="AF221" s="11"/>
      <c r="AG221" s="8"/>
      <c r="AH221" s="4"/>
      <c r="AK221" s="8"/>
      <c r="AL221" s="8"/>
      <c r="AM221" s="4"/>
      <c r="AN221"/>
    </row>
    <row r="222" spans="1:40" x14ac:dyDescent="0.2">
      <c r="A222" t="s">
        <v>1708</v>
      </c>
      <c r="G222">
        <v>37</v>
      </c>
      <c r="H222">
        <v>30</v>
      </c>
      <c r="I222">
        <v>35</v>
      </c>
      <c r="J222">
        <v>30</v>
      </c>
      <c r="K222">
        <v>29</v>
      </c>
      <c r="L222">
        <v>32</v>
      </c>
      <c r="M222">
        <v>29</v>
      </c>
      <c r="N222">
        <v>47</v>
      </c>
      <c r="O222">
        <v>42</v>
      </c>
      <c r="U222" s="8"/>
      <c r="V222" s="8"/>
      <c r="W222" s="8"/>
      <c r="X222" s="8"/>
      <c r="Y222" s="8"/>
      <c r="AA222" s="4"/>
      <c r="AB222" s="11">
        <v>71</v>
      </c>
      <c r="AC222" s="8"/>
      <c r="AD222" s="4"/>
      <c r="AE222" s="8"/>
      <c r="AF222" s="11"/>
      <c r="AG222" s="8"/>
      <c r="AH222" s="4"/>
      <c r="AK222" s="8"/>
      <c r="AL222" s="8"/>
      <c r="AM222" s="4"/>
      <c r="AN222"/>
    </row>
    <row r="223" spans="1:40" x14ac:dyDescent="0.2">
      <c r="A223" t="s">
        <v>756</v>
      </c>
      <c r="G223">
        <v>20</v>
      </c>
      <c r="H223">
        <v>14</v>
      </c>
      <c r="I223">
        <v>20</v>
      </c>
      <c r="J223">
        <v>14</v>
      </c>
      <c r="K223">
        <v>12</v>
      </c>
      <c r="L223">
        <v>12</v>
      </c>
      <c r="M223">
        <v>12</v>
      </c>
      <c r="N223">
        <v>15</v>
      </c>
      <c r="O223">
        <v>15</v>
      </c>
      <c r="U223" s="8"/>
      <c r="V223" s="8"/>
      <c r="W223" s="8"/>
      <c r="X223" s="8"/>
      <c r="Y223" s="8"/>
      <c r="AA223" s="4"/>
      <c r="AB223" s="11">
        <v>71</v>
      </c>
      <c r="AC223" s="8"/>
      <c r="AD223" s="4"/>
      <c r="AE223" s="4">
        <v>6</v>
      </c>
      <c r="AF223" s="11"/>
      <c r="AG223" s="8"/>
      <c r="AH223" s="4"/>
      <c r="AK223" s="8"/>
      <c r="AL223" s="8"/>
      <c r="AM223" s="4"/>
      <c r="AN223"/>
    </row>
    <row r="224" spans="1:40" x14ac:dyDescent="0.2">
      <c r="A224" t="s">
        <v>757</v>
      </c>
      <c r="G224">
        <v>20</v>
      </c>
      <c r="H224">
        <v>14</v>
      </c>
      <c r="I224">
        <v>20</v>
      </c>
      <c r="J224">
        <v>14</v>
      </c>
      <c r="K224">
        <v>12</v>
      </c>
      <c r="L224">
        <v>12</v>
      </c>
      <c r="M224">
        <v>12</v>
      </c>
      <c r="N224">
        <v>20</v>
      </c>
      <c r="U224" s="8"/>
      <c r="V224" s="8"/>
      <c r="W224" s="8"/>
      <c r="X224" s="8"/>
      <c r="Y224" s="8"/>
      <c r="AA224" s="4"/>
      <c r="AB224" s="11">
        <v>71</v>
      </c>
      <c r="AC224" s="8"/>
      <c r="AD224" s="4"/>
      <c r="AE224" s="4">
        <v>3</v>
      </c>
      <c r="AF224" s="11"/>
      <c r="AG224" s="8"/>
      <c r="AH224" s="4"/>
      <c r="AK224" s="8"/>
      <c r="AL224" s="8"/>
      <c r="AM224" s="4"/>
      <c r="AN224"/>
    </row>
    <row r="225" spans="1:40" x14ac:dyDescent="0.2">
      <c r="A225" t="s">
        <v>758</v>
      </c>
      <c r="G225">
        <v>27</v>
      </c>
      <c r="H225">
        <v>26</v>
      </c>
      <c r="I225">
        <v>20</v>
      </c>
      <c r="J225">
        <v>14</v>
      </c>
      <c r="K225">
        <v>12</v>
      </c>
      <c r="L225">
        <v>12</v>
      </c>
      <c r="M225">
        <v>12</v>
      </c>
      <c r="N225">
        <v>20</v>
      </c>
      <c r="U225" s="8"/>
      <c r="V225" s="8"/>
      <c r="W225" s="8"/>
      <c r="X225" s="8"/>
      <c r="Y225" s="8"/>
      <c r="AA225" s="4"/>
      <c r="AB225" s="11">
        <v>71</v>
      </c>
      <c r="AC225" s="8"/>
      <c r="AD225" s="4"/>
      <c r="AE225" s="4">
        <v>3</v>
      </c>
      <c r="AF225" s="11"/>
      <c r="AG225" s="8"/>
      <c r="AH225" s="4"/>
      <c r="AK225" s="8"/>
      <c r="AL225" s="8"/>
      <c r="AM225" s="4"/>
      <c r="AN225"/>
    </row>
    <row r="226" spans="1:40" x14ac:dyDescent="0.2">
      <c r="A226" t="s">
        <v>618</v>
      </c>
      <c r="G226">
        <v>25</v>
      </c>
      <c r="H226">
        <v>19</v>
      </c>
      <c r="I226">
        <v>25</v>
      </c>
      <c r="J226">
        <v>19</v>
      </c>
      <c r="K226">
        <v>17</v>
      </c>
      <c r="L226">
        <v>17</v>
      </c>
      <c r="M226">
        <v>17</v>
      </c>
      <c r="N226">
        <v>25</v>
      </c>
      <c r="O226">
        <v>25</v>
      </c>
      <c r="U226" s="8"/>
      <c r="V226" s="8"/>
      <c r="W226" s="8"/>
      <c r="X226" s="8"/>
      <c r="Y226" s="8"/>
      <c r="Z226" s="8"/>
      <c r="AA226" s="4"/>
      <c r="AB226" s="11">
        <v>71</v>
      </c>
      <c r="AC226" s="8"/>
      <c r="AD226" s="4"/>
      <c r="AE226" s="4">
        <v>4</v>
      </c>
      <c r="AF226" s="11"/>
      <c r="AG226" s="8"/>
      <c r="AH226" s="4"/>
      <c r="AK226" s="8"/>
      <c r="AL226" s="8"/>
      <c r="AM226" s="4"/>
      <c r="AN226"/>
    </row>
    <row r="227" spans="1:40" x14ac:dyDescent="0.2">
      <c r="A227" s="144" t="s">
        <v>619</v>
      </c>
      <c r="G227">
        <v>28</v>
      </c>
      <c r="H227">
        <v>21</v>
      </c>
      <c r="I227">
        <v>27</v>
      </c>
      <c r="J227">
        <v>19</v>
      </c>
      <c r="K227">
        <v>15</v>
      </c>
      <c r="L227">
        <v>15</v>
      </c>
      <c r="M227">
        <v>15</v>
      </c>
      <c r="N227">
        <v>45</v>
      </c>
      <c r="U227" s="8"/>
      <c r="V227" s="8"/>
      <c r="W227" s="8"/>
      <c r="X227" s="8"/>
      <c r="Y227" s="8"/>
      <c r="Z227" s="8"/>
      <c r="AA227" s="4"/>
      <c r="AB227" s="11">
        <v>71</v>
      </c>
      <c r="AC227" s="8"/>
      <c r="AD227" s="4"/>
      <c r="AE227" s="8"/>
      <c r="AF227" s="11"/>
      <c r="AG227" s="8"/>
      <c r="AH227" s="4"/>
      <c r="AK227" s="8"/>
      <c r="AL227" s="8"/>
      <c r="AM227" s="4"/>
      <c r="AN227"/>
    </row>
    <row r="228" spans="1:40" x14ac:dyDescent="0.2">
      <c r="AF228" s="11"/>
    </row>
    <row r="230" spans="1:40" s="1" customFormat="1" x14ac:dyDescent="0.2">
      <c r="A230" s="1" t="s">
        <v>89</v>
      </c>
      <c r="B230" s="1" t="s">
        <v>72</v>
      </c>
      <c r="C230" s="1" t="s">
        <v>482</v>
      </c>
      <c r="D230" s="1" t="s">
        <v>483</v>
      </c>
      <c r="E230" s="1" t="s">
        <v>484</v>
      </c>
      <c r="F230" s="1" t="s">
        <v>492</v>
      </c>
      <c r="G230" s="1" t="s">
        <v>26</v>
      </c>
      <c r="H230" s="1" t="s">
        <v>27</v>
      </c>
      <c r="I230" s="1" t="s">
        <v>23</v>
      </c>
      <c r="J230" s="1" t="s">
        <v>25</v>
      </c>
      <c r="K230" s="1" t="s">
        <v>298</v>
      </c>
      <c r="L230" s="1" t="s">
        <v>299</v>
      </c>
      <c r="M230" s="1" t="s">
        <v>300</v>
      </c>
      <c r="N230" s="1" t="s">
        <v>74</v>
      </c>
      <c r="O230" s="1" t="s">
        <v>73</v>
      </c>
      <c r="P230" s="1" t="s">
        <v>375</v>
      </c>
      <c r="Q230" s="1" t="s">
        <v>553</v>
      </c>
      <c r="R230" s="1" t="s">
        <v>554</v>
      </c>
      <c r="S230" s="1" t="s">
        <v>555</v>
      </c>
      <c r="T230" s="213" t="s">
        <v>556</v>
      </c>
      <c r="U230" s="213" t="s">
        <v>557</v>
      </c>
      <c r="V230" s="1" t="s">
        <v>75</v>
      </c>
      <c r="W230" s="1" t="s">
        <v>76</v>
      </c>
      <c r="X230" s="1" t="s">
        <v>77</v>
      </c>
      <c r="Y230" s="1" t="s">
        <v>480</v>
      </c>
      <c r="Z230" s="1" t="s">
        <v>80</v>
      </c>
      <c r="AA230" s="1" t="s">
        <v>481</v>
      </c>
      <c r="AB230" s="1" t="s">
        <v>28</v>
      </c>
      <c r="AC230" s="1" t="s">
        <v>78</v>
      </c>
      <c r="AD230" s="1" t="s">
        <v>79</v>
      </c>
      <c r="AE230" s="213" t="s">
        <v>82</v>
      </c>
      <c r="AF230" s="1" t="s">
        <v>81</v>
      </c>
      <c r="AG230" s="1" t="s">
        <v>102</v>
      </c>
      <c r="AH230" s="1" t="s">
        <v>103</v>
      </c>
      <c r="AI230" s="213" t="s">
        <v>452</v>
      </c>
      <c r="AJ230" s="213" t="s">
        <v>453</v>
      </c>
      <c r="AK230" s="213" t="s">
        <v>440</v>
      </c>
      <c r="AL230" s="1" t="s">
        <v>349</v>
      </c>
      <c r="AM230" s="1" t="s">
        <v>524</v>
      </c>
      <c r="AN230" s="213" t="s">
        <v>109</v>
      </c>
    </row>
    <row r="231" spans="1:40" x14ac:dyDescent="0.2">
      <c r="A231" t="s">
        <v>245</v>
      </c>
    </row>
    <row r="232" spans="1:40" x14ac:dyDescent="0.2">
      <c r="A232" t="s">
        <v>1066</v>
      </c>
      <c r="N232">
        <v>8</v>
      </c>
      <c r="O232">
        <v>8</v>
      </c>
    </row>
    <row r="233" spans="1:40" x14ac:dyDescent="0.2">
      <c r="A233" t="s">
        <v>1065</v>
      </c>
      <c r="N233">
        <v>-10</v>
      </c>
      <c r="Q233">
        <v>-10</v>
      </c>
      <c r="AE233" s="4">
        <v>8</v>
      </c>
    </row>
    <row r="234" spans="1:40" x14ac:dyDescent="0.2">
      <c r="A234" t="s">
        <v>1068</v>
      </c>
      <c r="AE234" s="4">
        <v>2</v>
      </c>
    </row>
    <row r="235" spans="1:40" x14ac:dyDescent="0.2">
      <c r="A235" t="s">
        <v>1717</v>
      </c>
      <c r="O235">
        <v>20</v>
      </c>
      <c r="AE235" s="4">
        <v>7</v>
      </c>
    </row>
    <row r="236" spans="1:40" x14ac:dyDescent="0.2">
      <c r="A236" t="s">
        <v>1069</v>
      </c>
      <c r="I236">
        <v>9</v>
      </c>
    </row>
    <row r="237" spans="1:40" x14ac:dyDescent="0.2">
      <c r="A237" t="s">
        <v>1067</v>
      </c>
      <c r="O237">
        <v>8</v>
      </c>
      <c r="V237" s="8">
        <v>0.02</v>
      </c>
      <c r="AE237" s="4">
        <v>3</v>
      </c>
    </row>
    <row r="238" spans="1:40" x14ac:dyDescent="0.2">
      <c r="A238" t="s">
        <v>1070</v>
      </c>
      <c r="O238">
        <v>8</v>
      </c>
    </row>
    <row r="239" spans="1:40" x14ac:dyDescent="0.2">
      <c r="A239" t="s">
        <v>1063</v>
      </c>
      <c r="G239">
        <v>6</v>
      </c>
      <c r="H239">
        <v>6</v>
      </c>
      <c r="O239">
        <v>10</v>
      </c>
    </row>
    <row r="240" spans="1:40" x14ac:dyDescent="0.2">
      <c r="A240" t="s">
        <v>1058</v>
      </c>
      <c r="G240">
        <v>3</v>
      </c>
      <c r="N240">
        <v>5</v>
      </c>
      <c r="V240" s="8"/>
      <c r="W240" s="8"/>
      <c r="X240" s="8"/>
      <c r="Y240" s="8"/>
      <c r="Z240" s="8"/>
      <c r="AB240" s="4"/>
      <c r="AC240" s="8"/>
      <c r="AD240" s="8"/>
      <c r="AE240" s="4">
        <v>1</v>
      </c>
      <c r="AF240" s="8"/>
      <c r="AG240" s="8"/>
      <c r="AH240" s="8"/>
      <c r="AL240" s="8"/>
      <c r="AM240" s="8"/>
    </row>
    <row r="241" spans="1:40" x14ac:dyDescent="0.2">
      <c r="A241" t="s">
        <v>1064</v>
      </c>
      <c r="N241">
        <v>8</v>
      </c>
      <c r="Q241">
        <v>8</v>
      </c>
      <c r="V241" s="8"/>
      <c r="W241" s="8">
        <v>0.01</v>
      </c>
      <c r="X241" s="8"/>
      <c r="Y241" s="8"/>
      <c r="Z241" s="8"/>
      <c r="AB241" s="4"/>
      <c r="AC241" s="8"/>
      <c r="AD241" s="8"/>
      <c r="AF241" s="8"/>
      <c r="AG241" s="8"/>
      <c r="AH241" s="8"/>
      <c r="AL241" s="8"/>
      <c r="AM241" s="8"/>
    </row>
    <row r="242" spans="1:40" x14ac:dyDescent="0.2">
      <c r="A242" t="s">
        <v>1035</v>
      </c>
      <c r="B242">
        <v>15</v>
      </c>
      <c r="V242" s="8"/>
      <c r="W242" s="8"/>
      <c r="X242" s="8"/>
      <c r="Y242" s="8"/>
      <c r="Z242" s="8"/>
      <c r="AB242" s="4"/>
      <c r="AC242" s="8"/>
      <c r="AD242" s="8"/>
      <c r="AE242" s="4">
        <v>4</v>
      </c>
      <c r="AF242" s="8"/>
      <c r="AG242" s="8"/>
      <c r="AH242" s="8"/>
      <c r="AL242" s="8"/>
      <c r="AM242" s="8"/>
    </row>
    <row r="243" spans="1:40" x14ac:dyDescent="0.2">
      <c r="A243" t="s">
        <v>1061</v>
      </c>
      <c r="N243">
        <v>5</v>
      </c>
      <c r="O243">
        <v>5</v>
      </c>
      <c r="V243" s="8"/>
      <c r="W243" s="8"/>
      <c r="X243" s="8"/>
      <c r="Y243" s="8"/>
      <c r="Z243" s="8"/>
      <c r="AB243" s="4"/>
      <c r="AC243" s="8"/>
      <c r="AD243" s="8"/>
      <c r="AF243" s="8"/>
      <c r="AG243" s="8"/>
      <c r="AH243" s="8"/>
      <c r="AL243" s="8"/>
      <c r="AM243" s="8"/>
    </row>
    <row r="244" spans="1:40" x14ac:dyDescent="0.2">
      <c r="A244" t="s">
        <v>1075</v>
      </c>
      <c r="N244">
        <v>8</v>
      </c>
      <c r="V244" s="8"/>
      <c r="W244" s="8">
        <v>0.01</v>
      </c>
      <c r="X244" s="8"/>
      <c r="Y244" s="8"/>
      <c r="Z244" s="8"/>
      <c r="AB244" s="4"/>
      <c r="AC244" s="8"/>
      <c r="AD244" s="8"/>
      <c r="AF244" s="8"/>
      <c r="AG244" s="8"/>
      <c r="AH244" s="8"/>
      <c r="AL244" s="8"/>
      <c r="AM244" s="8"/>
    </row>
    <row r="245" spans="1:40" x14ac:dyDescent="0.2">
      <c r="A245" t="s">
        <v>1053</v>
      </c>
      <c r="N245">
        <v>10</v>
      </c>
      <c r="V245" s="8"/>
      <c r="W245" s="8"/>
      <c r="X245" s="8"/>
      <c r="Y245" s="8"/>
      <c r="Z245" s="8"/>
      <c r="AB245" s="4"/>
      <c r="AC245" s="8"/>
      <c r="AD245" s="8"/>
      <c r="AF245" s="8"/>
      <c r="AG245" s="8"/>
      <c r="AH245" s="8"/>
      <c r="AI245" s="4">
        <v>100</v>
      </c>
      <c r="AL245" s="8"/>
      <c r="AM245" s="8"/>
    </row>
    <row r="246" spans="1:40" x14ac:dyDescent="0.2">
      <c r="A246" s="3" t="s">
        <v>1364</v>
      </c>
      <c r="N246">
        <v>10</v>
      </c>
      <c r="Q246" s="4"/>
      <c r="R246" s="4"/>
      <c r="S246" s="4"/>
      <c r="T246" s="4"/>
      <c r="U246" s="4"/>
      <c r="V246" s="8"/>
      <c r="W246" s="8"/>
      <c r="X246" s="8"/>
      <c r="Y246" s="8"/>
      <c r="Z246" s="8"/>
      <c r="AA246" s="8"/>
      <c r="AB246" s="4"/>
      <c r="AC246" s="8"/>
      <c r="AD246" s="8"/>
      <c r="AE246"/>
      <c r="AF246" s="8"/>
      <c r="AG246" s="8"/>
      <c r="AH246" s="8"/>
      <c r="AI246" s="4">
        <v>100</v>
      </c>
      <c r="AL246" s="4"/>
      <c r="AM246" s="8"/>
      <c r="AN246"/>
    </row>
    <row r="247" spans="1:40" x14ac:dyDescent="0.2">
      <c r="A247" t="s">
        <v>1057</v>
      </c>
      <c r="I247">
        <v>4</v>
      </c>
      <c r="V247" s="8"/>
      <c r="W247" s="8"/>
      <c r="X247" s="8">
        <v>0.02</v>
      </c>
      <c r="Y247" s="8"/>
      <c r="Z247" s="8"/>
      <c r="AB247" s="4"/>
      <c r="AC247" s="8"/>
      <c r="AD247" s="8"/>
      <c r="AF247" s="8"/>
      <c r="AG247" s="8"/>
      <c r="AH247" s="8"/>
      <c r="AL247" s="8"/>
      <c r="AM247" s="8"/>
    </row>
    <row r="248" spans="1:40" x14ac:dyDescent="0.2">
      <c r="A248" s="3" t="s">
        <v>1056</v>
      </c>
      <c r="Q248" s="4">
        <v>10</v>
      </c>
      <c r="R248" s="4">
        <v>5</v>
      </c>
      <c r="S248" s="4"/>
      <c r="T248" s="4"/>
      <c r="U248" s="4"/>
      <c r="V248" s="8"/>
      <c r="W248" s="8"/>
      <c r="X248" s="8"/>
      <c r="Y248" s="8"/>
      <c r="Z248" s="8"/>
      <c r="AA248" s="8"/>
      <c r="AB248" s="4"/>
      <c r="AC248" s="8"/>
      <c r="AD248" s="8"/>
      <c r="AE248">
        <v>4</v>
      </c>
      <c r="AF248" s="8"/>
      <c r="AG248" s="8"/>
      <c r="AH248" s="8"/>
      <c r="AL248" s="4"/>
      <c r="AM248" s="8"/>
      <c r="AN248"/>
    </row>
    <row r="249" spans="1:40" x14ac:dyDescent="0.2">
      <c r="A249" t="s">
        <v>1052</v>
      </c>
      <c r="J249">
        <v>6</v>
      </c>
      <c r="N249">
        <v>6</v>
      </c>
      <c r="V249" s="8"/>
      <c r="W249" s="8"/>
      <c r="X249" s="8"/>
      <c r="Y249" s="8"/>
      <c r="Z249" s="8"/>
      <c r="AB249" s="4"/>
      <c r="AC249" s="8"/>
      <c r="AD249" s="8"/>
      <c r="AE249" s="4">
        <v>3</v>
      </c>
      <c r="AF249" s="8"/>
      <c r="AG249" s="8"/>
      <c r="AH249" s="8"/>
      <c r="AL249" s="8"/>
      <c r="AM249" s="8"/>
    </row>
    <row r="250" spans="1:40" x14ac:dyDescent="0.2">
      <c r="A250" s="3" t="s">
        <v>1051</v>
      </c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>
        <v>13</v>
      </c>
      <c r="O250" s="144"/>
      <c r="Q250">
        <v>13</v>
      </c>
      <c r="V250" s="177"/>
      <c r="W250" s="177"/>
      <c r="X250" s="177"/>
      <c r="Y250" s="177"/>
      <c r="Z250" s="177"/>
      <c r="AA250" s="177"/>
      <c r="AB250" s="178"/>
      <c r="AC250" s="177"/>
      <c r="AD250" s="177"/>
      <c r="AE250" s="144"/>
      <c r="AF250" s="177"/>
      <c r="AG250" s="178"/>
      <c r="AH250" s="177"/>
      <c r="AI250" s="178"/>
      <c r="AJ250" s="178"/>
      <c r="AK250" s="178"/>
      <c r="AL250" s="177"/>
      <c r="AN250"/>
    </row>
    <row r="251" spans="1:40" x14ac:dyDescent="0.2">
      <c r="A251" t="s">
        <v>1050</v>
      </c>
      <c r="G251">
        <v>6</v>
      </c>
      <c r="N251">
        <v>-4</v>
      </c>
      <c r="V251" s="8"/>
      <c r="W251" s="8"/>
      <c r="X251" s="8"/>
      <c r="Y251" s="8"/>
      <c r="Z251" s="8"/>
      <c r="AB251" s="4"/>
      <c r="AC251" s="8"/>
      <c r="AD251" s="8"/>
      <c r="AF251" s="8"/>
      <c r="AG251" s="8"/>
      <c r="AH251" s="8"/>
      <c r="AL251" s="8"/>
      <c r="AM251" s="8"/>
    </row>
    <row r="252" spans="1:40" x14ac:dyDescent="0.2">
      <c r="A252" t="s">
        <v>1055</v>
      </c>
      <c r="G252">
        <v>7</v>
      </c>
      <c r="N252">
        <v>-3</v>
      </c>
      <c r="V252" s="8"/>
      <c r="W252" s="8"/>
      <c r="X252" s="8"/>
      <c r="Y252" s="8"/>
      <c r="Z252" s="8"/>
      <c r="AB252" s="4"/>
      <c r="AC252" s="8"/>
      <c r="AD252" s="8"/>
      <c r="AF252" s="8"/>
      <c r="AG252" s="8"/>
      <c r="AH252" s="8"/>
      <c r="AL252" s="8"/>
      <c r="AM252" s="8"/>
    </row>
    <row r="253" spans="1:40" x14ac:dyDescent="0.2">
      <c r="A253" t="s">
        <v>1049</v>
      </c>
      <c r="N253">
        <v>8</v>
      </c>
      <c r="O253">
        <v>8</v>
      </c>
      <c r="V253" s="8"/>
      <c r="W253" s="8"/>
      <c r="X253" s="8"/>
      <c r="Y253" s="8"/>
      <c r="Z253" s="8"/>
      <c r="AB253" s="4"/>
      <c r="AC253" s="8"/>
      <c r="AD253" s="8"/>
      <c r="AF253" s="8"/>
      <c r="AG253" s="8"/>
      <c r="AH253" s="8"/>
      <c r="AL253" s="8"/>
      <c r="AM253" s="8"/>
    </row>
    <row r="254" spans="1:40" x14ac:dyDescent="0.2">
      <c r="A254" t="s">
        <v>1048</v>
      </c>
      <c r="G254">
        <v>4</v>
      </c>
      <c r="O254">
        <v>15</v>
      </c>
      <c r="V254" s="8"/>
      <c r="W254" s="8"/>
      <c r="X254" s="8"/>
      <c r="Y254" s="8"/>
      <c r="Z254" s="8"/>
      <c r="AB254" s="4">
        <v>-50</v>
      </c>
      <c r="AC254" s="8"/>
      <c r="AD254" s="8"/>
      <c r="AF254" s="8"/>
      <c r="AG254" s="8"/>
      <c r="AH254" s="8"/>
      <c r="AL254" s="8"/>
      <c r="AM254" s="8"/>
    </row>
    <row r="255" spans="1:40" x14ac:dyDescent="0.2">
      <c r="A255" t="s">
        <v>1071</v>
      </c>
      <c r="G255">
        <v>5</v>
      </c>
      <c r="I255">
        <v>-3</v>
      </c>
      <c r="V255" s="8"/>
      <c r="W255" s="8"/>
      <c r="X255" s="8"/>
      <c r="Y255" s="8"/>
      <c r="Z255" s="8"/>
      <c r="AB255" s="4"/>
      <c r="AC255" s="8"/>
      <c r="AD255" s="8"/>
      <c r="AF255" s="8"/>
      <c r="AG255" s="8"/>
      <c r="AH255" s="8"/>
      <c r="AL255" s="8"/>
      <c r="AM255" s="8"/>
    </row>
    <row r="256" spans="1:40" x14ac:dyDescent="0.2">
      <c r="A256" s="3" t="s">
        <v>1047</v>
      </c>
      <c r="G256">
        <v>7</v>
      </c>
      <c r="I256">
        <v>-5</v>
      </c>
      <c r="O256">
        <v>8</v>
      </c>
      <c r="V256" s="8"/>
      <c r="W256" s="8"/>
      <c r="X256" s="8"/>
      <c r="Y256" s="8"/>
      <c r="Z256" s="8"/>
      <c r="AA256" s="8"/>
      <c r="AB256" s="4"/>
      <c r="AC256" s="8"/>
      <c r="AD256" s="8"/>
      <c r="AE256"/>
      <c r="AF256" s="4"/>
      <c r="AG256" s="4"/>
      <c r="AH256" s="8"/>
      <c r="AI256" s="8"/>
      <c r="AJ256" s="8"/>
      <c r="AK256" s="8"/>
      <c r="AL256" s="8"/>
      <c r="AN256"/>
    </row>
    <row r="257" spans="1:40" x14ac:dyDescent="0.2">
      <c r="A257" t="s">
        <v>1046</v>
      </c>
      <c r="G257">
        <v>5</v>
      </c>
      <c r="N257">
        <v>5</v>
      </c>
      <c r="V257" s="8"/>
      <c r="W257" s="8"/>
      <c r="X257" s="8"/>
      <c r="Y257" s="8"/>
      <c r="Z257" s="8"/>
      <c r="AB257" s="4"/>
      <c r="AC257" s="8"/>
      <c r="AD257" s="8"/>
      <c r="AF257" s="8"/>
      <c r="AG257" s="8"/>
      <c r="AH257" s="8"/>
      <c r="AL257" s="8"/>
      <c r="AM257" s="8"/>
    </row>
    <row r="258" spans="1:40" x14ac:dyDescent="0.2">
      <c r="A258" t="s">
        <v>1062</v>
      </c>
      <c r="N258">
        <v>8</v>
      </c>
      <c r="V258" s="8">
        <v>0.01</v>
      </c>
      <c r="W258" s="8"/>
      <c r="X258" s="8"/>
      <c r="Y258" s="8"/>
      <c r="Z258" s="8"/>
      <c r="AB258" s="4"/>
      <c r="AC258" s="8"/>
      <c r="AD258" s="8"/>
      <c r="AE258" s="4">
        <v>4</v>
      </c>
      <c r="AF258" s="8"/>
      <c r="AG258" s="8"/>
      <c r="AH258" s="8"/>
      <c r="AL258" s="8"/>
      <c r="AM258" s="8"/>
    </row>
    <row r="259" spans="1:40" x14ac:dyDescent="0.2">
      <c r="A259" t="s">
        <v>1034</v>
      </c>
      <c r="B259">
        <v>7</v>
      </c>
      <c r="H259">
        <v>5</v>
      </c>
      <c r="V259" s="8"/>
      <c r="W259" s="8"/>
      <c r="X259" s="8"/>
      <c r="Y259" s="8"/>
      <c r="Z259" s="8"/>
      <c r="AB259" s="4"/>
      <c r="AC259" s="8"/>
      <c r="AD259" s="8"/>
      <c r="AF259" s="8"/>
      <c r="AG259" s="8"/>
      <c r="AH259" s="8"/>
      <c r="AL259" s="8"/>
      <c r="AM259" s="8"/>
    </row>
    <row r="260" spans="1:40" x14ac:dyDescent="0.2">
      <c r="A260" t="s">
        <v>1054</v>
      </c>
      <c r="B260">
        <v>15</v>
      </c>
      <c r="V260" s="8"/>
      <c r="W260" s="8"/>
      <c r="X260" s="8"/>
      <c r="Y260" s="8"/>
      <c r="Z260" s="8"/>
      <c r="AB260" s="4"/>
      <c r="AC260" s="8"/>
      <c r="AD260" s="8"/>
      <c r="AF260" s="8"/>
      <c r="AG260" s="8"/>
      <c r="AH260" s="8"/>
      <c r="AL260" s="8"/>
      <c r="AM260" s="8"/>
    </row>
    <row r="261" spans="1:40" x14ac:dyDescent="0.2">
      <c r="A261" t="s">
        <v>1045</v>
      </c>
      <c r="G261">
        <v>5</v>
      </c>
      <c r="V261" s="8"/>
      <c r="W261" s="8"/>
      <c r="X261" s="8"/>
      <c r="Y261" s="8"/>
      <c r="Z261" s="8">
        <v>0.05</v>
      </c>
      <c r="AB261" s="4"/>
      <c r="AC261" s="8"/>
      <c r="AD261" s="8"/>
      <c r="AF261" s="8"/>
      <c r="AG261" s="8"/>
      <c r="AH261" s="8"/>
      <c r="AL261" s="8"/>
      <c r="AM261" s="8"/>
    </row>
    <row r="262" spans="1:40" x14ac:dyDescent="0.2">
      <c r="A262" t="s">
        <v>1044</v>
      </c>
      <c r="V262" s="8"/>
      <c r="W262" s="8"/>
      <c r="X262" s="8"/>
      <c r="Y262" s="8"/>
      <c r="Z262" s="8"/>
      <c r="AB262" s="4"/>
      <c r="AC262" s="8">
        <v>0.03</v>
      </c>
      <c r="AD262" s="8"/>
      <c r="AF262" s="8"/>
      <c r="AG262" s="8"/>
      <c r="AH262" s="8"/>
      <c r="AL262" s="8"/>
      <c r="AM262" s="8"/>
    </row>
    <row r="263" spans="1:40" x14ac:dyDescent="0.2">
      <c r="A263" s="215" t="s">
        <v>1036</v>
      </c>
      <c r="N263">
        <v>3</v>
      </c>
      <c r="S263">
        <v>3</v>
      </c>
      <c r="V263" s="8"/>
      <c r="W263" s="8"/>
      <c r="X263" s="8"/>
      <c r="Y263" s="8"/>
      <c r="Z263" s="8"/>
      <c r="AA263" s="8"/>
      <c r="AB263" s="4"/>
      <c r="AC263" s="8">
        <v>0.03</v>
      </c>
      <c r="AD263" s="8"/>
      <c r="AE263"/>
      <c r="AF263" s="4"/>
      <c r="AG263" s="4"/>
      <c r="AH263" s="8"/>
      <c r="AI263" s="8"/>
      <c r="AJ263" s="8"/>
      <c r="AK263" s="8"/>
      <c r="AL263" s="8"/>
      <c r="AN263"/>
    </row>
    <row r="264" spans="1:40" x14ac:dyDescent="0.2">
      <c r="A264" s="215" t="s">
        <v>1037</v>
      </c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V264" s="177"/>
      <c r="W264" s="177"/>
      <c r="X264" s="177"/>
      <c r="Y264" s="177"/>
      <c r="Z264" s="177"/>
      <c r="AA264" s="177"/>
      <c r="AB264" s="178"/>
      <c r="AC264" s="177"/>
      <c r="AD264" s="177"/>
      <c r="AE264" s="178">
        <v>5</v>
      </c>
      <c r="AF264" s="177"/>
      <c r="AG264" s="178"/>
      <c r="AH264" s="177"/>
      <c r="AI264" s="178"/>
      <c r="AJ264" s="178"/>
      <c r="AK264" s="178"/>
      <c r="AL264" s="177"/>
      <c r="AM264" s="177"/>
    </row>
    <row r="265" spans="1:40" x14ac:dyDescent="0.2">
      <c r="A265" s="214" t="s">
        <v>1032</v>
      </c>
      <c r="N265">
        <v>10</v>
      </c>
      <c r="V265" s="8"/>
      <c r="W265" s="8"/>
      <c r="X265" s="8"/>
      <c r="Y265" s="8"/>
      <c r="Z265" s="8"/>
      <c r="AB265" s="4"/>
      <c r="AC265" s="8"/>
      <c r="AD265" s="8"/>
      <c r="AF265" s="8"/>
      <c r="AG265" s="8"/>
      <c r="AH265" s="8"/>
      <c r="AL265" s="8"/>
      <c r="AM265" s="8"/>
    </row>
    <row r="266" spans="1:40" x14ac:dyDescent="0.2">
      <c r="A266" s="214" t="s">
        <v>1038</v>
      </c>
      <c r="N266">
        <v>3</v>
      </c>
      <c r="V266" s="8">
        <v>0.03</v>
      </c>
      <c r="W266" s="8"/>
      <c r="X266" s="8"/>
      <c r="Y266" s="8"/>
      <c r="Z266" s="8"/>
      <c r="AB266" s="4"/>
      <c r="AC266" s="8"/>
      <c r="AD266" s="8"/>
      <c r="AF266" s="8"/>
      <c r="AG266" s="8"/>
      <c r="AH266" s="8"/>
      <c r="AL266" s="8"/>
      <c r="AM266" s="8"/>
    </row>
    <row r="267" spans="1:40" x14ac:dyDescent="0.2">
      <c r="A267" s="214" t="s">
        <v>1039</v>
      </c>
      <c r="V267" s="8"/>
      <c r="W267" s="8"/>
      <c r="X267" s="8"/>
      <c r="Y267" s="8"/>
      <c r="Z267" s="8"/>
      <c r="AB267" s="4"/>
      <c r="AC267" s="8">
        <v>0.05</v>
      </c>
      <c r="AD267" s="8"/>
      <c r="AF267" s="8"/>
      <c r="AG267" s="8"/>
      <c r="AH267" s="8"/>
      <c r="AL267" s="8"/>
      <c r="AM267" s="8"/>
    </row>
    <row r="268" spans="1:40" x14ac:dyDescent="0.2">
      <c r="A268" s="216" t="s">
        <v>1059</v>
      </c>
      <c r="N268">
        <v>10</v>
      </c>
      <c r="O268">
        <v>10</v>
      </c>
      <c r="Q268">
        <v>10</v>
      </c>
      <c r="R268">
        <v>10</v>
      </c>
      <c r="S268">
        <v>10</v>
      </c>
      <c r="T268">
        <v>10</v>
      </c>
      <c r="V268" s="8"/>
      <c r="W268" s="8"/>
      <c r="X268" s="8"/>
      <c r="Y268" s="8"/>
      <c r="Z268" s="8"/>
      <c r="AB268" s="4"/>
      <c r="AC268" s="8"/>
      <c r="AD268" s="8"/>
      <c r="AF268" s="8"/>
      <c r="AG268" s="8"/>
      <c r="AH268" s="8"/>
      <c r="AL268" s="8"/>
      <c r="AM268" s="8"/>
    </row>
    <row r="269" spans="1:40" x14ac:dyDescent="0.2">
      <c r="A269" s="216" t="s">
        <v>1072</v>
      </c>
      <c r="H269">
        <v>5</v>
      </c>
      <c r="J269">
        <v>-3</v>
      </c>
      <c r="V269" s="8"/>
      <c r="W269" s="8"/>
      <c r="X269" s="8"/>
      <c r="Y269" s="8"/>
      <c r="Z269" s="8"/>
      <c r="AB269" s="4"/>
      <c r="AC269" s="8"/>
      <c r="AD269" s="8"/>
      <c r="AF269" s="8"/>
      <c r="AG269" s="8"/>
      <c r="AH269" s="8"/>
      <c r="AL269" s="8"/>
      <c r="AM269" s="8"/>
    </row>
    <row r="270" spans="1:40" x14ac:dyDescent="0.2">
      <c r="A270" s="215" t="s">
        <v>1040</v>
      </c>
      <c r="H270">
        <v>7</v>
      </c>
      <c r="J270">
        <v>-5</v>
      </c>
      <c r="N270">
        <v>8</v>
      </c>
      <c r="S270" s="144"/>
      <c r="V270" s="8"/>
      <c r="W270" s="8"/>
      <c r="X270" s="8"/>
      <c r="Y270" s="8"/>
      <c r="Z270" s="8"/>
      <c r="AA270" s="8"/>
      <c r="AB270" s="4"/>
      <c r="AC270" s="8"/>
      <c r="AD270" s="8"/>
      <c r="AE270"/>
      <c r="AF270" s="4"/>
      <c r="AG270" s="4"/>
      <c r="AH270" s="8"/>
      <c r="AI270" s="8"/>
      <c r="AJ270" s="8"/>
      <c r="AK270" s="8"/>
      <c r="AL270" s="8"/>
      <c r="AN270"/>
    </row>
    <row r="271" spans="1:40" x14ac:dyDescent="0.2">
      <c r="A271" s="216" t="s">
        <v>1718</v>
      </c>
      <c r="N271">
        <v>20</v>
      </c>
      <c r="O271">
        <v>20</v>
      </c>
      <c r="S271" s="144"/>
      <c r="V271" s="8">
        <v>0.03</v>
      </c>
      <c r="W271" s="8"/>
      <c r="X271" s="8"/>
      <c r="Y271" s="8"/>
      <c r="Z271" s="8"/>
      <c r="AA271" s="8"/>
      <c r="AB271" s="4"/>
      <c r="AC271" s="8"/>
      <c r="AD271" s="8"/>
      <c r="AE271"/>
      <c r="AF271" s="4"/>
      <c r="AG271" s="4"/>
      <c r="AH271" s="8"/>
      <c r="AI271" s="8"/>
      <c r="AJ271" s="8"/>
      <c r="AK271" s="8"/>
      <c r="AL271" s="8"/>
      <c r="AN271"/>
    </row>
    <row r="272" spans="1:40" x14ac:dyDescent="0.2">
      <c r="A272" s="216" t="s">
        <v>1060</v>
      </c>
      <c r="N272">
        <v>15</v>
      </c>
      <c r="S272" s="144"/>
      <c r="V272" s="8"/>
      <c r="W272" s="8"/>
      <c r="X272" s="8"/>
      <c r="Y272" s="8"/>
      <c r="Z272" s="8"/>
      <c r="AA272" s="8"/>
      <c r="AB272" s="4"/>
      <c r="AC272" s="8"/>
      <c r="AD272" s="8"/>
      <c r="AE272"/>
      <c r="AF272" s="4"/>
      <c r="AG272" s="4"/>
      <c r="AH272" s="8"/>
      <c r="AI272" s="8"/>
      <c r="AJ272" s="8"/>
      <c r="AK272" s="8"/>
      <c r="AL272" s="8"/>
      <c r="AN272"/>
    </row>
    <row r="273" spans="1:40" x14ac:dyDescent="0.2">
      <c r="A273" s="214" t="s">
        <v>1041</v>
      </c>
      <c r="G273">
        <v>6</v>
      </c>
      <c r="I273">
        <v>6</v>
      </c>
      <c r="V273" s="8"/>
      <c r="W273" s="8"/>
      <c r="X273" s="8"/>
      <c r="Y273" s="8"/>
      <c r="Z273" s="8"/>
      <c r="AB273" s="4"/>
      <c r="AC273" s="8"/>
      <c r="AD273" s="8"/>
      <c r="AF273" s="8"/>
      <c r="AG273" s="8"/>
      <c r="AH273" s="8"/>
      <c r="AL273" s="8"/>
      <c r="AM273" s="8"/>
    </row>
    <row r="274" spans="1:40" s="144" customFormat="1" x14ac:dyDescent="0.2">
      <c r="A274" s="215" t="s">
        <v>1042</v>
      </c>
      <c r="O274" s="144">
        <v>20</v>
      </c>
      <c r="V274" s="177">
        <v>-0.01</v>
      </c>
      <c r="W274" s="177"/>
      <c r="X274" s="177"/>
      <c r="Y274" s="177"/>
      <c r="Z274" s="177"/>
      <c r="AA274" s="177"/>
      <c r="AB274" s="178"/>
      <c r="AC274" s="177"/>
      <c r="AD274" s="177"/>
      <c r="AF274" s="178"/>
      <c r="AG274" s="177"/>
      <c r="AH274" s="177"/>
      <c r="AI274" s="178"/>
      <c r="AJ274" s="178"/>
      <c r="AK274" s="178"/>
      <c r="AL274" s="178"/>
      <c r="AM274" s="178"/>
    </row>
    <row r="275" spans="1:40" s="144" customFormat="1" x14ac:dyDescent="0.2">
      <c r="A275" s="216" t="s">
        <v>1073</v>
      </c>
      <c r="V275" s="177"/>
      <c r="W275" s="177"/>
      <c r="X275" s="177"/>
      <c r="Y275" s="177"/>
      <c r="Z275" s="177"/>
      <c r="AA275" s="177"/>
      <c r="AB275" s="178"/>
      <c r="AC275" s="177"/>
      <c r="AD275" s="177"/>
      <c r="AF275" s="178">
        <v>15</v>
      </c>
      <c r="AG275" s="177"/>
      <c r="AH275" s="177"/>
      <c r="AI275" s="178"/>
      <c r="AJ275" s="178"/>
      <c r="AK275" s="178"/>
      <c r="AL275" s="178"/>
      <c r="AM275" s="178"/>
    </row>
    <row r="276" spans="1:40" s="144" customFormat="1" x14ac:dyDescent="0.2">
      <c r="A276" s="216" t="s">
        <v>1074</v>
      </c>
      <c r="V276" s="177"/>
      <c r="W276" s="177"/>
      <c r="X276" s="177"/>
      <c r="Y276" s="177"/>
      <c r="Z276" s="177"/>
      <c r="AA276" s="177"/>
      <c r="AB276" s="178"/>
      <c r="AC276" s="177"/>
      <c r="AD276" s="177"/>
      <c r="AF276" s="178">
        <v>20</v>
      </c>
      <c r="AG276" s="177"/>
      <c r="AH276" s="177"/>
      <c r="AI276" s="178"/>
      <c r="AJ276" s="178"/>
      <c r="AK276" s="178"/>
      <c r="AL276" s="178"/>
      <c r="AM276" s="178"/>
    </row>
    <row r="277" spans="1:40" s="144" customFormat="1" x14ac:dyDescent="0.2">
      <c r="A277" s="215" t="s">
        <v>1033</v>
      </c>
      <c r="V277" s="177"/>
      <c r="W277" s="177"/>
      <c r="X277" s="177"/>
      <c r="Y277" s="177"/>
      <c r="Z277" s="177"/>
      <c r="AA277" s="177"/>
      <c r="AB277" s="178"/>
      <c r="AC277" s="177"/>
      <c r="AD277" s="177"/>
      <c r="AF277" s="178">
        <v>30</v>
      </c>
      <c r="AG277" s="177"/>
      <c r="AH277" s="177">
        <v>0.25</v>
      </c>
      <c r="AI277" s="178"/>
      <c r="AJ277" s="178"/>
      <c r="AK277" s="178"/>
      <c r="AL277" s="178"/>
    </row>
    <row r="278" spans="1:40" x14ac:dyDescent="0.2">
      <c r="A278" s="214" t="s">
        <v>1043</v>
      </c>
      <c r="N278">
        <v>12</v>
      </c>
      <c r="V278" s="8"/>
      <c r="W278" s="8"/>
      <c r="X278" s="8"/>
      <c r="Y278" s="8"/>
      <c r="Z278" s="8"/>
      <c r="AB278" s="4"/>
      <c r="AC278" s="8"/>
      <c r="AD278" s="8"/>
      <c r="AF278" s="8"/>
      <c r="AG278" s="8"/>
      <c r="AH278" s="8"/>
      <c r="AL278" s="8"/>
      <c r="AM278" s="8"/>
    </row>
    <row r="281" spans="1:40" s="1" customFormat="1" x14ac:dyDescent="0.2">
      <c r="A281" s="1" t="s">
        <v>90</v>
      </c>
      <c r="B281" s="1" t="s">
        <v>72</v>
      </c>
      <c r="C281" s="1" t="s">
        <v>482</v>
      </c>
      <c r="D281" s="1" t="s">
        <v>483</v>
      </c>
      <c r="E281" s="1" t="s">
        <v>484</v>
      </c>
      <c r="F281" s="1" t="s">
        <v>492</v>
      </c>
      <c r="G281" s="1" t="s">
        <v>26</v>
      </c>
      <c r="H281" s="1" t="s">
        <v>27</v>
      </c>
      <c r="I281" s="1" t="s">
        <v>23</v>
      </c>
      <c r="J281" s="1" t="s">
        <v>25</v>
      </c>
      <c r="K281" s="1" t="s">
        <v>298</v>
      </c>
      <c r="L281" s="1" t="s">
        <v>299</v>
      </c>
      <c r="M281" s="1" t="s">
        <v>300</v>
      </c>
      <c r="N281" s="1" t="s">
        <v>74</v>
      </c>
      <c r="O281" s="1" t="s">
        <v>73</v>
      </c>
      <c r="P281" s="1" t="s">
        <v>375</v>
      </c>
      <c r="Q281" s="1" t="s">
        <v>553</v>
      </c>
      <c r="R281" s="1" t="s">
        <v>554</v>
      </c>
      <c r="S281" s="1" t="s">
        <v>555</v>
      </c>
      <c r="T281" s="213" t="s">
        <v>556</v>
      </c>
      <c r="U281" s="213" t="s">
        <v>557</v>
      </c>
      <c r="V281" s="1" t="s">
        <v>75</v>
      </c>
      <c r="W281" s="1" t="s">
        <v>76</v>
      </c>
      <c r="X281" s="1" t="s">
        <v>77</v>
      </c>
      <c r="Y281" s="1" t="s">
        <v>480</v>
      </c>
      <c r="Z281" s="1" t="s">
        <v>80</v>
      </c>
      <c r="AA281" s="1" t="s">
        <v>481</v>
      </c>
      <c r="AB281" s="1" t="s">
        <v>28</v>
      </c>
      <c r="AC281" s="1" t="s">
        <v>78</v>
      </c>
      <c r="AD281" s="1" t="s">
        <v>79</v>
      </c>
      <c r="AE281" s="213" t="s">
        <v>82</v>
      </c>
      <c r="AF281" s="1" t="s">
        <v>81</v>
      </c>
      <c r="AG281" s="1" t="s">
        <v>102</v>
      </c>
      <c r="AH281" s="1" t="s">
        <v>103</v>
      </c>
      <c r="AI281" s="213" t="s">
        <v>452</v>
      </c>
      <c r="AJ281" s="213" t="s">
        <v>453</v>
      </c>
      <c r="AK281" s="213" t="s">
        <v>440</v>
      </c>
      <c r="AL281" s="1" t="s">
        <v>349</v>
      </c>
      <c r="AM281" s="1" t="s">
        <v>524</v>
      </c>
      <c r="AN281" s="213" t="s">
        <v>109</v>
      </c>
    </row>
    <row r="282" spans="1:40" x14ac:dyDescent="0.2">
      <c r="A282" t="s">
        <v>245</v>
      </c>
      <c r="V282" s="8"/>
      <c r="W282" s="8"/>
      <c r="X282" s="8"/>
      <c r="Y282" s="8"/>
      <c r="Z282" s="8"/>
      <c r="AB282" s="4"/>
      <c r="AC282" s="8"/>
      <c r="AD282" s="8"/>
      <c r="AF282" s="4"/>
      <c r="AG282" s="4"/>
      <c r="AH282" s="8"/>
      <c r="AL282" s="8"/>
      <c r="AM282" s="8"/>
    </row>
    <row r="283" spans="1:40" x14ac:dyDescent="0.2">
      <c r="A283" t="s">
        <v>1139</v>
      </c>
      <c r="O283">
        <v>7</v>
      </c>
      <c r="V283" s="8"/>
      <c r="W283" s="8"/>
      <c r="X283" s="8"/>
      <c r="Y283" s="8"/>
      <c r="Z283" s="8"/>
      <c r="AB283" s="4"/>
      <c r="AC283" s="8"/>
      <c r="AD283" s="8"/>
      <c r="AF283" s="4"/>
      <c r="AG283" s="4"/>
      <c r="AH283" s="8"/>
      <c r="AL283" s="8">
        <v>0.03</v>
      </c>
      <c r="AM283" s="8"/>
    </row>
    <row r="284" spans="1:40" x14ac:dyDescent="0.2">
      <c r="A284" t="s">
        <v>1140</v>
      </c>
      <c r="O284">
        <v>7</v>
      </c>
      <c r="V284" s="8"/>
      <c r="W284" s="8"/>
      <c r="X284" s="8"/>
      <c r="Y284" s="8"/>
      <c r="Z284" s="8"/>
      <c r="AB284" s="4"/>
      <c r="AC284" s="8"/>
      <c r="AD284" s="8"/>
      <c r="AF284" s="4"/>
      <c r="AG284" s="4"/>
      <c r="AH284" s="8"/>
      <c r="AL284" s="8">
        <v>0.06</v>
      </c>
      <c r="AM284" s="8"/>
    </row>
    <row r="285" spans="1:40" x14ac:dyDescent="0.2">
      <c r="A285" t="s">
        <v>1137</v>
      </c>
      <c r="V285" s="8"/>
      <c r="W285" s="8"/>
      <c r="X285" s="8"/>
      <c r="Y285" s="8"/>
      <c r="Z285" s="8"/>
      <c r="AB285" s="4"/>
      <c r="AC285" s="8">
        <v>0.01</v>
      </c>
      <c r="AD285" s="8"/>
      <c r="AF285" s="4"/>
      <c r="AG285" s="4"/>
      <c r="AH285" s="8"/>
      <c r="AL285" s="8"/>
      <c r="AM285" s="8"/>
    </row>
    <row r="286" spans="1:40" x14ac:dyDescent="0.2">
      <c r="A286" t="s">
        <v>1138</v>
      </c>
      <c r="N286">
        <v>7</v>
      </c>
      <c r="O286">
        <v>7</v>
      </c>
      <c r="V286" s="8"/>
      <c r="W286" s="8"/>
      <c r="X286" s="8"/>
      <c r="Y286" s="8"/>
      <c r="Z286" s="8"/>
      <c r="AB286" s="4"/>
      <c r="AC286" s="8"/>
      <c r="AD286" s="8"/>
      <c r="AF286" s="4"/>
      <c r="AG286" s="4"/>
      <c r="AH286" s="8"/>
      <c r="AL286" s="8"/>
      <c r="AM286" s="8"/>
    </row>
    <row r="287" spans="1:40" x14ac:dyDescent="0.2">
      <c r="A287" t="s">
        <v>1141</v>
      </c>
      <c r="O287">
        <v>8</v>
      </c>
      <c r="V287" s="8"/>
      <c r="W287" s="8"/>
      <c r="X287" s="8"/>
      <c r="Y287" s="8"/>
      <c r="Z287" s="8"/>
      <c r="AA287" s="8"/>
      <c r="AB287" s="4"/>
      <c r="AC287" s="8"/>
      <c r="AD287" s="8"/>
      <c r="AE287" s="4">
        <v>1</v>
      </c>
      <c r="AF287" s="4"/>
      <c r="AG287" s="4"/>
      <c r="AH287" s="8"/>
      <c r="AI287" s="8"/>
      <c r="AJ287" s="8"/>
      <c r="AK287" s="8"/>
      <c r="AL287" s="8"/>
      <c r="AM287" s="8"/>
    </row>
    <row r="288" spans="1:40" x14ac:dyDescent="0.2">
      <c r="A288" t="s">
        <v>1142</v>
      </c>
      <c r="V288" s="8">
        <v>0.05</v>
      </c>
      <c r="W288" s="8"/>
      <c r="X288" s="8"/>
      <c r="Y288" s="8"/>
      <c r="Z288" s="8"/>
      <c r="AB288" s="4"/>
      <c r="AC288" s="8"/>
      <c r="AD288" s="8"/>
      <c r="AE288" s="4">
        <v>1</v>
      </c>
      <c r="AF288" s="4"/>
      <c r="AG288" s="4"/>
      <c r="AH288" s="8"/>
      <c r="AL288" s="4"/>
      <c r="AM288" s="4"/>
    </row>
    <row r="289" spans="1:39" x14ac:dyDescent="0.2">
      <c r="A289" t="s">
        <v>1143</v>
      </c>
      <c r="N289">
        <v>6</v>
      </c>
      <c r="V289" s="8">
        <v>0.03</v>
      </c>
      <c r="W289" s="8"/>
      <c r="X289" s="8"/>
      <c r="Y289" s="8"/>
      <c r="Z289" s="8"/>
      <c r="AB289" s="4"/>
      <c r="AC289" s="8"/>
      <c r="AD289" s="8"/>
      <c r="AE289" s="4">
        <v>3</v>
      </c>
      <c r="AF289" s="4"/>
      <c r="AG289" s="4"/>
      <c r="AH289" s="8"/>
      <c r="AL289" s="4"/>
      <c r="AM289" s="4"/>
    </row>
    <row r="290" spans="1:39" x14ac:dyDescent="0.2">
      <c r="A290" t="s">
        <v>1144</v>
      </c>
      <c r="N290">
        <v>-10</v>
      </c>
      <c r="O290">
        <v>-10</v>
      </c>
      <c r="Q290">
        <v>-10</v>
      </c>
      <c r="R290">
        <v>-10</v>
      </c>
      <c r="V290" s="8"/>
      <c r="W290" s="8"/>
      <c r="X290" s="8"/>
      <c r="Y290" s="8"/>
      <c r="Z290" s="8"/>
      <c r="AB290" s="4"/>
      <c r="AC290" s="8"/>
      <c r="AD290" s="8"/>
      <c r="AE290" s="4">
        <v>8</v>
      </c>
      <c r="AF290" s="4"/>
      <c r="AG290" s="4"/>
      <c r="AH290" s="8"/>
      <c r="AL290" s="4"/>
      <c r="AM290" s="4"/>
    </row>
    <row r="291" spans="1:39" x14ac:dyDescent="0.2">
      <c r="A291" t="s">
        <v>1145</v>
      </c>
      <c r="N291">
        <v>10</v>
      </c>
      <c r="S291">
        <v>10</v>
      </c>
      <c r="V291" s="8"/>
      <c r="W291" s="8"/>
      <c r="X291" s="8"/>
      <c r="Y291" s="8"/>
      <c r="Z291" s="8"/>
      <c r="AB291" s="4"/>
      <c r="AC291" s="8"/>
      <c r="AD291" s="8"/>
      <c r="AE291" s="4">
        <v>3</v>
      </c>
      <c r="AF291" s="4"/>
      <c r="AG291" s="4"/>
      <c r="AH291" s="8"/>
      <c r="AL291" s="4"/>
      <c r="AM291" s="4"/>
    </row>
    <row r="292" spans="1:39" x14ac:dyDescent="0.2">
      <c r="A292" t="s">
        <v>1146</v>
      </c>
      <c r="H292">
        <v>3</v>
      </c>
      <c r="N292">
        <v>5</v>
      </c>
      <c r="V292" s="8"/>
      <c r="W292" s="8"/>
      <c r="X292" s="8"/>
      <c r="Y292" s="8"/>
      <c r="Z292" s="8"/>
      <c r="AB292" s="4"/>
      <c r="AC292" s="8"/>
      <c r="AD292" s="8"/>
      <c r="AF292" s="4"/>
      <c r="AG292" s="4"/>
      <c r="AH292" s="8"/>
      <c r="AL292" s="4"/>
      <c r="AM292" s="4"/>
    </row>
    <row r="293" spans="1:39" x14ac:dyDescent="0.2">
      <c r="A293" t="s">
        <v>1147</v>
      </c>
      <c r="H293">
        <v>3</v>
      </c>
      <c r="N293">
        <v>1</v>
      </c>
      <c r="V293" s="8"/>
      <c r="W293" s="8"/>
      <c r="X293" s="8"/>
      <c r="Y293" s="8"/>
      <c r="Z293" s="8"/>
      <c r="AB293" s="4"/>
      <c r="AC293" s="8"/>
      <c r="AD293" s="8"/>
      <c r="AF293" s="4"/>
      <c r="AG293" s="4"/>
      <c r="AH293" s="8"/>
      <c r="AL293" s="4"/>
      <c r="AM293" s="4"/>
    </row>
    <row r="294" spans="1:39" x14ac:dyDescent="0.2">
      <c r="A294" t="s">
        <v>1333</v>
      </c>
      <c r="H294">
        <v>4</v>
      </c>
      <c r="N294">
        <v>5</v>
      </c>
      <c r="V294" s="8"/>
      <c r="W294" s="8"/>
      <c r="X294" s="8"/>
      <c r="Y294" s="8"/>
      <c r="Z294" s="8"/>
      <c r="AB294" s="4"/>
      <c r="AC294" s="8"/>
      <c r="AD294" s="8"/>
      <c r="AF294" s="4"/>
      <c r="AG294" s="4"/>
      <c r="AH294" s="8"/>
      <c r="AL294" s="4"/>
      <c r="AM294" s="4"/>
    </row>
    <row r="295" spans="1:39" x14ac:dyDescent="0.2">
      <c r="A295" t="s">
        <v>1334</v>
      </c>
      <c r="H295">
        <v>4</v>
      </c>
      <c r="N295">
        <v>1</v>
      </c>
      <c r="V295" s="8"/>
      <c r="W295" s="8"/>
      <c r="X295" s="8"/>
      <c r="Y295" s="8"/>
      <c r="Z295" s="8"/>
      <c r="AB295" s="4"/>
      <c r="AC295" s="8"/>
      <c r="AD295" s="8"/>
      <c r="AF295" s="4"/>
      <c r="AG295" s="4"/>
      <c r="AH295" s="8"/>
      <c r="AL295" s="4"/>
      <c r="AM295" s="4"/>
    </row>
    <row r="296" spans="1:39" x14ac:dyDescent="0.2">
      <c r="A296" t="s">
        <v>1148</v>
      </c>
      <c r="O296">
        <v>8</v>
      </c>
      <c r="V296" s="8"/>
      <c r="W296" s="8"/>
      <c r="X296" s="8"/>
      <c r="Y296" s="8"/>
      <c r="Z296" s="8"/>
      <c r="AA296" s="8"/>
      <c r="AB296" s="4"/>
      <c r="AC296" s="8"/>
      <c r="AD296" s="8"/>
      <c r="AF296" s="4"/>
      <c r="AG296" s="4"/>
      <c r="AH296" s="8"/>
      <c r="AI296" s="8"/>
      <c r="AJ296" s="8"/>
      <c r="AK296" s="8"/>
      <c r="AL296" s="8"/>
      <c r="AM296" s="8"/>
    </row>
    <row r="297" spans="1:39" x14ac:dyDescent="0.2">
      <c r="A297" t="s">
        <v>1149</v>
      </c>
      <c r="Q297">
        <v>7</v>
      </c>
      <c r="R297">
        <v>7</v>
      </c>
      <c r="V297" s="8"/>
      <c r="W297" s="8"/>
      <c r="X297" s="8"/>
      <c r="Y297" s="8"/>
      <c r="Z297" s="8"/>
      <c r="AA297" s="8"/>
      <c r="AB297" s="4"/>
      <c r="AC297" s="8"/>
      <c r="AD297" s="8"/>
      <c r="AE297" s="4">
        <v>4</v>
      </c>
      <c r="AF297" s="4"/>
      <c r="AG297" s="4"/>
      <c r="AH297" s="8"/>
      <c r="AI297" s="8"/>
      <c r="AJ297" s="8"/>
      <c r="AK297" s="8"/>
      <c r="AL297" s="8"/>
      <c r="AM297" s="8"/>
    </row>
    <row r="298" spans="1:39" x14ac:dyDescent="0.2">
      <c r="A298" t="s">
        <v>1154</v>
      </c>
      <c r="O298">
        <v>5</v>
      </c>
      <c r="V298" s="8"/>
      <c r="W298" s="8"/>
      <c r="X298" s="8"/>
      <c r="Y298" s="8"/>
      <c r="Z298" s="8"/>
      <c r="AA298" s="8"/>
      <c r="AB298" s="4"/>
      <c r="AC298" s="8"/>
      <c r="AD298" s="8"/>
      <c r="AF298" s="4"/>
      <c r="AG298" s="4"/>
      <c r="AH298" s="8"/>
      <c r="AI298" s="8"/>
      <c r="AJ298" s="8"/>
      <c r="AK298" s="8"/>
      <c r="AL298" s="8"/>
      <c r="AM298" s="8"/>
    </row>
    <row r="299" spans="1:39" x14ac:dyDescent="0.2">
      <c r="A299" t="s">
        <v>1150</v>
      </c>
      <c r="N299">
        <v>2</v>
      </c>
      <c r="O299">
        <v>8</v>
      </c>
      <c r="V299" s="8"/>
      <c r="W299" s="8"/>
      <c r="X299" s="8"/>
      <c r="Y299" s="8"/>
      <c r="Z299" s="8"/>
      <c r="AB299" s="4"/>
      <c r="AC299" s="8"/>
      <c r="AD299" s="8"/>
      <c r="AF299" s="4"/>
      <c r="AG299" s="4"/>
      <c r="AH299" s="8"/>
      <c r="AL299" s="4"/>
      <c r="AM299" s="4"/>
    </row>
    <row r="300" spans="1:39" x14ac:dyDescent="0.2">
      <c r="A300" t="s">
        <v>1151</v>
      </c>
      <c r="N300">
        <v>3</v>
      </c>
      <c r="O300">
        <v>9</v>
      </c>
      <c r="V300" s="8"/>
      <c r="W300" s="8"/>
      <c r="X300" s="8"/>
      <c r="Y300" s="8"/>
      <c r="Z300" s="8"/>
      <c r="AB300" s="4"/>
      <c r="AC300" s="8"/>
      <c r="AD300" s="8"/>
      <c r="AF300" s="4"/>
      <c r="AG300" s="4"/>
      <c r="AH300" s="8"/>
      <c r="AL300" s="4"/>
      <c r="AM300" s="4"/>
    </row>
    <row r="301" spans="1:39" x14ac:dyDescent="0.2">
      <c r="A301" t="s">
        <v>1152</v>
      </c>
      <c r="N301">
        <v>8</v>
      </c>
      <c r="V301" s="8"/>
      <c r="W301" s="8"/>
      <c r="X301" s="8"/>
      <c r="Y301" s="8"/>
      <c r="Z301" s="8"/>
      <c r="AA301" s="8"/>
      <c r="AB301" s="4"/>
      <c r="AC301" s="8"/>
      <c r="AD301" s="8"/>
      <c r="AF301" s="4"/>
      <c r="AG301" s="4"/>
      <c r="AH301" s="8"/>
      <c r="AI301" s="8"/>
      <c r="AJ301" s="8"/>
      <c r="AK301" s="8"/>
      <c r="AL301" s="8"/>
      <c r="AM301" s="8"/>
    </row>
    <row r="302" spans="1:39" x14ac:dyDescent="0.2">
      <c r="A302" t="s">
        <v>1153</v>
      </c>
      <c r="H302">
        <v>2</v>
      </c>
      <c r="N302">
        <v>3</v>
      </c>
      <c r="V302" s="8"/>
      <c r="W302" s="8"/>
      <c r="X302" s="8"/>
      <c r="Y302" s="8"/>
      <c r="Z302" s="8"/>
      <c r="AB302" s="4"/>
      <c r="AC302" s="8"/>
      <c r="AD302" s="8"/>
      <c r="AF302" s="4"/>
      <c r="AG302" s="4"/>
      <c r="AH302" s="8"/>
      <c r="AL302" s="4"/>
      <c r="AM302" s="4"/>
    </row>
    <row r="303" spans="1:39" x14ac:dyDescent="0.2">
      <c r="A303" t="s">
        <v>1155</v>
      </c>
      <c r="V303" s="8"/>
      <c r="W303" s="8"/>
      <c r="X303" s="8"/>
      <c r="Y303" s="8"/>
      <c r="Z303" s="8"/>
      <c r="AB303" s="4"/>
      <c r="AC303" s="8"/>
      <c r="AD303" s="8"/>
      <c r="AF303" s="4"/>
      <c r="AG303" s="4"/>
      <c r="AH303" s="8">
        <v>0.02</v>
      </c>
      <c r="AL303" s="4"/>
      <c r="AM303" s="4"/>
    </row>
    <row r="304" spans="1:39" x14ac:dyDescent="0.2">
      <c r="A304" t="s">
        <v>1156</v>
      </c>
      <c r="G304">
        <v>2</v>
      </c>
      <c r="I304">
        <v>2</v>
      </c>
      <c r="N304">
        <v>4</v>
      </c>
      <c r="V304" s="8"/>
      <c r="W304" s="8"/>
      <c r="X304" s="8"/>
      <c r="Y304" s="8"/>
      <c r="Z304" s="8"/>
      <c r="AB304" s="4"/>
      <c r="AC304" s="8"/>
      <c r="AD304" s="8"/>
      <c r="AF304" s="4"/>
      <c r="AG304" s="4"/>
      <c r="AH304" s="8"/>
      <c r="AL304" s="4"/>
      <c r="AM304" s="4"/>
    </row>
    <row r="305" spans="1:40" x14ac:dyDescent="0.2">
      <c r="A305" t="s">
        <v>1157</v>
      </c>
      <c r="G305">
        <v>4</v>
      </c>
      <c r="N305">
        <v>4</v>
      </c>
      <c r="V305" s="8"/>
      <c r="W305" s="8"/>
      <c r="X305" s="8"/>
      <c r="Y305" s="8"/>
      <c r="Z305" s="8"/>
      <c r="AB305" s="4"/>
      <c r="AC305" s="8"/>
      <c r="AD305" s="8"/>
      <c r="AE305" s="4">
        <v>1</v>
      </c>
      <c r="AF305" s="4"/>
      <c r="AG305" s="4"/>
      <c r="AH305" s="8"/>
      <c r="AL305" s="4"/>
      <c r="AM305" s="4"/>
    </row>
    <row r="306" spans="1:40" x14ac:dyDescent="0.2">
      <c r="A306" t="s">
        <v>1158</v>
      </c>
      <c r="G306">
        <v>2</v>
      </c>
      <c r="H306">
        <v>2</v>
      </c>
      <c r="V306" s="8"/>
      <c r="W306" s="8"/>
      <c r="X306" s="8"/>
      <c r="Y306" s="8"/>
      <c r="Z306" s="8"/>
      <c r="AA306" s="8"/>
      <c r="AB306" s="4"/>
      <c r="AC306" s="8"/>
      <c r="AD306" s="8"/>
      <c r="AE306"/>
      <c r="AF306" s="8"/>
      <c r="AG306" s="4"/>
      <c r="AH306" s="8"/>
      <c r="AL306" s="8"/>
      <c r="AN306"/>
    </row>
    <row r="307" spans="1:40" x14ac:dyDescent="0.2">
      <c r="A307" t="s">
        <v>1162</v>
      </c>
      <c r="H307">
        <v>5</v>
      </c>
      <c r="N307">
        <v>7</v>
      </c>
      <c r="V307" s="8">
        <v>0.01</v>
      </c>
      <c r="W307" s="8"/>
      <c r="X307" s="8"/>
      <c r="Y307" s="8"/>
      <c r="Z307" s="8"/>
      <c r="AA307" s="8"/>
      <c r="AB307" s="4"/>
      <c r="AC307" s="8"/>
      <c r="AD307" s="8"/>
      <c r="AE307"/>
      <c r="AF307" s="8"/>
      <c r="AG307" s="4"/>
      <c r="AH307" s="8"/>
      <c r="AL307" s="8"/>
      <c r="AN307"/>
    </row>
    <row r="308" spans="1:40" x14ac:dyDescent="0.2">
      <c r="A308" t="s">
        <v>1163</v>
      </c>
      <c r="H308">
        <v>8</v>
      </c>
      <c r="N308">
        <v>10</v>
      </c>
      <c r="V308" s="8">
        <v>0.02</v>
      </c>
      <c r="W308" s="8"/>
      <c r="X308" s="8"/>
      <c r="Y308" s="8"/>
      <c r="Z308" s="8"/>
      <c r="AA308" s="8"/>
      <c r="AB308" s="4"/>
      <c r="AC308" s="8"/>
      <c r="AD308" s="8"/>
      <c r="AE308"/>
      <c r="AF308" s="8"/>
      <c r="AG308" s="4"/>
      <c r="AH308" s="8"/>
      <c r="AL308" s="8"/>
      <c r="AN308"/>
    </row>
    <row r="309" spans="1:40" x14ac:dyDescent="0.2">
      <c r="A309" t="s">
        <v>1160</v>
      </c>
      <c r="N309">
        <v>4</v>
      </c>
      <c r="V309" s="8"/>
      <c r="W309" s="8"/>
      <c r="X309" s="8"/>
      <c r="Y309" s="8"/>
      <c r="Z309" s="8"/>
      <c r="AB309" s="4"/>
      <c r="AC309" s="8"/>
      <c r="AD309" s="8"/>
      <c r="AF309" s="4">
        <v>10</v>
      </c>
      <c r="AG309" s="4"/>
      <c r="AH309" s="8"/>
      <c r="AL309" s="4"/>
      <c r="AM309" s="4"/>
    </row>
    <row r="310" spans="1:40" x14ac:dyDescent="0.2">
      <c r="A310" t="s">
        <v>1331</v>
      </c>
      <c r="N310">
        <v>4</v>
      </c>
      <c r="V310" s="8"/>
      <c r="W310" s="8"/>
      <c r="X310" s="8"/>
      <c r="Y310" s="8"/>
      <c r="Z310" s="8"/>
      <c r="AB310" s="4"/>
      <c r="AC310" s="8"/>
      <c r="AD310" s="8"/>
      <c r="AF310" s="4"/>
      <c r="AG310" s="4">
        <v>250</v>
      </c>
      <c r="AH310" s="8"/>
      <c r="AL310" s="4"/>
      <c r="AM310" s="4"/>
    </row>
    <row r="311" spans="1:40" x14ac:dyDescent="0.2">
      <c r="A311" t="s">
        <v>1159</v>
      </c>
      <c r="O311">
        <v>4</v>
      </c>
      <c r="V311" s="8"/>
      <c r="W311" s="8"/>
      <c r="X311" s="8"/>
      <c r="Y311" s="8"/>
      <c r="Z311" s="8"/>
      <c r="AB311" s="4"/>
      <c r="AC311" s="8"/>
      <c r="AD311" s="8"/>
      <c r="AF311" s="4">
        <v>10</v>
      </c>
      <c r="AG311" s="4"/>
      <c r="AH311" s="8"/>
      <c r="AL311" s="4"/>
      <c r="AM311" s="4"/>
    </row>
    <row r="312" spans="1:40" x14ac:dyDescent="0.2">
      <c r="A312" t="s">
        <v>1332</v>
      </c>
      <c r="O312">
        <v>4</v>
      </c>
      <c r="V312" s="8"/>
      <c r="W312" s="8"/>
      <c r="X312" s="8"/>
      <c r="Y312" s="8"/>
      <c r="Z312" s="8"/>
      <c r="AB312" s="4"/>
      <c r="AC312" s="8"/>
      <c r="AD312" s="8"/>
      <c r="AF312" s="4"/>
      <c r="AG312" s="4">
        <v>250</v>
      </c>
      <c r="AH312" s="8"/>
      <c r="AL312" s="4"/>
      <c r="AM312" s="4"/>
    </row>
    <row r="313" spans="1:40" x14ac:dyDescent="0.2">
      <c r="A313" t="s">
        <v>1164</v>
      </c>
      <c r="J313">
        <v>2</v>
      </c>
      <c r="R313">
        <v>4</v>
      </c>
      <c r="V313" s="8"/>
      <c r="W313" s="8"/>
      <c r="X313" s="8"/>
      <c r="Y313" s="8"/>
      <c r="Z313" s="8"/>
      <c r="AB313" s="4"/>
      <c r="AC313" s="8"/>
      <c r="AD313" s="8"/>
      <c r="AE313" s="4">
        <v>4</v>
      </c>
      <c r="AF313" s="4"/>
      <c r="AG313" s="4"/>
      <c r="AH313" s="8"/>
      <c r="AL313" s="4"/>
      <c r="AM313" s="4"/>
    </row>
    <row r="314" spans="1:40" x14ac:dyDescent="0.2">
      <c r="A314" t="s">
        <v>1165</v>
      </c>
      <c r="G314">
        <v>2</v>
      </c>
      <c r="I314">
        <v>2</v>
      </c>
      <c r="N314">
        <v>10</v>
      </c>
      <c r="V314" s="8"/>
      <c r="W314" s="8"/>
      <c r="X314" s="8"/>
      <c r="Y314" s="8"/>
      <c r="Z314" s="8"/>
      <c r="AB314" s="4"/>
      <c r="AC314" s="8"/>
      <c r="AD314" s="8"/>
      <c r="AF314" s="4"/>
      <c r="AG314" s="4"/>
      <c r="AH314" s="8"/>
      <c r="AL314" s="4"/>
      <c r="AM314" s="4"/>
    </row>
    <row r="315" spans="1:40" x14ac:dyDescent="0.2">
      <c r="A315" t="s">
        <v>1166</v>
      </c>
      <c r="G315">
        <v>2</v>
      </c>
      <c r="I315">
        <v>2</v>
      </c>
      <c r="N315">
        <v>5</v>
      </c>
      <c r="V315" s="8"/>
      <c r="W315" s="8"/>
      <c r="X315" s="8"/>
      <c r="Y315" s="8"/>
      <c r="Z315" s="8"/>
      <c r="AB315" s="4"/>
      <c r="AC315" s="8"/>
      <c r="AD315" s="8"/>
      <c r="AF315" s="4"/>
      <c r="AG315" s="4"/>
      <c r="AH315" s="8"/>
      <c r="AL315" s="4"/>
      <c r="AM315" s="4"/>
    </row>
    <row r="316" spans="1:40" x14ac:dyDescent="0.2">
      <c r="A316" t="s">
        <v>1167</v>
      </c>
      <c r="G316">
        <v>3</v>
      </c>
      <c r="I316">
        <v>3</v>
      </c>
      <c r="N316">
        <v>10</v>
      </c>
      <c r="V316" s="8"/>
      <c r="W316" s="8"/>
      <c r="X316" s="8"/>
      <c r="Y316" s="8"/>
      <c r="Z316" s="8"/>
      <c r="AB316" s="4"/>
      <c r="AC316" s="8"/>
      <c r="AD316" s="8"/>
      <c r="AF316" s="4"/>
      <c r="AG316" s="4"/>
      <c r="AH316" s="8"/>
      <c r="AL316" s="4"/>
      <c r="AM316" s="4"/>
    </row>
    <row r="317" spans="1:40" x14ac:dyDescent="0.2">
      <c r="A317" t="s">
        <v>1168</v>
      </c>
      <c r="G317">
        <v>3</v>
      </c>
      <c r="I317">
        <v>3</v>
      </c>
      <c r="N317">
        <v>5</v>
      </c>
      <c r="V317" s="8"/>
      <c r="W317" s="8"/>
      <c r="X317" s="8"/>
      <c r="Y317" s="8"/>
      <c r="Z317" s="8"/>
      <c r="AB317" s="4"/>
      <c r="AC317" s="8"/>
      <c r="AD317" s="8"/>
      <c r="AF317" s="4"/>
      <c r="AG317" s="4"/>
      <c r="AH317" s="8"/>
      <c r="AL317" s="4"/>
      <c r="AM317" s="4"/>
    </row>
    <row r="318" spans="1:40" x14ac:dyDescent="0.2">
      <c r="A318" t="s">
        <v>1719</v>
      </c>
      <c r="G318">
        <v>5</v>
      </c>
      <c r="H318">
        <v>5</v>
      </c>
      <c r="V318" s="8">
        <v>0.05</v>
      </c>
      <c r="W318" s="8"/>
      <c r="X318" s="8"/>
      <c r="Y318" s="8"/>
      <c r="Z318" s="8"/>
      <c r="AB318" s="4"/>
      <c r="AC318" s="8"/>
      <c r="AD318" s="8"/>
      <c r="AE318" s="4">
        <v>5</v>
      </c>
      <c r="AF318" s="4"/>
      <c r="AG318" s="4"/>
      <c r="AH318" s="8"/>
      <c r="AL318" s="4"/>
      <c r="AM318" s="4"/>
    </row>
    <row r="319" spans="1:40" x14ac:dyDescent="0.2">
      <c r="A319" t="s">
        <v>1161</v>
      </c>
      <c r="N319">
        <v>8</v>
      </c>
      <c r="V319" s="8"/>
      <c r="W319" s="8"/>
      <c r="X319" s="8"/>
      <c r="Y319" s="8"/>
      <c r="Z319" s="8"/>
      <c r="AA319" s="8"/>
      <c r="AB319" s="4"/>
      <c r="AC319" s="8"/>
      <c r="AD319" s="8"/>
      <c r="AE319" s="4">
        <v>1</v>
      </c>
      <c r="AF319" s="4"/>
      <c r="AG319" s="4"/>
      <c r="AH319" s="8"/>
      <c r="AI319" s="8"/>
      <c r="AJ319" s="8"/>
      <c r="AK319" s="8"/>
      <c r="AL319" s="8"/>
      <c r="AM319" s="8"/>
    </row>
    <row r="320" spans="1:40" x14ac:dyDescent="0.2">
      <c r="A320" t="s">
        <v>1169</v>
      </c>
      <c r="N320">
        <v>5</v>
      </c>
      <c r="O320">
        <v>15</v>
      </c>
      <c r="V320" s="8"/>
      <c r="W320" s="8"/>
      <c r="X320" s="8"/>
      <c r="Y320" s="8"/>
      <c r="Z320" s="4"/>
      <c r="AA320" s="8"/>
      <c r="AB320" s="4"/>
      <c r="AC320" s="8"/>
      <c r="AD320" s="8"/>
      <c r="AF320" s="4"/>
      <c r="AG320" s="4"/>
      <c r="AH320" s="8"/>
      <c r="AL320" s="4"/>
      <c r="AM320" s="4"/>
    </row>
    <row r="321" spans="1:40" x14ac:dyDescent="0.2">
      <c r="A321" t="s">
        <v>1170</v>
      </c>
      <c r="N321">
        <v>6</v>
      </c>
      <c r="O321">
        <v>16</v>
      </c>
      <c r="V321" s="8"/>
      <c r="W321" s="8"/>
      <c r="X321" s="8"/>
      <c r="Y321" s="8"/>
      <c r="Z321" s="4"/>
      <c r="AA321" s="8"/>
      <c r="AB321" s="4"/>
      <c r="AC321" s="8"/>
      <c r="AD321" s="8"/>
      <c r="AF321" s="4"/>
      <c r="AG321" s="4"/>
      <c r="AH321" s="8"/>
      <c r="AL321" s="4"/>
      <c r="AM321" s="4"/>
    </row>
    <row r="322" spans="1:40" x14ac:dyDescent="0.2">
      <c r="A322" t="s">
        <v>1171</v>
      </c>
      <c r="N322">
        <v>10</v>
      </c>
      <c r="O322">
        <v>10</v>
      </c>
      <c r="V322" s="8">
        <v>0.01</v>
      </c>
      <c r="W322" s="8"/>
      <c r="X322" s="8"/>
      <c r="Y322" s="8"/>
      <c r="Z322" s="4"/>
      <c r="AA322" s="8"/>
      <c r="AB322" s="4"/>
      <c r="AC322" s="8"/>
      <c r="AD322" s="8"/>
      <c r="AE322" s="4">
        <v>5</v>
      </c>
      <c r="AF322" s="4"/>
      <c r="AG322" s="4"/>
      <c r="AH322" s="8"/>
      <c r="AL322" s="4"/>
      <c r="AM322" s="4"/>
    </row>
    <row r="323" spans="1:40" x14ac:dyDescent="0.2">
      <c r="A323" t="s">
        <v>1172</v>
      </c>
      <c r="B323">
        <v>5</v>
      </c>
      <c r="O323">
        <v>6</v>
      </c>
      <c r="V323" s="8"/>
      <c r="W323" s="8"/>
      <c r="X323" s="8"/>
      <c r="Y323" s="8"/>
      <c r="Z323" s="4"/>
      <c r="AA323" s="8"/>
      <c r="AB323" s="4"/>
      <c r="AC323" s="8"/>
      <c r="AD323" s="8"/>
      <c r="AE323" s="4">
        <v>5</v>
      </c>
      <c r="AF323" s="4"/>
      <c r="AG323" s="4"/>
      <c r="AH323" s="8"/>
      <c r="AL323" s="4"/>
      <c r="AM323" s="4"/>
    </row>
    <row r="324" spans="1:40" x14ac:dyDescent="0.2">
      <c r="A324" s="3" t="s">
        <v>1173</v>
      </c>
      <c r="V324" s="8">
        <v>0.03</v>
      </c>
      <c r="W324" s="8"/>
      <c r="X324" s="8"/>
      <c r="Y324" s="8"/>
      <c r="Z324" s="8"/>
      <c r="AA324" s="8"/>
      <c r="AB324" s="4"/>
      <c r="AC324" s="8"/>
      <c r="AD324" s="8"/>
      <c r="AE324"/>
      <c r="AF324" s="4"/>
      <c r="AG324" s="4"/>
      <c r="AH324" s="8"/>
      <c r="AL324" s="4"/>
      <c r="AN324"/>
    </row>
    <row r="325" spans="1:40" x14ac:dyDescent="0.2">
      <c r="A325" t="s">
        <v>1174</v>
      </c>
      <c r="G325">
        <v>3</v>
      </c>
      <c r="V325" s="8"/>
      <c r="W325" s="8"/>
      <c r="X325" s="8"/>
      <c r="Y325" s="8"/>
      <c r="Z325" s="8"/>
      <c r="AB325" s="4"/>
      <c r="AC325" s="8"/>
      <c r="AD325" s="8"/>
      <c r="AF325" s="4"/>
      <c r="AG325" s="4"/>
      <c r="AH325" s="8"/>
      <c r="AL325" s="4"/>
      <c r="AM325" s="4"/>
    </row>
    <row r="326" spans="1:40" x14ac:dyDescent="0.2">
      <c r="A326" t="s">
        <v>1175</v>
      </c>
      <c r="G326">
        <v>4</v>
      </c>
      <c r="V326" s="8"/>
      <c r="W326" s="8"/>
      <c r="X326" s="8"/>
      <c r="Y326" s="8"/>
      <c r="Z326" s="8"/>
      <c r="AB326" s="4"/>
      <c r="AC326" s="8"/>
      <c r="AD326" s="8"/>
      <c r="AF326" s="4"/>
      <c r="AG326" s="4"/>
      <c r="AH326" s="8"/>
      <c r="AL326" s="4"/>
      <c r="AM326" s="4"/>
    </row>
    <row r="327" spans="1:40" x14ac:dyDescent="0.2">
      <c r="A327" s="3" t="s">
        <v>1176</v>
      </c>
      <c r="N327">
        <v>12</v>
      </c>
      <c r="V327" s="8"/>
      <c r="W327" s="8"/>
      <c r="X327" s="8"/>
      <c r="Y327" s="8"/>
      <c r="Z327" s="8"/>
      <c r="AA327" s="8"/>
      <c r="AB327" s="4"/>
      <c r="AC327" s="8"/>
      <c r="AD327" s="8"/>
      <c r="AE327"/>
      <c r="AF327" s="4"/>
      <c r="AG327" s="4"/>
      <c r="AH327" s="8"/>
      <c r="AI327" s="8"/>
      <c r="AJ327" s="8"/>
      <c r="AK327" s="8"/>
      <c r="AL327" s="8"/>
      <c r="AN327"/>
    </row>
    <row r="328" spans="1:40" x14ac:dyDescent="0.2">
      <c r="A328" s="3" t="s">
        <v>1177</v>
      </c>
      <c r="G328">
        <v>5</v>
      </c>
      <c r="N328">
        <v>9</v>
      </c>
      <c r="V328" s="8"/>
      <c r="W328" s="8"/>
      <c r="X328" s="8"/>
      <c r="Y328" s="8"/>
      <c r="Z328" s="8"/>
      <c r="AA328" s="8"/>
      <c r="AB328" s="4"/>
      <c r="AC328" s="8"/>
      <c r="AD328" s="8"/>
      <c r="AE328"/>
      <c r="AF328" s="4"/>
      <c r="AG328" s="4"/>
      <c r="AH328" s="8"/>
      <c r="AI328" s="8"/>
      <c r="AJ328" s="8"/>
      <c r="AK328" s="8"/>
      <c r="AL328" s="8"/>
      <c r="AN328"/>
    </row>
    <row r="329" spans="1:40" x14ac:dyDescent="0.2">
      <c r="A329" s="3" t="s">
        <v>1179</v>
      </c>
      <c r="G329">
        <v>1</v>
      </c>
      <c r="N329">
        <v>9</v>
      </c>
      <c r="V329" s="8"/>
      <c r="W329" s="8"/>
      <c r="X329" s="8"/>
      <c r="Y329" s="8"/>
      <c r="Z329" s="8"/>
      <c r="AA329" s="8"/>
      <c r="AB329" s="4"/>
      <c r="AC329" s="8"/>
      <c r="AD329" s="8"/>
      <c r="AE329"/>
      <c r="AF329" s="4"/>
      <c r="AG329" s="4"/>
      <c r="AH329" s="8"/>
      <c r="AI329" s="8"/>
      <c r="AJ329" s="8"/>
      <c r="AK329" s="8"/>
      <c r="AL329" s="8"/>
      <c r="AN329"/>
    </row>
    <row r="330" spans="1:40" x14ac:dyDescent="0.2">
      <c r="A330" s="3" t="s">
        <v>1180</v>
      </c>
      <c r="G330">
        <v>5</v>
      </c>
      <c r="N330">
        <v>10</v>
      </c>
      <c r="V330" s="8"/>
      <c r="W330" s="8"/>
      <c r="X330" s="8"/>
      <c r="Y330" s="8"/>
      <c r="Z330" s="8"/>
      <c r="AA330" s="8"/>
      <c r="AB330" s="4"/>
      <c r="AC330" s="8"/>
      <c r="AD330" s="8"/>
      <c r="AE330"/>
      <c r="AF330" s="4"/>
      <c r="AG330" s="4"/>
      <c r="AH330" s="8"/>
      <c r="AI330" s="8"/>
      <c r="AJ330" s="8"/>
      <c r="AK330" s="8"/>
      <c r="AL330" s="8"/>
      <c r="AN330"/>
    </row>
    <row r="331" spans="1:40" x14ac:dyDescent="0.2">
      <c r="A331" s="3" t="s">
        <v>1178</v>
      </c>
      <c r="G331">
        <v>1</v>
      </c>
      <c r="N331">
        <v>10</v>
      </c>
      <c r="V331" s="8"/>
      <c r="W331" s="8"/>
      <c r="X331" s="8"/>
      <c r="Y331" s="8"/>
      <c r="Z331" s="8"/>
      <c r="AA331" s="8"/>
      <c r="AB331" s="4"/>
      <c r="AC331" s="8"/>
      <c r="AD331" s="8"/>
      <c r="AE331"/>
      <c r="AF331" s="4"/>
      <c r="AG331" s="4"/>
      <c r="AH331" s="8"/>
      <c r="AI331" s="8"/>
      <c r="AJ331" s="8"/>
      <c r="AK331" s="8"/>
      <c r="AL331" s="8"/>
      <c r="AN331"/>
    </row>
    <row r="332" spans="1:40" x14ac:dyDescent="0.2">
      <c r="AG332" s="4"/>
      <c r="AL332" s="4"/>
      <c r="AM332" s="4"/>
    </row>
    <row r="334" spans="1:40" s="1" customFormat="1" x14ac:dyDescent="0.2">
      <c r="A334" s="1" t="s">
        <v>91</v>
      </c>
      <c r="B334" s="1" t="s">
        <v>72</v>
      </c>
      <c r="C334" s="1" t="s">
        <v>482</v>
      </c>
      <c r="D334" s="1" t="s">
        <v>483</v>
      </c>
      <c r="E334" s="1" t="s">
        <v>484</v>
      </c>
      <c r="F334" s="1" t="s">
        <v>492</v>
      </c>
      <c r="G334" s="1" t="s">
        <v>26</v>
      </c>
      <c r="H334" s="1" t="s">
        <v>27</v>
      </c>
      <c r="I334" s="1" t="s">
        <v>23</v>
      </c>
      <c r="J334" s="1" t="s">
        <v>25</v>
      </c>
      <c r="K334" s="1" t="s">
        <v>298</v>
      </c>
      <c r="L334" s="1" t="s">
        <v>299</v>
      </c>
      <c r="M334" s="1" t="s">
        <v>300</v>
      </c>
      <c r="N334" s="1" t="s">
        <v>74</v>
      </c>
      <c r="O334" s="1" t="s">
        <v>73</v>
      </c>
      <c r="P334" s="1" t="s">
        <v>375</v>
      </c>
      <c r="Q334" s="1" t="s">
        <v>553</v>
      </c>
      <c r="R334" s="1" t="s">
        <v>554</v>
      </c>
      <c r="S334" s="1" t="s">
        <v>555</v>
      </c>
      <c r="T334" s="213" t="s">
        <v>556</v>
      </c>
      <c r="U334" s="213" t="s">
        <v>557</v>
      </c>
      <c r="V334" s="1" t="s">
        <v>75</v>
      </c>
      <c r="W334" s="1" t="s">
        <v>76</v>
      </c>
      <c r="X334" s="1" t="s">
        <v>77</v>
      </c>
      <c r="Y334" s="1" t="s">
        <v>480</v>
      </c>
      <c r="Z334" s="1" t="s">
        <v>80</v>
      </c>
      <c r="AA334" s="1" t="s">
        <v>481</v>
      </c>
      <c r="AB334" s="1" t="s">
        <v>28</v>
      </c>
      <c r="AC334" s="1" t="s">
        <v>78</v>
      </c>
      <c r="AD334" s="1" t="s">
        <v>79</v>
      </c>
      <c r="AE334" s="213" t="s">
        <v>82</v>
      </c>
      <c r="AF334" s="1" t="s">
        <v>81</v>
      </c>
      <c r="AG334" s="1" t="s">
        <v>102</v>
      </c>
      <c r="AH334" s="1" t="s">
        <v>103</v>
      </c>
      <c r="AI334" s="213" t="s">
        <v>452</v>
      </c>
      <c r="AJ334" s="213" t="s">
        <v>453</v>
      </c>
      <c r="AK334" s="213" t="s">
        <v>440</v>
      </c>
      <c r="AL334" s="1" t="s">
        <v>349</v>
      </c>
      <c r="AM334" s="1" t="s">
        <v>524</v>
      </c>
      <c r="AN334" s="213" t="s">
        <v>109</v>
      </c>
    </row>
    <row r="335" spans="1:40" x14ac:dyDescent="0.2">
      <c r="A335" t="s">
        <v>245</v>
      </c>
      <c r="V335" s="8"/>
      <c r="W335" s="8"/>
      <c r="X335" s="8"/>
      <c r="Y335" s="8"/>
      <c r="Z335" s="8"/>
      <c r="AB335" s="4"/>
      <c r="AC335" s="8"/>
      <c r="AD335" s="8"/>
      <c r="AF335" s="8"/>
      <c r="AG335" s="8"/>
      <c r="AH335" s="8"/>
      <c r="AL335" s="8"/>
      <c r="AM335" s="8"/>
    </row>
    <row r="336" spans="1:40" x14ac:dyDescent="0.2">
      <c r="A336" t="s">
        <v>867</v>
      </c>
      <c r="G336">
        <v>25</v>
      </c>
      <c r="H336">
        <v>20</v>
      </c>
      <c r="I336">
        <v>24</v>
      </c>
      <c r="J336">
        <v>19</v>
      </c>
      <c r="K336">
        <v>19</v>
      </c>
      <c r="L336">
        <v>19</v>
      </c>
      <c r="M336">
        <v>19</v>
      </c>
      <c r="N336">
        <v>10</v>
      </c>
      <c r="O336">
        <v>10</v>
      </c>
      <c r="V336" s="8">
        <v>0.02</v>
      </c>
      <c r="W336" s="8"/>
      <c r="X336" s="8"/>
      <c r="Y336" s="8"/>
      <c r="Z336" s="8"/>
      <c r="AB336" s="4">
        <v>30</v>
      </c>
      <c r="AC336" s="8"/>
      <c r="AD336" s="8"/>
      <c r="AF336" s="8"/>
      <c r="AG336" s="8"/>
      <c r="AH336" s="8"/>
      <c r="AL336" s="8"/>
      <c r="AM336" s="8"/>
    </row>
    <row r="337" spans="1:40" x14ac:dyDescent="0.2">
      <c r="A337" t="str">
        <f>Augments!A33</f>
        <v>Acro Surcoat (DA)</v>
      </c>
      <c r="B337">
        <f t="shared" ref="B337:K340" ca="1" si="20">IF(ISBLANK($A337),0,VLOOKUP($A337,INDIRECT(CONCATENATE("Aug",$A$334)),MATCH(B$1,AugStatHeader,0),0)
+VLOOKUP(LEFT($A337,FIND(" (",$A337,1)-1),INDIRECT("BaseAugArmor"),MATCH(B$1,StatHeader,0),0))</f>
        <v>0</v>
      </c>
      <c r="C337">
        <f t="shared" ca="1" si="20"/>
        <v>0</v>
      </c>
      <c r="D337">
        <f t="shared" ca="1" si="20"/>
        <v>0</v>
      </c>
      <c r="E337">
        <f t="shared" ca="1" si="20"/>
        <v>0</v>
      </c>
      <c r="F337">
        <f t="shared" ca="1" si="20"/>
        <v>0</v>
      </c>
      <c r="G337">
        <f t="shared" ca="1" si="20"/>
        <v>32</v>
      </c>
      <c r="H337">
        <f t="shared" ca="1" si="20"/>
        <v>27</v>
      </c>
      <c r="I337">
        <f t="shared" ca="1" si="20"/>
        <v>24</v>
      </c>
      <c r="J337">
        <f t="shared" ca="1" si="20"/>
        <v>19</v>
      </c>
      <c r="K337">
        <f t="shared" ca="1" si="20"/>
        <v>19</v>
      </c>
      <c r="L337">
        <f t="shared" ref="L337:U340" ca="1" si="21">IF(ISBLANK($A337),0,VLOOKUP($A337,INDIRECT(CONCATENATE("Aug",$A$334)),MATCH(L$1,AugStatHeader,0),0)
+VLOOKUP(LEFT($A337,FIND(" (",$A337,1)-1),INDIRECT("BaseAugArmor"),MATCH(L$1,StatHeader,0),0))</f>
        <v>19</v>
      </c>
      <c r="M337">
        <f t="shared" ca="1" si="21"/>
        <v>19</v>
      </c>
      <c r="N337">
        <f t="shared" ca="1" si="21"/>
        <v>30</v>
      </c>
      <c r="O337">
        <f t="shared" ca="1" si="21"/>
        <v>30</v>
      </c>
      <c r="P337" s="8">
        <f t="shared" ca="1" si="21"/>
        <v>0</v>
      </c>
      <c r="Q337">
        <f t="shared" ca="1" si="21"/>
        <v>0</v>
      </c>
      <c r="R337">
        <f t="shared" ca="1" si="21"/>
        <v>0</v>
      </c>
      <c r="S337">
        <f t="shared" ca="1" si="21"/>
        <v>0</v>
      </c>
      <c r="T337">
        <f t="shared" ca="1" si="21"/>
        <v>0</v>
      </c>
      <c r="U337">
        <f t="shared" ca="1" si="21"/>
        <v>0</v>
      </c>
      <c r="V337" s="8">
        <f t="shared" ref="V337:AE340" ca="1" si="22">IF(ISBLANK($A337),0,VLOOKUP($A337,INDIRECT(CONCATENATE("Aug",$A$334)),MATCH(V$1,AugStatHeader,0),0)
+VLOOKUP(LEFT($A337,FIND(" (",$A337,1)-1),INDIRECT("BaseAugArmor"),MATCH(V$1,StatHeader,0),0))</f>
        <v>0.05</v>
      </c>
      <c r="W337" s="8">
        <f t="shared" ca="1" si="22"/>
        <v>0</v>
      </c>
      <c r="X337" s="8">
        <f t="shared" ca="1" si="22"/>
        <v>0</v>
      </c>
      <c r="Y337" s="8">
        <f t="shared" ca="1" si="22"/>
        <v>0</v>
      </c>
      <c r="Z337" s="8">
        <f t="shared" ca="1" si="22"/>
        <v>0</v>
      </c>
      <c r="AA337">
        <f t="shared" ca="1" si="22"/>
        <v>0</v>
      </c>
      <c r="AB337">
        <f t="shared" ca="1" si="22"/>
        <v>30</v>
      </c>
      <c r="AC337" s="8">
        <f t="shared" ca="1" si="22"/>
        <v>0</v>
      </c>
      <c r="AD337" s="8">
        <f t="shared" ca="1" si="22"/>
        <v>0</v>
      </c>
      <c r="AE337">
        <f t="shared" ca="1" si="22"/>
        <v>0</v>
      </c>
      <c r="AF337">
        <f t="shared" ref="AF337:AN340" ca="1" si="23">IF(ISBLANK($A337),0,VLOOKUP($A337,INDIRECT(CONCATENATE("Aug",$A$334)),MATCH(AF$1,AugStatHeader,0),0)
+VLOOKUP(LEFT($A337,FIND(" (",$A337,1)-1),INDIRECT("BaseAugArmor"),MATCH(AF$1,StatHeader,0),0))</f>
        <v>0</v>
      </c>
      <c r="AG337">
        <f t="shared" ca="1" si="23"/>
        <v>0</v>
      </c>
      <c r="AH337" s="8">
        <f t="shared" ca="1" si="23"/>
        <v>0</v>
      </c>
      <c r="AI337">
        <f t="shared" ca="1" si="23"/>
        <v>0</v>
      </c>
      <c r="AJ337">
        <f t="shared" ca="1" si="23"/>
        <v>0</v>
      </c>
      <c r="AK337">
        <f t="shared" ca="1" si="23"/>
        <v>0</v>
      </c>
      <c r="AL337">
        <f t="shared" ca="1" si="23"/>
        <v>0</v>
      </c>
      <c r="AM337" s="8">
        <f t="shared" ca="1" si="23"/>
        <v>0</v>
      </c>
      <c r="AN337">
        <f t="shared" ca="1" si="23"/>
        <v>0</v>
      </c>
    </row>
    <row r="338" spans="1:40" x14ac:dyDescent="0.2">
      <c r="A338" t="str">
        <f>Augments!A34</f>
        <v>Acro Surcoat (STP)</v>
      </c>
      <c r="B338">
        <f t="shared" ca="1" si="20"/>
        <v>0</v>
      </c>
      <c r="C338">
        <f t="shared" ca="1" si="20"/>
        <v>0</v>
      </c>
      <c r="D338">
        <f t="shared" ca="1" si="20"/>
        <v>0</v>
      </c>
      <c r="E338">
        <f t="shared" ca="1" si="20"/>
        <v>0</v>
      </c>
      <c r="F338">
        <f t="shared" ca="1" si="20"/>
        <v>0</v>
      </c>
      <c r="G338">
        <f t="shared" ca="1" si="20"/>
        <v>32</v>
      </c>
      <c r="H338">
        <f t="shared" ca="1" si="20"/>
        <v>27</v>
      </c>
      <c r="I338">
        <f t="shared" ca="1" si="20"/>
        <v>24</v>
      </c>
      <c r="J338">
        <f t="shared" ca="1" si="20"/>
        <v>19</v>
      </c>
      <c r="K338">
        <f t="shared" ca="1" si="20"/>
        <v>19</v>
      </c>
      <c r="L338">
        <f t="shared" ca="1" si="21"/>
        <v>19</v>
      </c>
      <c r="M338">
        <f t="shared" ca="1" si="21"/>
        <v>19</v>
      </c>
      <c r="N338">
        <f t="shared" ca="1" si="21"/>
        <v>30</v>
      </c>
      <c r="O338">
        <f t="shared" ca="1" si="21"/>
        <v>30</v>
      </c>
      <c r="P338" s="8">
        <f t="shared" ca="1" si="21"/>
        <v>0</v>
      </c>
      <c r="Q338">
        <f t="shared" ca="1" si="21"/>
        <v>0</v>
      </c>
      <c r="R338">
        <f t="shared" ca="1" si="21"/>
        <v>0</v>
      </c>
      <c r="S338">
        <f t="shared" ca="1" si="21"/>
        <v>0</v>
      </c>
      <c r="T338">
        <f t="shared" ca="1" si="21"/>
        <v>0</v>
      </c>
      <c r="U338">
        <f t="shared" ca="1" si="21"/>
        <v>0</v>
      </c>
      <c r="V338" s="8">
        <f t="shared" ca="1" si="22"/>
        <v>0.02</v>
      </c>
      <c r="W338" s="8">
        <f t="shared" ca="1" si="22"/>
        <v>0</v>
      </c>
      <c r="X338" s="8">
        <f t="shared" ca="1" si="22"/>
        <v>0</v>
      </c>
      <c r="Y338" s="8">
        <f t="shared" ca="1" si="22"/>
        <v>0</v>
      </c>
      <c r="Z338" s="8">
        <f t="shared" ca="1" si="22"/>
        <v>0</v>
      </c>
      <c r="AA338">
        <f t="shared" ca="1" si="22"/>
        <v>0</v>
      </c>
      <c r="AB338">
        <f t="shared" ca="1" si="22"/>
        <v>30</v>
      </c>
      <c r="AC338" s="8">
        <f t="shared" ca="1" si="22"/>
        <v>0</v>
      </c>
      <c r="AD338" s="8">
        <f t="shared" ca="1" si="22"/>
        <v>0</v>
      </c>
      <c r="AE338">
        <f t="shared" ca="1" si="22"/>
        <v>6</v>
      </c>
      <c r="AF338">
        <f t="shared" ca="1" si="23"/>
        <v>0</v>
      </c>
      <c r="AG338">
        <f t="shared" ca="1" si="23"/>
        <v>0</v>
      </c>
      <c r="AH338" s="8">
        <f t="shared" ca="1" si="23"/>
        <v>0</v>
      </c>
      <c r="AI338">
        <f t="shared" ca="1" si="23"/>
        <v>0</v>
      </c>
      <c r="AJ338">
        <f t="shared" ca="1" si="23"/>
        <v>0</v>
      </c>
      <c r="AK338">
        <f t="shared" ca="1" si="23"/>
        <v>0</v>
      </c>
      <c r="AL338">
        <f t="shared" ca="1" si="23"/>
        <v>0</v>
      </c>
      <c r="AM338" s="8">
        <f t="shared" ca="1" si="23"/>
        <v>0</v>
      </c>
      <c r="AN338">
        <f t="shared" ca="1" si="23"/>
        <v>0</v>
      </c>
    </row>
    <row r="339" spans="1:40" x14ac:dyDescent="0.2">
      <c r="A339" t="str">
        <f>Augments!A35</f>
        <v>Acro Surcoat (Custom 1)</v>
      </c>
      <c r="B339">
        <f t="shared" ca="1" si="20"/>
        <v>0</v>
      </c>
      <c r="C339">
        <f t="shared" ca="1" si="20"/>
        <v>0</v>
      </c>
      <c r="D339">
        <f t="shared" ca="1" si="20"/>
        <v>0</v>
      </c>
      <c r="E339">
        <f t="shared" ca="1" si="20"/>
        <v>0</v>
      </c>
      <c r="F339">
        <f t="shared" ca="1" si="20"/>
        <v>0</v>
      </c>
      <c r="G339">
        <f t="shared" ca="1" si="20"/>
        <v>25</v>
      </c>
      <c r="H339">
        <f t="shared" ca="1" si="20"/>
        <v>20</v>
      </c>
      <c r="I339">
        <f t="shared" ca="1" si="20"/>
        <v>24</v>
      </c>
      <c r="J339">
        <f t="shared" ca="1" si="20"/>
        <v>19</v>
      </c>
      <c r="K339">
        <f t="shared" ca="1" si="20"/>
        <v>19</v>
      </c>
      <c r="L339">
        <f t="shared" ca="1" si="21"/>
        <v>19</v>
      </c>
      <c r="M339">
        <f t="shared" ca="1" si="21"/>
        <v>19</v>
      </c>
      <c r="N339">
        <f t="shared" ca="1" si="21"/>
        <v>10</v>
      </c>
      <c r="O339">
        <f t="shared" ca="1" si="21"/>
        <v>10</v>
      </c>
      <c r="P339" s="8">
        <f t="shared" ca="1" si="21"/>
        <v>0</v>
      </c>
      <c r="Q339">
        <f t="shared" ca="1" si="21"/>
        <v>0</v>
      </c>
      <c r="R339">
        <f t="shared" ca="1" si="21"/>
        <v>0</v>
      </c>
      <c r="S339">
        <f t="shared" ca="1" si="21"/>
        <v>0</v>
      </c>
      <c r="T339">
        <f t="shared" ca="1" si="21"/>
        <v>0</v>
      </c>
      <c r="U339">
        <f t="shared" ca="1" si="21"/>
        <v>0</v>
      </c>
      <c r="V339" s="8">
        <f t="shared" ca="1" si="22"/>
        <v>0.02</v>
      </c>
      <c r="W339" s="8">
        <f t="shared" ca="1" si="22"/>
        <v>0</v>
      </c>
      <c r="X339" s="8">
        <f t="shared" ca="1" si="22"/>
        <v>0</v>
      </c>
      <c r="Y339" s="8">
        <f t="shared" ca="1" si="22"/>
        <v>0</v>
      </c>
      <c r="Z339" s="8">
        <f t="shared" ca="1" si="22"/>
        <v>0</v>
      </c>
      <c r="AA339">
        <f t="shared" ca="1" si="22"/>
        <v>0</v>
      </c>
      <c r="AB339">
        <f t="shared" ca="1" si="22"/>
        <v>30</v>
      </c>
      <c r="AC339" s="8">
        <f t="shared" ca="1" si="22"/>
        <v>0</v>
      </c>
      <c r="AD339" s="8">
        <f t="shared" ca="1" si="22"/>
        <v>0</v>
      </c>
      <c r="AE339">
        <f t="shared" ca="1" si="22"/>
        <v>0</v>
      </c>
      <c r="AF339">
        <f t="shared" ca="1" si="23"/>
        <v>0</v>
      </c>
      <c r="AG339">
        <f t="shared" ca="1" si="23"/>
        <v>0</v>
      </c>
      <c r="AH339" s="8">
        <f t="shared" ca="1" si="23"/>
        <v>0</v>
      </c>
      <c r="AI339">
        <f t="shared" ca="1" si="23"/>
        <v>0</v>
      </c>
      <c r="AJ339">
        <f t="shared" ca="1" si="23"/>
        <v>0</v>
      </c>
      <c r="AK339">
        <f t="shared" ca="1" si="23"/>
        <v>0</v>
      </c>
      <c r="AL339">
        <f t="shared" ca="1" si="23"/>
        <v>0</v>
      </c>
      <c r="AM339" s="8">
        <f t="shared" ca="1" si="23"/>
        <v>0</v>
      </c>
      <c r="AN339">
        <f t="shared" ca="1" si="23"/>
        <v>0</v>
      </c>
    </row>
    <row r="340" spans="1:40" x14ac:dyDescent="0.2">
      <c r="A340" t="str">
        <f>Augments!A36</f>
        <v>Acro Surcoat (Custom 2)</v>
      </c>
      <c r="B340">
        <f t="shared" ca="1" si="20"/>
        <v>0</v>
      </c>
      <c r="C340">
        <f t="shared" ca="1" si="20"/>
        <v>0</v>
      </c>
      <c r="D340">
        <f t="shared" ca="1" si="20"/>
        <v>0</v>
      </c>
      <c r="E340">
        <f t="shared" ca="1" si="20"/>
        <v>0</v>
      </c>
      <c r="F340">
        <f t="shared" ca="1" si="20"/>
        <v>0</v>
      </c>
      <c r="G340">
        <f t="shared" ca="1" si="20"/>
        <v>25</v>
      </c>
      <c r="H340">
        <f t="shared" ca="1" si="20"/>
        <v>20</v>
      </c>
      <c r="I340">
        <f t="shared" ca="1" si="20"/>
        <v>24</v>
      </c>
      <c r="J340">
        <f t="shared" ca="1" si="20"/>
        <v>19</v>
      </c>
      <c r="K340">
        <f t="shared" ca="1" si="20"/>
        <v>19</v>
      </c>
      <c r="L340">
        <f t="shared" ca="1" si="21"/>
        <v>19</v>
      </c>
      <c r="M340">
        <f t="shared" ca="1" si="21"/>
        <v>19</v>
      </c>
      <c r="N340">
        <f t="shared" ca="1" si="21"/>
        <v>10</v>
      </c>
      <c r="O340">
        <f t="shared" ca="1" si="21"/>
        <v>10</v>
      </c>
      <c r="P340" s="8">
        <f t="shared" ca="1" si="21"/>
        <v>0</v>
      </c>
      <c r="Q340">
        <f t="shared" ca="1" si="21"/>
        <v>0</v>
      </c>
      <c r="R340">
        <f t="shared" ca="1" si="21"/>
        <v>0</v>
      </c>
      <c r="S340">
        <f t="shared" ca="1" si="21"/>
        <v>0</v>
      </c>
      <c r="T340">
        <f t="shared" ca="1" si="21"/>
        <v>0</v>
      </c>
      <c r="U340">
        <f t="shared" ca="1" si="21"/>
        <v>0</v>
      </c>
      <c r="V340" s="8">
        <f t="shared" ca="1" si="22"/>
        <v>0.02</v>
      </c>
      <c r="W340" s="8">
        <f t="shared" ca="1" si="22"/>
        <v>0</v>
      </c>
      <c r="X340" s="8">
        <f t="shared" ca="1" si="22"/>
        <v>0</v>
      </c>
      <c r="Y340" s="8">
        <f t="shared" ca="1" si="22"/>
        <v>0</v>
      </c>
      <c r="Z340" s="8">
        <f t="shared" ca="1" si="22"/>
        <v>0</v>
      </c>
      <c r="AA340">
        <f t="shared" ca="1" si="22"/>
        <v>0</v>
      </c>
      <c r="AB340">
        <f t="shared" ca="1" si="22"/>
        <v>30</v>
      </c>
      <c r="AC340" s="8">
        <f t="shared" ca="1" si="22"/>
        <v>0</v>
      </c>
      <c r="AD340" s="8">
        <f t="shared" ca="1" si="22"/>
        <v>0</v>
      </c>
      <c r="AE340">
        <f t="shared" ca="1" si="22"/>
        <v>0</v>
      </c>
      <c r="AF340">
        <f t="shared" ca="1" si="23"/>
        <v>0</v>
      </c>
      <c r="AG340">
        <f t="shared" ca="1" si="23"/>
        <v>0</v>
      </c>
      <c r="AH340" s="8">
        <f t="shared" ca="1" si="23"/>
        <v>0</v>
      </c>
      <c r="AI340">
        <f t="shared" ca="1" si="23"/>
        <v>0</v>
      </c>
      <c r="AJ340">
        <f t="shared" ca="1" si="23"/>
        <v>0</v>
      </c>
      <c r="AK340">
        <f t="shared" ca="1" si="23"/>
        <v>0</v>
      </c>
      <c r="AL340">
        <f t="shared" ca="1" si="23"/>
        <v>0</v>
      </c>
      <c r="AM340" s="8">
        <f t="shared" ca="1" si="23"/>
        <v>0</v>
      </c>
      <c r="AN340">
        <f t="shared" ca="1" si="23"/>
        <v>0</v>
      </c>
    </row>
    <row r="341" spans="1:40" x14ac:dyDescent="0.2">
      <c r="A341" t="s">
        <v>839</v>
      </c>
      <c r="G341">
        <v>17</v>
      </c>
      <c r="H341">
        <v>28</v>
      </c>
      <c r="I341">
        <v>17</v>
      </c>
      <c r="J341">
        <v>27</v>
      </c>
      <c r="K341">
        <v>16</v>
      </c>
      <c r="L341">
        <v>16</v>
      </c>
      <c r="M341">
        <v>16</v>
      </c>
      <c r="N341">
        <v>14</v>
      </c>
      <c r="Q341">
        <v>14</v>
      </c>
      <c r="V341" s="8"/>
      <c r="W341" s="8"/>
      <c r="X341" s="8"/>
      <c r="Y341" s="8"/>
      <c r="Z341" s="8"/>
      <c r="AB341" s="4">
        <v>40</v>
      </c>
      <c r="AC341" s="8"/>
      <c r="AD341" s="8"/>
      <c r="AF341" s="8"/>
      <c r="AG341" s="8"/>
      <c r="AH341" s="8"/>
      <c r="AL341" s="8"/>
      <c r="AM341" s="8"/>
    </row>
    <row r="342" spans="1:40" x14ac:dyDescent="0.2">
      <c r="A342" s="144" t="s">
        <v>840</v>
      </c>
      <c r="G342">
        <v>20</v>
      </c>
      <c r="H342">
        <v>31</v>
      </c>
      <c r="I342">
        <v>20</v>
      </c>
      <c r="J342">
        <v>30</v>
      </c>
      <c r="K342">
        <v>18</v>
      </c>
      <c r="L342">
        <v>18</v>
      </c>
      <c r="M342">
        <v>18</v>
      </c>
      <c r="N342">
        <v>15</v>
      </c>
      <c r="Q342">
        <v>15</v>
      </c>
      <c r="V342" s="8"/>
      <c r="W342" s="8"/>
      <c r="X342" s="8"/>
      <c r="Y342" s="8"/>
      <c r="Z342" s="8"/>
      <c r="AA342" s="8"/>
      <c r="AB342" s="4">
        <v>40</v>
      </c>
      <c r="AC342" s="8"/>
      <c r="AD342" s="8"/>
      <c r="AF342" s="8"/>
      <c r="AG342" s="8"/>
      <c r="AH342" s="8"/>
      <c r="AL342" s="4"/>
      <c r="AM342" s="8"/>
    </row>
    <row r="343" spans="1:40" x14ac:dyDescent="0.2">
      <c r="A343" s="3" t="s">
        <v>868</v>
      </c>
      <c r="G343">
        <v>24</v>
      </c>
      <c r="H343">
        <v>35</v>
      </c>
      <c r="I343">
        <v>24</v>
      </c>
      <c r="J343">
        <v>28</v>
      </c>
      <c r="K343">
        <v>23</v>
      </c>
      <c r="L343">
        <v>23</v>
      </c>
      <c r="M343">
        <v>23</v>
      </c>
      <c r="N343">
        <v>15</v>
      </c>
      <c r="O343">
        <v>23</v>
      </c>
      <c r="V343" s="8"/>
      <c r="W343" s="8"/>
      <c r="X343" s="8"/>
      <c r="Y343" s="8"/>
      <c r="Z343" s="8"/>
      <c r="AA343" s="8"/>
      <c r="AB343" s="4">
        <v>40</v>
      </c>
      <c r="AC343" s="8"/>
      <c r="AD343" s="8"/>
      <c r="AF343" s="8"/>
      <c r="AG343" s="8"/>
      <c r="AH343" s="8"/>
      <c r="AL343" s="4"/>
      <c r="AM343" s="8"/>
    </row>
    <row r="344" spans="1:40" x14ac:dyDescent="0.2">
      <c r="A344" s="3" t="s">
        <v>869</v>
      </c>
      <c r="G344">
        <v>24</v>
      </c>
      <c r="H344">
        <v>35</v>
      </c>
      <c r="I344">
        <v>24</v>
      </c>
      <c r="J344">
        <v>28</v>
      </c>
      <c r="K344">
        <v>23</v>
      </c>
      <c r="L344">
        <v>23</v>
      </c>
      <c r="M344">
        <v>23</v>
      </c>
      <c r="N344">
        <v>10</v>
      </c>
      <c r="O344">
        <v>23</v>
      </c>
      <c r="V344" s="8"/>
      <c r="W344" s="8"/>
      <c r="X344" s="8"/>
      <c r="Y344" s="8"/>
      <c r="Z344" s="8"/>
      <c r="AA344" s="8"/>
      <c r="AB344" s="4">
        <v>40</v>
      </c>
      <c r="AC344" s="8"/>
      <c r="AD344" s="8"/>
      <c r="AF344" s="8"/>
      <c r="AG344" s="8"/>
      <c r="AH344" s="8"/>
      <c r="AL344" s="4"/>
      <c r="AM344" s="8"/>
    </row>
    <row r="345" spans="1:40" x14ac:dyDescent="0.2">
      <c r="A345" t="s">
        <v>870</v>
      </c>
      <c r="G345">
        <v>24</v>
      </c>
      <c r="H345">
        <v>35</v>
      </c>
      <c r="I345">
        <v>24</v>
      </c>
      <c r="J345">
        <v>28</v>
      </c>
      <c r="K345">
        <v>23</v>
      </c>
      <c r="L345">
        <v>23</v>
      </c>
      <c r="M345">
        <v>23</v>
      </c>
      <c r="N345">
        <v>15</v>
      </c>
      <c r="O345">
        <v>24</v>
      </c>
      <c r="V345" s="8"/>
      <c r="W345" s="8"/>
      <c r="X345" s="8"/>
      <c r="Y345" s="8"/>
      <c r="Z345" s="8"/>
      <c r="AB345" s="4">
        <v>40</v>
      </c>
      <c r="AC345" s="8"/>
      <c r="AD345" s="8"/>
      <c r="AF345" s="8"/>
      <c r="AG345" s="8"/>
      <c r="AH345" s="8"/>
      <c r="AL345" s="8"/>
      <c r="AM345" s="8"/>
    </row>
    <row r="346" spans="1:40" x14ac:dyDescent="0.2">
      <c r="A346" t="s">
        <v>871</v>
      </c>
      <c r="G346">
        <v>24</v>
      </c>
      <c r="H346">
        <v>35</v>
      </c>
      <c r="I346">
        <v>24</v>
      </c>
      <c r="J346">
        <v>28</v>
      </c>
      <c r="K346">
        <v>23</v>
      </c>
      <c r="L346">
        <v>23</v>
      </c>
      <c r="M346">
        <v>23</v>
      </c>
      <c r="N346">
        <v>10</v>
      </c>
      <c r="O346">
        <v>24</v>
      </c>
      <c r="V346" s="8"/>
      <c r="W346" s="8"/>
      <c r="X346" s="8"/>
      <c r="Y346" s="8"/>
      <c r="Z346" s="8"/>
      <c r="AB346" s="4">
        <v>40</v>
      </c>
      <c r="AC346" s="8"/>
      <c r="AD346" s="8"/>
      <c r="AF346" s="8"/>
      <c r="AG346" s="8"/>
      <c r="AH346" s="8"/>
      <c r="AL346" s="8"/>
      <c r="AM346" s="8"/>
    </row>
    <row r="347" spans="1:40" x14ac:dyDescent="0.2">
      <c r="A347" t="s">
        <v>1876</v>
      </c>
      <c r="G347">
        <v>34</v>
      </c>
      <c r="H347">
        <v>26</v>
      </c>
      <c r="I347">
        <v>38</v>
      </c>
      <c r="J347">
        <v>21</v>
      </c>
      <c r="K347">
        <v>24</v>
      </c>
      <c r="L347">
        <v>26</v>
      </c>
      <c r="M347">
        <v>24</v>
      </c>
      <c r="N347">
        <v>42</v>
      </c>
      <c r="V347" s="8"/>
      <c r="W347" s="8"/>
      <c r="X347" s="8"/>
      <c r="Y347" s="8"/>
      <c r="Z347" s="8"/>
      <c r="AB347" s="4">
        <v>30</v>
      </c>
      <c r="AC347" s="8"/>
      <c r="AD347" s="8"/>
      <c r="AF347" s="8"/>
      <c r="AG347" s="8"/>
      <c r="AH347" s="8"/>
      <c r="AL347" s="8"/>
      <c r="AM347" s="8"/>
    </row>
    <row r="348" spans="1:40" x14ac:dyDescent="0.2">
      <c r="A348" t="s">
        <v>1877</v>
      </c>
      <c r="G348">
        <v>39</v>
      </c>
      <c r="H348">
        <v>26</v>
      </c>
      <c r="I348">
        <v>43</v>
      </c>
      <c r="J348">
        <v>21</v>
      </c>
      <c r="K348">
        <v>24</v>
      </c>
      <c r="L348">
        <v>26</v>
      </c>
      <c r="M348">
        <v>24</v>
      </c>
      <c r="N348">
        <v>52</v>
      </c>
      <c r="V348" s="8"/>
      <c r="W348" s="8"/>
      <c r="X348" s="8"/>
      <c r="Y348" s="8"/>
      <c r="Z348" s="8"/>
      <c r="AB348" s="4">
        <v>30</v>
      </c>
      <c r="AC348" s="8"/>
      <c r="AD348" s="8"/>
      <c r="AF348" s="8"/>
      <c r="AG348" s="8"/>
      <c r="AH348" s="8"/>
      <c r="AL348" s="8"/>
      <c r="AM348" s="8"/>
    </row>
    <row r="349" spans="1:40" x14ac:dyDescent="0.2">
      <c r="A349" t="s">
        <v>902</v>
      </c>
      <c r="G349">
        <v>39</v>
      </c>
      <c r="H349">
        <v>28</v>
      </c>
      <c r="I349">
        <v>25</v>
      </c>
      <c r="J349">
        <v>23</v>
      </c>
      <c r="K349">
        <v>36</v>
      </c>
      <c r="L349">
        <v>26</v>
      </c>
      <c r="M349">
        <v>26</v>
      </c>
      <c r="P349" s="8"/>
      <c r="Q349" s="8"/>
      <c r="R349" s="8"/>
      <c r="S349" s="11">
        <v>28</v>
      </c>
      <c r="T349" s="11">
        <v>20</v>
      </c>
      <c r="U349" s="8"/>
      <c r="V349" s="8"/>
      <c r="W349" s="8"/>
      <c r="X349" s="8"/>
      <c r="Y349" s="8"/>
      <c r="Z349" s="8"/>
      <c r="AB349" s="4">
        <v>40</v>
      </c>
      <c r="AC349" s="8"/>
      <c r="AD349" s="8"/>
      <c r="AF349" s="8"/>
      <c r="AG349" s="8"/>
      <c r="AH349" s="8"/>
      <c r="AL349" s="8"/>
      <c r="AM349" s="8"/>
    </row>
    <row r="350" spans="1:40" x14ac:dyDescent="0.2">
      <c r="A350" t="s">
        <v>903</v>
      </c>
      <c r="G350">
        <v>29</v>
      </c>
      <c r="H350">
        <v>38</v>
      </c>
      <c r="I350">
        <v>25</v>
      </c>
      <c r="J350">
        <v>23</v>
      </c>
      <c r="K350">
        <v>26</v>
      </c>
      <c r="L350">
        <v>41</v>
      </c>
      <c r="M350">
        <v>26</v>
      </c>
      <c r="N350">
        <v>10</v>
      </c>
      <c r="P350" s="8"/>
      <c r="Q350" s="8"/>
      <c r="R350" s="8"/>
      <c r="S350" s="11">
        <v>28</v>
      </c>
      <c r="T350" s="11">
        <v>20</v>
      </c>
      <c r="U350" s="8"/>
      <c r="V350" s="8"/>
      <c r="W350" s="8"/>
      <c r="X350" s="8"/>
      <c r="Y350" s="8"/>
      <c r="Z350" s="8"/>
      <c r="AB350" s="4">
        <v>40</v>
      </c>
      <c r="AC350" s="8"/>
      <c r="AD350" s="8"/>
      <c r="AF350" s="8"/>
      <c r="AG350" s="8"/>
      <c r="AH350" s="8"/>
      <c r="AL350" s="8"/>
      <c r="AM350" s="8"/>
    </row>
    <row r="351" spans="1:40" x14ac:dyDescent="0.2">
      <c r="A351" t="s">
        <v>904</v>
      </c>
      <c r="G351">
        <v>29</v>
      </c>
      <c r="H351">
        <v>28</v>
      </c>
      <c r="I351">
        <v>25</v>
      </c>
      <c r="J351">
        <v>23</v>
      </c>
      <c r="K351">
        <v>36</v>
      </c>
      <c r="L351">
        <v>36</v>
      </c>
      <c r="M351">
        <v>26</v>
      </c>
      <c r="P351" s="8"/>
      <c r="Q351" s="8"/>
      <c r="R351" s="8"/>
      <c r="S351" s="11">
        <v>28</v>
      </c>
      <c r="T351" s="11">
        <v>20</v>
      </c>
      <c r="U351" s="8"/>
      <c r="V351" s="8"/>
      <c r="W351" s="8"/>
      <c r="X351" s="8"/>
      <c r="Y351" s="8"/>
      <c r="Z351" s="8"/>
      <c r="AB351" s="4">
        <v>40</v>
      </c>
      <c r="AC351" s="8"/>
      <c r="AD351" s="8"/>
      <c r="AF351" s="8"/>
      <c r="AG351" s="8"/>
      <c r="AH351" s="8"/>
      <c r="AL351" s="8"/>
      <c r="AM351" s="8"/>
    </row>
    <row r="352" spans="1:40" x14ac:dyDescent="0.2">
      <c r="A352" t="s">
        <v>905</v>
      </c>
      <c r="G352">
        <v>29</v>
      </c>
      <c r="H352">
        <v>28</v>
      </c>
      <c r="I352">
        <v>25</v>
      </c>
      <c r="J352">
        <v>23</v>
      </c>
      <c r="K352">
        <v>26</v>
      </c>
      <c r="L352">
        <v>26</v>
      </c>
      <c r="M352">
        <v>26</v>
      </c>
      <c r="O352">
        <v>15</v>
      </c>
      <c r="P352" s="8"/>
      <c r="Q352" s="8"/>
      <c r="R352" s="8"/>
      <c r="S352" s="11">
        <v>28</v>
      </c>
      <c r="T352" s="11">
        <v>30</v>
      </c>
      <c r="U352" s="8"/>
      <c r="V352" s="8">
        <v>0.02</v>
      </c>
      <c r="W352" s="8"/>
      <c r="X352" s="8"/>
      <c r="Y352" s="8"/>
      <c r="Z352" s="8"/>
      <c r="AB352" s="4">
        <v>40</v>
      </c>
      <c r="AC352" s="8"/>
      <c r="AD352" s="8"/>
      <c r="AF352" s="8"/>
      <c r="AG352" s="8"/>
      <c r="AH352" s="8"/>
      <c r="AL352" s="8"/>
      <c r="AM352" s="8"/>
    </row>
    <row r="353" spans="1:39" x14ac:dyDescent="0.2">
      <c r="A353" t="s">
        <v>898</v>
      </c>
      <c r="G353">
        <v>41</v>
      </c>
      <c r="H353">
        <v>28</v>
      </c>
      <c r="I353">
        <v>25</v>
      </c>
      <c r="J353">
        <v>23</v>
      </c>
      <c r="K353">
        <v>38</v>
      </c>
      <c r="L353">
        <v>26</v>
      </c>
      <c r="M353">
        <v>26</v>
      </c>
      <c r="S353">
        <v>38</v>
      </c>
      <c r="T353">
        <v>30</v>
      </c>
      <c r="V353" s="8"/>
      <c r="W353" s="8"/>
      <c r="X353" s="8"/>
      <c r="Y353" s="8"/>
      <c r="Z353" s="8"/>
      <c r="AB353" s="4">
        <v>40</v>
      </c>
      <c r="AC353" s="8"/>
      <c r="AD353" s="8"/>
      <c r="AF353" s="8"/>
      <c r="AG353" s="8"/>
      <c r="AH353" s="8"/>
      <c r="AL353" s="8"/>
      <c r="AM353" s="8"/>
    </row>
    <row r="354" spans="1:39" x14ac:dyDescent="0.2">
      <c r="A354" t="s">
        <v>899</v>
      </c>
      <c r="G354">
        <v>29</v>
      </c>
      <c r="H354">
        <v>40</v>
      </c>
      <c r="I354">
        <v>25</v>
      </c>
      <c r="J354">
        <v>23</v>
      </c>
      <c r="K354">
        <v>26</v>
      </c>
      <c r="L354">
        <v>46</v>
      </c>
      <c r="M354">
        <v>26</v>
      </c>
      <c r="N354">
        <v>12</v>
      </c>
      <c r="S354">
        <v>38</v>
      </c>
      <c r="T354">
        <v>30</v>
      </c>
      <c r="V354" s="8"/>
      <c r="W354" s="8"/>
      <c r="X354" s="8"/>
      <c r="Y354" s="8"/>
      <c r="Z354" s="8"/>
      <c r="AB354" s="4">
        <v>40</v>
      </c>
      <c r="AC354" s="8"/>
      <c r="AD354" s="8"/>
      <c r="AF354" s="8"/>
      <c r="AG354" s="8"/>
      <c r="AH354" s="8"/>
      <c r="AL354" s="8"/>
      <c r="AM354" s="8"/>
    </row>
    <row r="355" spans="1:39" x14ac:dyDescent="0.2">
      <c r="A355" t="s">
        <v>900</v>
      </c>
      <c r="G355">
        <v>29</v>
      </c>
      <c r="H355">
        <v>28</v>
      </c>
      <c r="I355">
        <v>25</v>
      </c>
      <c r="J355">
        <v>23</v>
      </c>
      <c r="K355">
        <v>38</v>
      </c>
      <c r="L355">
        <v>38</v>
      </c>
      <c r="M355">
        <v>26</v>
      </c>
      <c r="S355">
        <v>38</v>
      </c>
      <c r="T355">
        <v>30</v>
      </c>
      <c r="V355" s="8"/>
      <c r="W355" s="8"/>
      <c r="X355" s="8"/>
      <c r="Y355" s="8"/>
      <c r="Z355" s="8"/>
      <c r="AB355" s="4">
        <v>40</v>
      </c>
      <c r="AC355" s="8"/>
      <c r="AD355" s="8"/>
      <c r="AF355" s="8"/>
      <c r="AG355" s="8"/>
      <c r="AH355" s="8"/>
      <c r="AL355" s="8"/>
      <c r="AM355" s="8"/>
    </row>
    <row r="356" spans="1:39" x14ac:dyDescent="0.2">
      <c r="A356" t="s">
        <v>901</v>
      </c>
      <c r="G356">
        <v>29</v>
      </c>
      <c r="H356">
        <v>28</v>
      </c>
      <c r="I356">
        <v>25</v>
      </c>
      <c r="J356">
        <v>23</v>
      </c>
      <c r="K356">
        <v>26</v>
      </c>
      <c r="L356">
        <v>26</v>
      </c>
      <c r="M356">
        <v>26</v>
      </c>
      <c r="O356">
        <v>20</v>
      </c>
      <c r="S356">
        <v>38</v>
      </c>
      <c r="T356">
        <v>42</v>
      </c>
      <c r="V356" s="8">
        <v>0.04</v>
      </c>
      <c r="W356" s="8"/>
      <c r="X356" s="8"/>
      <c r="Y356" s="8"/>
      <c r="Z356" s="8"/>
      <c r="AB356" s="4">
        <v>40</v>
      </c>
      <c r="AC356" s="8"/>
      <c r="AD356" s="8"/>
      <c r="AF356" s="8"/>
      <c r="AG356" s="8"/>
      <c r="AH356" s="8"/>
      <c r="AL356" s="8"/>
      <c r="AM356" s="8"/>
    </row>
    <row r="357" spans="1:39" x14ac:dyDescent="0.2">
      <c r="A357" t="s">
        <v>841</v>
      </c>
      <c r="G357">
        <v>28</v>
      </c>
      <c r="H357">
        <v>30</v>
      </c>
      <c r="I357">
        <v>23</v>
      </c>
      <c r="J357">
        <v>29</v>
      </c>
      <c r="K357">
        <v>25</v>
      </c>
      <c r="L357">
        <v>24</v>
      </c>
      <c r="M357">
        <v>24</v>
      </c>
      <c r="N357">
        <v>10</v>
      </c>
      <c r="S357">
        <v>10</v>
      </c>
      <c r="V357" s="8"/>
      <c r="W357" s="8"/>
      <c r="X357" s="8"/>
      <c r="Y357" s="8"/>
      <c r="Z357" s="8"/>
      <c r="AB357" s="4">
        <v>40</v>
      </c>
      <c r="AC357" s="8"/>
      <c r="AD357" s="8"/>
      <c r="AF357" s="8"/>
      <c r="AG357" s="8"/>
      <c r="AH357" s="8"/>
      <c r="AL357" s="8"/>
      <c r="AM357" s="8"/>
    </row>
    <row r="358" spans="1:39" x14ac:dyDescent="0.2">
      <c r="A358" t="s">
        <v>1659</v>
      </c>
      <c r="G358">
        <v>29</v>
      </c>
      <c r="H358">
        <v>19</v>
      </c>
      <c r="I358">
        <v>29</v>
      </c>
      <c r="J358">
        <v>19</v>
      </c>
      <c r="K358">
        <v>19</v>
      </c>
      <c r="L358">
        <v>19</v>
      </c>
      <c r="M358">
        <v>19</v>
      </c>
      <c r="N358">
        <v>10</v>
      </c>
      <c r="V358" s="8"/>
      <c r="W358" s="8"/>
      <c r="X358" s="8"/>
      <c r="Y358" s="8"/>
      <c r="Z358" s="8"/>
      <c r="AB358" s="4">
        <v>30</v>
      </c>
      <c r="AC358" s="8"/>
      <c r="AD358" s="8"/>
      <c r="AF358" s="8"/>
      <c r="AG358" s="8"/>
      <c r="AH358" s="8"/>
      <c r="AL358" s="8"/>
      <c r="AM358" s="8"/>
    </row>
    <row r="359" spans="1:39" x14ac:dyDescent="0.2">
      <c r="A359" t="s">
        <v>1704</v>
      </c>
      <c r="G359">
        <v>40</v>
      </c>
      <c r="H359">
        <v>30</v>
      </c>
      <c r="I359">
        <v>40</v>
      </c>
      <c r="J359">
        <v>30</v>
      </c>
      <c r="K359">
        <v>30</v>
      </c>
      <c r="L359">
        <v>30</v>
      </c>
      <c r="M359">
        <v>30</v>
      </c>
      <c r="N359">
        <v>45</v>
      </c>
      <c r="O359">
        <v>45</v>
      </c>
      <c r="V359" s="8"/>
      <c r="W359" s="8">
        <v>0.05</v>
      </c>
      <c r="X359" s="8"/>
      <c r="Y359" s="8"/>
      <c r="Z359" s="8"/>
      <c r="AB359" s="4">
        <v>10</v>
      </c>
      <c r="AC359" s="8">
        <v>0.04</v>
      </c>
      <c r="AD359" s="8"/>
      <c r="AF359" s="8"/>
      <c r="AG359" s="8"/>
      <c r="AH359" s="8"/>
      <c r="AL359" s="8"/>
      <c r="AM359" s="8"/>
    </row>
    <row r="360" spans="1:39" x14ac:dyDescent="0.2">
      <c r="A360" t="s">
        <v>888</v>
      </c>
      <c r="G360">
        <v>30</v>
      </c>
      <c r="H360">
        <v>29</v>
      </c>
      <c r="I360">
        <v>40</v>
      </c>
      <c r="J360">
        <v>23</v>
      </c>
      <c r="K360">
        <v>23</v>
      </c>
      <c r="L360">
        <v>23</v>
      </c>
      <c r="M360">
        <v>23</v>
      </c>
      <c r="N360">
        <v>23</v>
      </c>
      <c r="V360" s="8"/>
      <c r="W360" s="8"/>
      <c r="X360" s="8"/>
      <c r="Y360" s="8"/>
      <c r="Z360" s="8"/>
      <c r="AB360" s="4">
        <v>40</v>
      </c>
      <c r="AC360" s="8"/>
      <c r="AD360" s="8"/>
      <c r="AF360" s="8"/>
      <c r="AG360" s="8"/>
      <c r="AH360" s="8"/>
      <c r="AL360" s="8"/>
      <c r="AM360" s="8"/>
    </row>
    <row r="361" spans="1:39" x14ac:dyDescent="0.2">
      <c r="A361" t="s">
        <v>889</v>
      </c>
      <c r="G361">
        <v>42</v>
      </c>
      <c r="H361">
        <v>29</v>
      </c>
      <c r="I361">
        <v>37</v>
      </c>
      <c r="J361">
        <v>23</v>
      </c>
      <c r="K361">
        <v>23</v>
      </c>
      <c r="L361">
        <v>23</v>
      </c>
      <c r="M361">
        <v>23</v>
      </c>
      <c r="N361">
        <v>23</v>
      </c>
      <c r="V361" s="8"/>
      <c r="W361" s="8"/>
      <c r="X361" s="8"/>
      <c r="Y361" s="8"/>
      <c r="Z361" s="8"/>
      <c r="AB361" s="4">
        <v>60</v>
      </c>
      <c r="AC361" s="8"/>
      <c r="AD361" s="8"/>
      <c r="AF361" s="8"/>
      <c r="AG361" s="8"/>
      <c r="AH361" s="8"/>
      <c r="AL361" s="8"/>
      <c r="AM361" s="8"/>
    </row>
    <row r="362" spans="1:39" x14ac:dyDescent="0.2">
      <c r="A362" t="s">
        <v>890</v>
      </c>
      <c r="G362">
        <v>30</v>
      </c>
      <c r="H362">
        <v>29</v>
      </c>
      <c r="I362">
        <v>30</v>
      </c>
      <c r="J362">
        <v>23</v>
      </c>
      <c r="K362">
        <v>23</v>
      </c>
      <c r="L362">
        <v>23</v>
      </c>
      <c r="M362">
        <v>23</v>
      </c>
      <c r="N362">
        <v>33</v>
      </c>
      <c r="V362" s="8"/>
      <c r="W362" s="8"/>
      <c r="X362" s="8"/>
      <c r="Y362" s="8"/>
      <c r="Z362" s="8"/>
      <c r="AB362" s="4">
        <v>40</v>
      </c>
      <c r="AC362" s="8"/>
      <c r="AD362" s="8"/>
      <c r="AF362" s="8"/>
      <c r="AG362" s="8"/>
      <c r="AH362" s="8"/>
      <c r="AL362" s="8"/>
      <c r="AM362" s="8"/>
    </row>
    <row r="363" spans="1:39" x14ac:dyDescent="0.2">
      <c r="A363" t="s">
        <v>891</v>
      </c>
      <c r="G363">
        <v>30</v>
      </c>
      <c r="H363">
        <v>29</v>
      </c>
      <c r="I363">
        <v>30</v>
      </c>
      <c r="J363">
        <v>23</v>
      </c>
      <c r="K363">
        <v>23</v>
      </c>
      <c r="L363">
        <v>23</v>
      </c>
      <c r="M363">
        <v>23</v>
      </c>
      <c r="N363">
        <v>23</v>
      </c>
      <c r="O363">
        <v>25</v>
      </c>
      <c r="V363" s="8">
        <v>0.03</v>
      </c>
      <c r="W363" s="8"/>
      <c r="X363" s="8"/>
      <c r="Y363" s="8"/>
      <c r="Z363" s="8"/>
      <c r="AB363" s="4">
        <v>40</v>
      </c>
      <c r="AC363" s="8"/>
      <c r="AD363" s="8"/>
      <c r="AF363" s="8"/>
      <c r="AG363" s="8"/>
      <c r="AH363" s="8"/>
      <c r="AL363" s="8"/>
      <c r="AM363" s="8"/>
    </row>
    <row r="364" spans="1:39" x14ac:dyDescent="0.2">
      <c r="A364" t="s">
        <v>886</v>
      </c>
      <c r="G364">
        <v>25</v>
      </c>
      <c r="H364">
        <v>24</v>
      </c>
      <c r="I364">
        <v>25</v>
      </c>
      <c r="J364">
        <v>23</v>
      </c>
      <c r="K364">
        <v>23</v>
      </c>
      <c r="L364">
        <v>23</v>
      </c>
      <c r="M364">
        <v>23</v>
      </c>
      <c r="N364">
        <v>20</v>
      </c>
      <c r="V364" s="8"/>
      <c r="W364" s="8"/>
      <c r="X364" s="8"/>
      <c r="Y364" s="8"/>
      <c r="Z364" s="8"/>
      <c r="AB364" s="4">
        <v>40</v>
      </c>
      <c r="AC364" s="8"/>
      <c r="AD364" s="8"/>
      <c r="AF364" s="8"/>
      <c r="AG364" s="8"/>
      <c r="AH364" s="8"/>
      <c r="AL364" s="8"/>
      <c r="AM364" s="8"/>
    </row>
    <row r="365" spans="1:39" x14ac:dyDescent="0.2">
      <c r="A365" t="s">
        <v>887</v>
      </c>
      <c r="G365">
        <v>25</v>
      </c>
      <c r="H365">
        <v>24</v>
      </c>
      <c r="I365">
        <v>25</v>
      </c>
      <c r="J365">
        <v>23</v>
      </c>
      <c r="K365">
        <v>23</v>
      </c>
      <c r="L365">
        <v>23</v>
      </c>
      <c r="M365">
        <v>23</v>
      </c>
      <c r="N365">
        <v>10</v>
      </c>
      <c r="V365" s="8"/>
      <c r="W365" s="8"/>
      <c r="X365" s="8"/>
      <c r="Y365" s="8"/>
      <c r="Z365" s="8"/>
      <c r="AB365" s="4">
        <v>40</v>
      </c>
      <c r="AC365" s="8"/>
      <c r="AD365" s="8"/>
      <c r="AF365" s="8"/>
      <c r="AG365" s="8"/>
      <c r="AH365" s="8"/>
      <c r="AL365" s="8"/>
      <c r="AM365" s="8"/>
    </row>
    <row r="366" spans="1:39" x14ac:dyDescent="0.2">
      <c r="A366" t="s">
        <v>885</v>
      </c>
      <c r="G366">
        <v>25</v>
      </c>
      <c r="H366">
        <v>24</v>
      </c>
      <c r="I366">
        <v>25</v>
      </c>
      <c r="J366">
        <v>23</v>
      </c>
      <c r="K366">
        <v>23</v>
      </c>
      <c r="L366">
        <v>23</v>
      </c>
      <c r="M366">
        <v>23</v>
      </c>
      <c r="N366">
        <v>20</v>
      </c>
      <c r="V366" s="8"/>
      <c r="W366" s="8"/>
      <c r="X366" s="8"/>
      <c r="Y366" s="8"/>
      <c r="Z366" s="8"/>
      <c r="AB366" s="4">
        <v>40</v>
      </c>
      <c r="AC366" s="8"/>
      <c r="AD366" s="8"/>
      <c r="AF366" s="8"/>
      <c r="AG366" s="8"/>
      <c r="AH366" s="8"/>
      <c r="AL366" s="8"/>
      <c r="AM366" s="8"/>
    </row>
    <row r="367" spans="1:39" x14ac:dyDescent="0.2">
      <c r="A367" t="s">
        <v>884</v>
      </c>
      <c r="G367">
        <v>25</v>
      </c>
      <c r="H367">
        <v>24</v>
      </c>
      <c r="I367">
        <v>25</v>
      </c>
      <c r="J367">
        <v>23</v>
      </c>
      <c r="K367">
        <v>23</v>
      </c>
      <c r="L367">
        <v>23</v>
      </c>
      <c r="M367">
        <v>23</v>
      </c>
      <c r="N367">
        <v>10</v>
      </c>
      <c r="V367" s="8"/>
      <c r="W367" s="8"/>
      <c r="X367" s="8"/>
      <c r="Y367" s="8"/>
      <c r="Z367" s="8"/>
      <c r="AB367" s="4">
        <v>40</v>
      </c>
      <c r="AC367" s="8"/>
      <c r="AD367" s="8"/>
      <c r="AF367" s="8"/>
      <c r="AG367" s="8"/>
      <c r="AH367" s="8"/>
      <c r="AL367" s="8"/>
      <c r="AM367" s="8"/>
    </row>
    <row r="368" spans="1:39" x14ac:dyDescent="0.2">
      <c r="A368" t="s">
        <v>892</v>
      </c>
      <c r="G368">
        <v>38</v>
      </c>
      <c r="H368">
        <v>29</v>
      </c>
      <c r="I368">
        <v>24</v>
      </c>
      <c r="J368">
        <v>29</v>
      </c>
      <c r="K368">
        <v>25</v>
      </c>
      <c r="L368">
        <v>24</v>
      </c>
      <c r="M368">
        <v>24</v>
      </c>
      <c r="N368">
        <v>27</v>
      </c>
      <c r="O368">
        <v>42</v>
      </c>
      <c r="V368" s="8">
        <v>0.04</v>
      </c>
      <c r="W368" s="8"/>
      <c r="X368" s="8"/>
      <c r="Y368" s="8"/>
      <c r="Z368" s="8"/>
      <c r="AB368" s="4">
        <v>30</v>
      </c>
      <c r="AC368" s="8"/>
      <c r="AD368" s="8"/>
      <c r="AF368" s="8"/>
      <c r="AG368" s="8"/>
      <c r="AH368" s="8"/>
      <c r="AL368" s="8"/>
      <c r="AM368" s="8"/>
    </row>
    <row r="369" spans="1:39" x14ac:dyDescent="0.2">
      <c r="A369" t="s">
        <v>893</v>
      </c>
      <c r="G369">
        <v>28</v>
      </c>
      <c r="H369">
        <v>39</v>
      </c>
      <c r="I369">
        <v>24</v>
      </c>
      <c r="J369">
        <v>29</v>
      </c>
      <c r="K369">
        <v>25</v>
      </c>
      <c r="L369">
        <v>24</v>
      </c>
      <c r="M369">
        <v>24</v>
      </c>
      <c r="N369">
        <v>42</v>
      </c>
      <c r="O369">
        <v>27</v>
      </c>
      <c r="V369" s="8">
        <v>0.04</v>
      </c>
      <c r="W369" s="8"/>
      <c r="X369" s="8"/>
      <c r="Y369" s="8"/>
      <c r="Z369" s="8"/>
      <c r="AB369" s="4">
        <v>30</v>
      </c>
      <c r="AC369" s="8"/>
      <c r="AD369" s="8"/>
      <c r="AF369" s="8"/>
      <c r="AG369" s="8"/>
      <c r="AH369" s="8"/>
      <c r="AL369" s="8"/>
      <c r="AM369" s="8"/>
    </row>
    <row r="370" spans="1:39" x14ac:dyDescent="0.2">
      <c r="A370" t="s">
        <v>896</v>
      </c>
      <c r="G370">
        <v>28</v>
      </c>
      <c r="H370">
        <v>29</v>
      </c>
      <c r="I370">
        <v>24</v>
      </c>
      <c r="J370">
        <v>29</v>
      </c>
      <c r="K370">
        <v>25</v>
      </c>
      <c r="L370">
        <v>24</v>
      </c>
      <c r="M370">
        <v>24</v>
      </c>
      <c r="N370">
        <v>27</v>
      </c>
      <c r="O370">
        <v>27</v>
      </c>
      <c r="V370" s="8">
        <v>0.04</v>
      </c>
      <c r="W370" s="8"/>
      <c r="X370" s="8"/>
      <c r="Y370" s="8"/>
      <c r="Z370" s="8"/>
      <c r="AB370" s="4">
        <v>30</v>
      </c>
      <c r="AC370" s="8"/>
      <c r="AD370" s="8"/>
      <c r="AF370" s="8"/>
      <c r="AG370" s="8"/>
      <c r="AH370" s="8"/>
      <c r="AL370" s="8"/>
      <c r="AM370" s="8"/>
    </row>
    <row r="371" spans="1:39" x14ac:dyDescent="0.2">
      <c r="A371" s="3" t="s">
        <v>894</v>
      </c>
      <c r="G371">
        <v>40</v>
      </c>
      <c r="H371">
        <v>29</v>
      </c>
      <c r="I371">
        <v>24</v>
      </c>
      <c r="J371">
        <v>29</v>
      </c>
      <c r="K371">
        <v>25</v>
      </c>
      <c r="L371">
        <v>24</v>
      </c>
      <c r="M371">
        <v>24</v>
      </c>
      <c r="N371">
        <v>37</v>
      </c>
      <c r="O371">
        <v>57</v>
      </c>
      <c r="V371" s="8">
        <v>0.05</v>
      </c>
      <c r="W371" s="8"/>
      <c r="X371" s="8"/>
      <c r="Y371" s="8"/>
      <c r="Z371" s="8"/>
      <c r="AB371" s="4">
        <v>30</v>
      </c>
      <c r="AC371" s="8"/>
      <c r="AD371" s="8"/>
      <c r="AE371"/>
      <c r="AF371" s="8"/>
      <c r="AG371" s="8"/>
      <c r="AH371" s="8"/>
      <c r="AL371" s="4"/>
      <c r="AM371" s="8"/>
    </row>
    <row r="372" spans="1:39" x14ac:dyDescent="0.2">
      <c r="A372" s="3" t="s">
        <v>895</v>
      </c>
      <c r="G372">
        <v>28</v>
      </c>
      <c r="H372">
        <v>41</v>
      </c>
      <c r="I372">
        <v>24</v>
      </c>
      <c r="J372">
        <v>29</v>
      </c>
      <c r="K372">
        <v>25</v>
      </c>
      <c r="L372">
        <v>24</v>
      </c>
      <c r="M372">
        <v>24</v>
      </c>
      <c r="N372">
        <v>57</v>
      </c>
      <c r="O372">
        <v>37</v>
      </c>
      <c r="V372" s="8">
        <v>0.05</v>
      </c>
      <c r="W372" s="8"/>
      <c r="X372" s="8"/>
      <c r="Y372" s="8"/>
      <c r="Z372" s="8"/>
      <c r="AB372" s="4">
        <v>30</v>
      </c>
      <c r="AC372" s="8"/>
      <c r="AD372" s="8"/>
      <c r="AE372"/>
      <c r="AF372" s="8"/>
      <c r="AG372" s="8"/>
      <c r="AH372" s="8"/>
      <c r="AL372" s="4"/>
      <c r="AM372" s="8"/>
    </row>
    <row r="373" spans="1:39" x14ac:dyDescent="0.2">
      <c r="A373" s="3" t="s">
        <v>897</v>
      </c>
      <c r="G373">
        <v>28</v>
      </c>
      <c r="H373">
        <v>29</v>
      </c>
      <c r="I373">
        <v>24</v>
      </c>
      <c r="J373">
        <v>29</v>
      </c>
      <c r="K373">
        <v>25</v>
      </c>
      <c r="L373">
        <v>24</v>
      </c>
      <c r="M373">
        <v>24</v>
      </c>
      <c r="N373">
        <v>37</v>
      </c>
      <c r="O373">
        <v>37</v>
      </c>
      <c r="V373" s="8">
        <v>0.05</v>
      </c>
      <c r="W373" s="8"/>
      <c r="X373" s="8"/>
      <c r="Y373" s="8"/>
      <c r="Z373" s="8"/>
      <c r="AA373" s="8">
        <v>0.06</v>
      </c>
      <c r="AB373" s="4">
        <v>30</v>
      </c>
      <c r="AC373" s="8"/>
      <c r="AD373" s="8"/>
      <c r="AE373"/>
      <c r="AF373" s="8"/>
      <c r="AG373" s="8"/>
      <c r="AH373" s="8"/>
      <c r="AL373" s="4"/>
      <c r="AM373" s="8"/>
    </row>
    <row r="374" spans="1:39" x14ac:dyDescent="0.2">
      <c r="A374" t="s">
        <v>843</v>
      </c>
      <c r="G374">
        <v>22</v>
      </c>
      <c r="H374">
        <v>27</v>
      </c>
      <c r="I374">
        <v>21</v>
      </c>
      <c r="J374">
        <v>27</v>
      </c>
      <c r="K374">
        <v>22</v>
      </c>
      <c r="L374">
        <v>22</v>
      </c>
      <c r="M374">
        <v>22</v>
      </c>
      <c r="N374">
        <v>6</v>
      </c>
      <c r="V374" s="8"/>
      <c r="W374" s="8"/>
      <c r="X374" s="8"/>
      <c r="Y374" s="8"/>
      <c r="Z374" s="8"/>
      <c r="AB374" s="4">
        <v>30</v>
      </c>
      <c r="AC374" s="8"/>
      <c r="AD374" s="8"/>
      <c r="AF374" s="8"/>
      <c r="AG374" s="8"/>
      <c r="AH374" s="8"/>
      <c r="AL374" s="8"/>
      <c r="AM374" s="8"/>
    </row>
    <row r="375" spans="1:39" x14ac:dyDescent="0.2">
      <c r="A375" t="s">
        <v>1381</v>
      </c>
      <c r="G375">
        <v>32</v>
      </c>
      <c r="H375">
        <v>28</v>
      </c>
      <c r="I375">
        <v>32</v>
      </c>
      <c r="J375">
        <v>20</v>
      </c>
      <c r="K375">
        <v>20</v>
      </c>
      <c r="L375">
        <v>20</v>
      </c>
      <c r="M375">
        <v>20</v>
      </c>
      <c r="N375">
        <v>28</v>
      </c>
      <c r="V375" s="8"/>
      <c r="W375" s="8"/>
      <c r="X375" s="8"/>
      <c r="Y375" s="8"/>
      <c r="Z375" s="8"/>
      <c r="AB375" s="4">
        <v>20</v>
      </c>
      <c r="AC375" s="8"/>
      <c r="AD375" s="8"/>
      <c r="AE375" s="4">
        <v>5</v>
      </c>
      <c r="AF375" s="8"/>
      <c r="AG375" s="8"/>
      <c r="AH375" s="8"/>
      <c r="AL375" s="8"/>
      <c r="AM375" s="8"/>
    </row>
    <row r="376" spans="1:39" x14ac:dyDescent="0.2">
      <c r="A376" t="s">
        <v>1382</v>
      </c>
      <c r="G376">
        <v>39</v>
      </c>
      <c r="H376">
        <v>35</v>
      </c>
      <c r="I376">
        <v>32</v>
      </c>
      <c r="J376">
        <v>20</v>
      </c>
      <c r="K376">
        <v>20</v>
      </c>
      <c r="L376">
        <v>20</v>
      </c>
      <c r="M376">
        <v>20</v>
      </c>
      <c r="N376">
        <v>40</v>
      </c>
      <c r="S376">
        <v>40</v>
      </c>
      <c r="V376" s="8"/>
      <c r="W376" s="8"/>
      <c r="X376" s="8"/>
      <c r="Y376" s="8"/>
      <c r="Z376" s="8"/>
      <c r="AB376" s="4">
        <v>20</v>
      </c>
      <c r="AC376" s="8"/>
      <c r="AD376" s="8"/>
      <c r="AE376" s="4">
        <v>8</v>
      </c>
      <c r="AF376" s="8"/>
      <c r="AG376" s="8"/>
      <c r="AH376" s="8"/>
      <c r="AL376" s="8"/>
      <c r="AM376" s="8"/>
    </row>
    <row r="377" spans="1:39" x14ac:dyDescent="0.2">
      <c r="A377" t="s">
        <v>1330</v>
      </c>
      <c r="G377">
        <v>30</v>
      </c>
      <c r="H377">
        <v>26</v>
      </c>
      <c r="I377">
        <v>30</v>
      </c>
      <c r="J377">
        <v>21</v>
      </c>
      <c r="K377">
        <v>21</v>
      </c>
      <c r="L377">
        <v>21</v>
      </c>
      <c r="M377">
        <v>21</v>
      </c>
      <c r="N377">
        <v>20</v>
      </c>
      <c r="O377">
        <v>20</v>
      </c>
      <c r="S377">
        <v>20</v>
      </c>
      <c r="T377">
        <v>20</v>
      </c>
      <c r="V377" s="8">
        <v>0.03</v>
      </c>
      <c r="W377" s="8"/>
      <c r="X377" s="8"/>
      <c r="Y377" s="8"/>
      <c r="Z377" s="8"/>
      <c r="AB377" s="4">
        <v>30</v>
      </c>
      <c r="AC377" s="8"/>
      <c r="AD377" s="8"/>
      <c r="AF377" s="8"/>
      <c r="AG377" s="8"/>
      <c r="AH377" s="8"/>
      <c r="AL377" s="8"/>
      <c r="AM377" s="8"/>
    </row>
    <row r="378" spans="1:39" x14ac:dyDescent="0.2">
      <c r="A378" t="s">
        <v>1329</v>
      </c>
      <c r="G378">
        <v>30</v>
      </c>
      <c r="H378">
        <v>26</v>
      </c>
      <c r="I378">
        <v>30</v>
      </c>
      <c r="J378">
        <v>21</v>
      </c>
      <c r="K378">
        <v>21</v>
      </c>
      <c r="L378">
        <v>21</v>
      </c>
      <c r="M378">
        <v>21</v>
      </c>
      <c r="N378">
        <v>35</v>
      </c>
      <c r="O378">
        <v>35</v>
      </c>
      <c r="S378">
        <v>35</v>
      </c>
      <c r="T378">
        <v>35</v>
      </c>
      <c r="V378" s="8">
        <v>0.03</v>
      </c>
      <c r="W378" s="8"/>
      <c r="X378" s="8"/>
      <c r="Y378" s="8"/>
      <c r="Z378" s="8"/>
      <c r="AB378" s="4">
        <v>30</v>
      </c>
      <c r="AC378" s="8"/>
      <c r="AD378" s="8"/>
      <c r="AF378" s="8"/>
      <c r="AG378" s="8"/>
      <c r="AH378" s="8"/>
      <c r="AL378" s="8"/>
      <c r="AM378" s="8"/>
    </row>
    <row r="379" spans="1:39" x14ac:dyDescent="0.2">
      <c r="A379" t="s">
        <v>844</v>
      </c>
      <c r="G379">
        <v>33</v>
      </c>
      <c r="H379">
        <v>21</v>
      </c>
      <c r="I379">
        <v>33</v>
      </c>
      <c r="J379">
        <v>21</v>
      </c>
      <c r="K379">
        <v>21</v>
      </c>
      <c r="L379">
        <v>21</v>
      </c>
      <c r="M379">
        <v>21</v>
      </c>
      <c r="N379">
        <v>15</v>
      </c>
      <c r="O379">
        <v>15</v>
      </c>
      <c r="V379" s="8"/>
      <c r="W379" s="8"/>
      <c r="X379" s="8"/>
      <c r="Y379" s="8"/>
      <c r="Z379" s="8"/>
      <c r="AB379" s="4">
        <v>30</v>
      </c>
      <c r="AC379" s="8"/>
      <c r="AD379" s="8"/>
      <c r="AF379" s="8"/>
      <c r="AG379" s="8"/>
      <c r="AH379" s="8"/>
      <c r="AL379" s="8"/>
      <c r="AM379" s="8"/>
    </row>
    <row r="380" spans="1:39" x14ac:dyDescent="0.2">
      <c r="A380" t="s">
        <v>863</v>
      </c>
      <c r="G380">
        <v>34</v>
      </c>
      <c r="H380">
        <v>21</v>
      </c>
      <c r="I380">
        <v>34</v>
      </c>
      <c r="J380">
        <v>21</v>
      </c>
      <c r="K380">
        <v>21</v>
      </c>
      <c r="L380">
        <v>21</v>
      </c>
      <c r="M380">
        <v>21</v>
      </c>
      <c r="N380">
        <v>16</v>
      </c>
      <c r="O380">
        <v>16</v>
      </c>
      <c r="V380" s="8"/>
      <c r="W380" s="8"/>
      <c r="X380" s="8"/>
      <c r="Y380" s="8"/>
      <c r="Z380" s="8"/>
      <c r="AB380" s="4">
        <v>30</v>
      </c>
      <c r="AC380" s="8"/>
      <c r="AD380" s="8"/>
      <c r="AF380" s="8"/>
      <c r="AG380" s="8"/>
      <c r="AH380" s="8"/>
      <c r="AL380" s="8"/>
      <c r="AM380" s="8"/>
    </row>
    <row r="381" spans="1:39" x14ac:dyDescent="0.2">
      <c r="A381" t="s">
        <v>845</v>
      </c>
      <c r="G381">
        <v>32</v>
      </c>
      <c r="H381">
        <v>23</v>
      </c>
      <c r="I381">
        <v>32</v>
      </c>
      <c r="J381">
        <v>23</v>
      </c>
      <c r="K381">
        <v>23</v>
      </c>
      <c r="L381">
        <v>23</v>
      </c>
      <c r="M381">
        <v>23</v>
      </c>
      <c r="N381">
        <v>17</v>
      </c>
      <c r="V381" s="8">
        <v>0.02</v>
      </c>
      <c r="W381" s="8"/>
      <c r="X381" s="8"/>
      <c r="Y381" s="8"/>
      <c r="Z381" s="8"/>
      <c r="AB381" s="4">
        <v>30</v>
      </c>
      <c r="AC381" s="8"/>
      <c r="AD381" s="8"/>
      <c r="AF381" s="8"/>
      <c r="AG381" s="8"/>
      <c r="AH381" s="8"/>
      <c r="AL381" s="8"/>
      <c r="AM381" s="8"/>
    </row>
    <row r="382" spans="1:39" s="144" customFormat="1" x14ac:dyDescent="0.2">
      <c r="A382" s="3" t="s">
        <v>874</v>
      </c>
      <c r="G382" s="144">
        <v>29</v>
      </c>
      <c r="H382" s="144">
        <v>17</v>
      </c>
      <c r="I382" s="144">
        <v>32</v>
      </c>
      <c r="J382" s="144">
        <v>17</v>
      </c>
      <c r="K382" s="144">
        <v>16</v>
      </c>
      <c r="L382" s="144">
        <v>16</v>
      </c>
      <c r="M382" s="144">
        <v>16</v>
      </c>
      <c r="O382" s="144">
        <v>20</v>
      </c>
      <c r="T382" s="144">
        <v>20</v>
      </c>
      <c r="V382" s="177"/>
      <c r="W382" s="177"/>
      <c r="X382" s="177"/>
      <c r="Y382" s="177"/>
      <c r="Z382" s="177"/>
      <c r="AA382" s="177"/>
      <c r="AB382" s="178">
        <v>30</v>
      </c>
      <c r="AC382" s="177"/>
      <c r="AD382" s="177"/>
      <c r="AF382" s="178"/>
      <c r="AG382" s="177"/>
      <c r="AH382" s="177"/>
      <c r="AI382" s="178"/>
      <c r="AJ382" s="178"/>
      <c r="AK382" s="178"/>
      <c r="AL382" s="178"/>
    </row>
    <row r="383" spans="1:39" s="144" customFormat="1" x14ac:dyDescent="0.2">
      <c r="A383" s="3" t="s">
        <v>875</v>
      </c>
      <c r="G383" s="144">
        <v>29</v>
      </c>
      <c r="H383" s="144">
        <v>17</v>
      </c>
      <c r="I383" s="144">
        <v>32</v>
      </c>
      <c r="J383" s="144">
        <v>17</v>
      </c>
      <c r="K383" s="144">
        <v>16</v>
      </c>
      <c r="L383" s="144">
        <v>16</v>
      </c>
      <c r="M383" s="144">
        <v>16</v>
      </c>
      <c r="O383" s="144">
        <v>35</v>
      </c>
      <c r="T383" s="144">
        <v>20</v>
      </c>
      <c r="V383" s="177"/>
      <c r="W383" s="177"/>
      <c r="X383" s="177"/>
      <c r="Y383" s="177"/>
      <c r="Z383" s="177"/>
      <c r="AA383" s="177"/>
      <c r="AB383" s="178">
        <v>30</v>
      </c>
      <c r="AC383" s="177"/>
      <c r="AD383" s="177"/>
      <c r="AF383" s="178"/>
      <c r="AG383" s="177"/>
      <c r="AH383" s="177"/>
      <c r="AI383" s="178"/>
      <c r="AJ383" s="178"/>
      <c r="AK383" s="178"/>
      <c r="AL383" s="178"/>
    </row>
    <row r="384" spans="1:39" x14ac:dyDescent="0.2">
      <c r="A384" t="s">
        <v>846</v>
      </c>
      <c r="G384">
        <v>25</v>
      </c>
      <c r="H384">
        <v>30</v>
      </c>
      <c r="I384">
        <v>23</v>
      </c>
      <c r="J384">
        <v>29</v>
      </c>
      <c r="K384">
        <v>22</v>
      </c>
      <c r="L384">
        <v>22</v>
      </c>
      <c r="M384">
        <v>22</v>
      </c>
      <c r="N384">
        <v>23</v>
      </c>
      <c r="V384" s="8"/>
      <c r="W384" s="8"/>
      <c r="X384" s="8"/>
      <c r="Y384" s="8"/>
      <c r="Z384" s="8"/>
      <c r="AB384" s="4">
        <v>61</v>
      </c>
      <c r="AC384" s="8"/>
      <c r="AD384" s="8"/>
      <c r="AF384" s="8"/>
      <c r="AG384" s="8"/>
      <c r="AH384" s="8"/>
      <c r="AL384" s="8"/>
      <c r="AM384" s="8"/>
    </row>
    <row r="385" spans="1:39" x14ac:dyDescent="0.2">
      <c r="A385" t="s">
        <v>847</v>
      </c>
      <c r="G385">
        <v>29</v>
      </c>
      <c r="H385">
        <v>17</v>
      </c>
      <c r="I385">
        <v>32</v>
      </c>
      <c r="J385">
        <v>17</v>
      </c>
      <c r="K385">
        <v>16</v>
      </c>
      <c r="L385">
        <v>16</v>
      </c>
      <c r="M385">
        <v>16</v>
      </c>
      <c r="N385">
        <v>25</v>
      </c>
      <c r="O385">
        <v>25</v>
      </c>
      <c r="V385" s="8"/>
      <c r="W385" s="8"/>
      <c r="X385" s="8"/>
      <c r="Y385" s="8"/>
      <c r="Z385" s="8"/>
      <c r="AB385" s="4">
        <v>30</v>
      </c>
      <c r="AC385" s="8"/>
      <c r="AD385" s="8"/>
      <c r="AF385" s="8"/>
      <c r="AG385" s="8"/>
      <c r="AH385" s="8"/>
      <c r="AL385" s="8"/>
      <c r="AM385" s="8"/>
    </row>
    <row r="386" spans="1:39" x14ac:dyDescent="0.2">
      <c r="A386" t="s">
        <v>880</v>
      </c>
      <c r="G386">
        <v>43</v>
      </c>
      <c r="N386">
        <v>37</v>
      </c>
      <c r="V386" s="8">
        <v>0.02</v>
      </c>
      <c r="W386" s="8"/>
      <c r="X386" s="8"/>
      <c r="Y386" s="8"/>
      <c r="Z386" s="8"/>
      <c r="AB386" s="4">
        <v>-143</v>
      </c>
      <c r="AC386" s="8"/>
      <c r="AD386" s="8"/>
      <c r="AF386" s="8"/>
      <c r="AG386" s="8"/>
      <c r="AH386" s="8"/>
      <c r="AL386" s="8"/>
      <c r="AM386" s="8"/>
    </row>
    <row r="387" spans="1:39" x14ac:dyDescent="0.2">
      <c r="A387" t="s">
        <v>881</v>
      </c>
      <c r="G387">
        <v>38</v>
      </c>
      <c r="H387">
        <v>5</v>
      </c>
      <c r="N387">
        <v>37</v>
      </c>
      <c r="V387" s="8"/>
      <c r="W387" s="8"/>
      <c r="X387" s="8"/>
      <c r="Y387" s="8"/>
      <c r="Z387" s="8"/>
      <c r="AB387" s="4">
        <v>-143</v>
      </c>
      <c r="AC387" s="8">
        <v>0.02</v>
      </c>
      <c r="AD387" s="8"/>
      <c r="AF387" s="8"/>
      <c r="AG387" s="8"/>
      <c r="AH387" s="8"/>
      <c r="AL387" s="8"/>
      <c r="AM387" s="8"/>
    </row>
    <row r="388" spans="1:39" x14ac:dyDescent="0.2">
      <c r="A388" t="s">
        <v>882</v>
      </c>
      <c r="G388">
        <v>38</v>
      </c>
      <c r="N388">
        <v>45</v>
      </c>
      <c r="O388">
        <v>8</v>
      </c>
      <c r="V388" s="8"/>
      <c r="W388" s="8"/>
      <c r="X388" s="8"/>
      <c r="Y388" s="8"/>
      <c r="Z388" s="8"/>
      <c r="AB388" s="4">
        <v>-143</v>
      </c>
      <c r="AC388" s="8"/>
      <c r="AD388" s="8"/>
      <c r="AE388" s="4">
        <v>4</v>
      </c>
      <c r="AF388" s="8"/>
      <c r="AG388" s="8"/>
      <c r="AH388" s="8"/>
      <c r="AL388" s="8"/>
      <c r="AM388" s="8"/>
    </row>
    <row r="389" spans="1:39" x14ac:dyDescent="0.2">
      <c r="A389" t="s">
        <v>883</v>
      </c>
      <c r="G389">
        <v>38</v>
      </c>
      <c r="N389">
        <v>45</v>
      </c>
      <c r="O389">
        <v>10</v>
      </c>
      <c r="V389" s="8">
        <v>0.02</v>
      </c>
      <c r="W389" s="8"/>
      <c r="X389" s="8"/>
      <c r="Y389" s="8"/>
      <c r="Z389" s="8"/>
      <c r="AB389" s="4">
        <v>-143</v>
      </c>
      <c r="AC389" s="8"/>
      <c r="AD389" s="8"/>
      <c r="AF389" s="8"/>
      <c r="AG389" s="8"/>
      <c r="AH389" s="8"/>
      <c r="AL389" s="8"/>
      <c r="AM389" s="8"/>
    </row>
    <row r="390" spans="1:39" x14ac:dyDescent="0.2">
      <c r="A390" t="s">
        <v>876</v>
      </c>
      <c r="G390">
        <v>49</v>
      </c>
      <c r="N390">
        <v>40</v>
      </c>
      <c r="O390">
        <v>20</v>
      </c>
      <c r="V390" s="8">
        <v>0.03</v>
      </c>
      <c r="W390" s="8"/>
      <c r="X390" s="8"/>
      <c r="Y390" s="8"/>
      <c r="Z390" s="8"/>
      <c r="AB390" s="4">
        <v>-163</v>
      </c>
      <c r="AC390" s="8"/>
      <c r="AD390" s="8"/>
      <c r="AF390" s="8"/>
      <c r="AG390" s="8"/>
      <c r="AH390" s="8"/>
      <c r="AL390" s="8"/>
      <c r="AM390" s="8"/>
    </row>
    <row r="391" spans="1:39" x14ac:dyDescent="0.2">
      <c r="A391" t="s">
        <v>877</v>
      </c>
      <c r="G391">
        <v>41</v>
      </c>
      <c r="H391">
        <v>8</v>
      </c>
      <c r="N391">
        <v>60</v>
      </c>
      <c r="V391" s="8"/>
      <c r="W391" s="8"/>
      <c r="X391" s="8"/>
      <c r="Y391" s="8"/>
      <c r="Z391" s="8"/>
      <c r="AB391" s="4">
        <v>-163</v>
      </c>
      <c r="AC391" s="8">
        <v>0.03</v>
      </c>
      <c r="AD391" s="8"/>
      <c r="AF391" s="8"/>
      <c r="AG391" s="8"/>
      <c r="AH391" s="8"/>
      <c r="AL391" s="8"/>
      <c r="AM391" s="8"/>
    </row>
    <row r="392" spans="1:39" x14ac:dyDescent="0.2">
      <c r="A392" t="s">
        <v>878</v>
      </c>
      <c r="G392">
        <v>41</v>
      </c>
      <c r="N392">
        <v>50</v>
      </c>
      <c r="O392">
        <v>10</v>
      </c>
      <c r="V392" s="8"/>
      <c r="W392" s="8"/>
      <c r="X392" s="8"/>
      <c r="Y392" s="8"/>
      <c r="Z392" s="8"/>
      <c r="AB392" s="4">
        <v>-163</v>
      </c>
      <c r="AC392" s="8"/>
      <c r="AD392" s="8"/>
      <c r="AE392" s="4">
        <v>5</v>
      </c>
      <c r="AF392" s="8"/>
      <c r="AG392" s="8"/>
      <c r="AH392" s="8"/>
      <c r="AL392" s="8"/>
      <c r="AM392" s="8"/>
    </row>
    <row r="393" spans="1:39" x14ac:dyDescent="0.2">
      <c r="A393" t="s">
        <v>879</v>
      </c>
      <c r="G393">
        <v>41</v>
      </c>
      <c r="N393">
        <v>50</v>
      </c>
      <c r="O393">
        <v>13</v>
      </c>
      <c r="V393" s="8">
        <v>0.04</v>
      </c>
      <c r="W393" s="8"/>
      <c r="X393" s="8"/>
      <c r="Y393" s="8"/>
      <c r="Z393" s="8"/>
      <c r="AB393" s="4">
        <v>-163</v>
      </c>
      <c r="AC393" s="8"/>
      <c r="AD393" s="8"/>
      <c r="AF393" s="8"/>
      <c r="AG393" s="8"/>
      <c r="AH393" s="8"/>
      <c r="AL393" s="8"/>
      <c r="AM393" s="8"/>
    </row>
    <row r="394" spans="1:39" x14ac:dyDescent="0.2">
      <c r="A394" s="144" t="s">
        <v>848</v>
      </c>
      <c r="G394">
        <v>36</v>
      </c>
      <c r="H394">
        <v>32</v>
      </c>
      <c r="I394">
        <v>36</v>
      </c>
      <c r="J394">
        <v>19</v>
      </c>
      <c r="K394">
        <v>19</v>
      </c>
      <c r="L394">
        <v>19</v>
      </c>
      <c r="M394">
        <v>19</v>
      </c>
      <c r="N394">
        <v>15</v>
      </c>
      <c r="O394">
        <v>15</v>
      </c>
      <c r="T394">
        <v>10</v>
      </c>
      <c r="V394" s="8"/>
      <c r="W394" s="8"/>
      <c r="X394" s="8"/>
      <c r="Y394" s="8"/>
      <c r="Z394" s="8"/>
      <c r="AA394" s="8"/>
      <c r="AB394" s="4">
        <v>30</v>
      </c>
      <c r="AC394" s="8"/>
      <c r="AD394" s="8"/>
      <c r="AE394"/>
      <c r="AF394" s="8"/>
      <c r="AG394" s="8"/>
      <c r="AH394" s="8"/>
      <c r="AL394" s="8"/>
      <c r="AM394" s="8"/>
    </row>
    <row r="395" spans="1:39" x14ac:dyDescent="0.2">
      <c r="A395" s="144" t="s">
        <v>849</v>
      </c>
      <c r="G395">
        <v>33</v>
      </c>
      <c r="H395">
        <v>24</v>
      </c>
      <c r="I395">
        <v>33</v>
      </c>
      <c r="J395">
        <v>19</v>
      </c>
      <c r="K395">
        <v>19</v>
      </c>
      <c r="L395">
        <v>19</v>
      </c>
      <c r="M395">
        <v>19</v>
      </c>
      <c r="O395">
        <v>50</v>
      </c>
      <c r="V395" s="8">
        <v>0.04</v>
      </c>
      <c r="W395" s="8"/>
      <c r="X395" s="8"/>
      <c r="Y395" s="8"/>
      <c r="Z395" s="8"/>
      <c r="AA395" s="8"/>
      <c r="AB395" s="4">
        <v>30</v>
      </c>
      <c r="AC395" s="8"/>
      <c r="AD395" s="8"/>
      <c r="AE395"/>
      <c r="AG395" s="8"/>
      <c r="AH395" s="8">
        <v>0.03</v>
      </c>
      <c r="AL395" s="4"/>
      <c r="AM395" s="8"/>
    </row>
    <row r="396" spans="1:39" x14ac:dyDescent="0.2">
      <c r="A396" t="s">
        <v>1360</v>
      </c>
      <c r="G396">
        <v>93</v>
      </c>
      <c r="H396">
        <v>76</v>
      </c>
      <c r="I396">
        <v>102</v>
      </c>
      <c r="J396">
        <v>70</v>
      </c>
      <c r="K396">
        <v>51</v>
      </c>
      <c r="L396">
        <v>60</v>
      </c>
      <c r="M396">
        <v>65</v>
      </c>
      <c r="N396">
        <v>124</v>
      </c>
      <c r="O396">
        <v>147</v>
      </c>
      <c r="V396" s="8">
        <v>0.1</v>
      </c>
      <c r="W396" s="8"/>
      <c r="X396" s="8"/>
      <c r="Y396" s="8"/>
      <c r="Z396" s="8"/>
      <c r="AB396" s="4">
        <v>163</v>
      </c>
      <c r="AC396" s="8"/>
      <c r="AD396" s="8"/>
      <c r="AF396" s="8"/>
      <c r="AG396" s="8"/>
      <c r="AH396" s="8"/>
      <c r="AL396" s="8"/>
      <c r="AM396" s="8"/>
    </row>
    <row r="397" spans="1:39" x14ac:dyDescent="0.2">
      <c r="A397" t="s">
        <v>1361</v>
      </c>
      <c r="G397">
        <v>93</v>
      </c>
      <c r="H397">
        <v>76</v>
      </c>
      <c r="I397">
        <v>102</v>
      </c>
      <c r="J397">
        <v>70</v>
      </c>
      <c r="K397">
        <v>51</v>
      </c>
      <c r="L397">
        <v>60</v>
      </c>
      <c r="M397">
        <v>65</v>
      </c>
      <c r="N397">
        <v>124</v>
      </c>
      <c r="O397">
        <v>147</v>
      </c>
      <c r="V397" s="8">
        <v>0.1</v>
      </c>
      <c r="W397" s="8"/>
      <c r="X397" s="8"/>
      <c r="Y397" s="8"/>
      <c r="Z397" s="8"/>
      <c r="AB397" s="4">
        <v>163</v>
      </c>
      <c r="AC397" s="8"/>
      <c r="AD397" s="8"/>
      <c r="AF397" s="8"/>
      <c r="AG397" s="8"/>
      <c r="AH397" s="8"/>
      <c r="AL397" s="8"/>
      <c r="AM397" s="8"/>
    </row>
    <row r="398" spans="1:39" x14ac:dyDescent="0.2">
      <c r="A398" t="s">
        <v>850</v>
      </c>
      <c r="G398">
        <v>21</v>
      </c>
      <c r="H398">
        <v>19</v>
      </c>
      <c r="I398">
        <v>17</v>
      </c>
      <c r="J398">
        <v>12</v>
      </c>
      <c r="K398">
        <v>12</v>
      </c>
      <c r="L398">
        <v>12</v>
      </c>
      <c r="M398">
        <v>12</v>
      </c>
      <c r="N398">
        <v>14</v>
      </c>
      <c r="O398">
        <v>14</v>
      </c>
      <c r="V398" s="8"/>
      <c r="W398" s="8"/>
      <c r="X398" s="8"/>
      <c r="Y398" s="8"/>
      <c r="Z398" s="8"/>
      <c r="AB398">
        <v>30</v>
      </c>
      <c r="AC398" s="8"/>
      <c r="AD398" s="8"/>
      <c r="AE398" s="4">
        <v>11</v>
      </c>
      <c r="AF398" s="8"/>
      <c r="AG398" s="8"/>
      <c r="AH398" s="8"/>
      <c r="AL398" s="8"/>
      <c r="AM398" s="8"/>
    </row>
    <row r="399" spans="1:39" x14ac:dyDescent="0.2">
      <c r="A399" t="s">
        <v>851</v>
      </c>
      <c r="G399">
        <v>32</v>
      </c>
      <c r="H399">
        <v>28</v>
      </c>
      <c r="I399">
        <v>28</v>
      </c>
      <c r="J399">
        <v>19</v>
      </c>
      <c r="K399">
        <v>19</v>
      </c>
      <c r="L399">
        <v>19</v>
      </c>
      <c r="M399">
        <v>19</v>
      </c>
      <c r="N399">
        <v>23</v>
      </c>
      <c r="O399">
        <v>23</v>
      </c>
      <c r="V399" s="8"/>
      <c r="W399" s="8"/>
      <c r="X399" s="8"/>
      <c r="Y399" s="8"/>
      <c r="Z399" s="8"/>
      <c r="AB399">
        <v>30</v>
      </c>
      <c r="AC399" s="8"/>
      <c r="AD399" s="8"/>
      <c r="AE399" s="4">
        <v>12</v>
      </c>
      <c r="AF399" s="8"/>
      <c r="AG399" s="8"/>
      <c r="AH399" s="8"/>
      <c r="AL399" s="8"/>
      <c r="AM399" s="8"/>
    </row>
    <row r="400" spans="1:39" x14ac:dyDescent="0.2">
      <c r="A400" t="s">
        <v>1722</v>
      </c>
      <c r="G400">
        <v>16</v>
      </c>
      <c r="P400" s="8">
        <v>0.05</v>
      </c>
      <c r="T400">
        <v>7</v>
      </c>
      <c r="V400" s="8"/>
      <c r="W400" s="8"/>
      <c r="X400" s="8"/>
      <c r="Y400" s="8"/>
      <c r="Z400" s="8"/>
      <c r="AC400" s="8"/>
      <c r="AD400" s="8"/>
      <c r="AF400" s="8"/>
      <c r="AG400" s="8"/>
      <c r="AH400" s="8">
        <v>7.0000000000000007E-2</v>
      </c>
      <c r="AL400" s="8"/>
      <c r="AM400" s="8"/>
    </row>
    <row r="401" spans="1:40" x14ac:dyDescent="0.2">
      <c r="A401" t="s">
        <v>852</v>
      </c>
      <c r="G401">
        <v>24</v>
      </c>
      <c r="H401">
        <v>20</v>
      </c>
      <c r="I401">
        <v>17</v>
      </c>
      <c r="J401">
        <v>13</v>
      </c>
      <c r="K401">
        <v>13</v>
      </c>
      <c r="L401">
        <v>13</v>
      </c>
      <c r="M401">
        <v>13</v>
      </c>
      <c r="O401">
        <v>12</v>
      </c>
      <c r="V401" s="8"/>
      <c r="W401" s="8"/>
      <c r="X401" s="8"/>
      <c r="Y401" s="8"/>
      <c r="Z401" s="8"/>
      <c r="AB401" s="4">
        <v>30</v>
      </c>
      <c r="AC401" s="8"/>
      <c r="AD401" s="8"/>
      <c r="AF401" s="8"/>
      <c r="AG401" s="8"/>
      <c r="AH401" s="8"/>
      <c r="AL401" s="8"/>
      <c r="AM401" s="8"/>
    </row>
    <row r="402" spans="1:40" x14ac:dyDescent="0.2">
      <c r="A402" t="s">
        <v>853</v>
      </c>
      <c r="G402">
        <v>34</v>
      </c>
      <c r="H402">
        <v>29</v>
      </c>
      <c r="I402">
        <v>26</v>
      </c>
      <c r="J402">
        <v>21</v>
      </c>
      <c r="K402">
        <v>21</v>
      </c>
      <c r="L402">
        <v>21</v>
      </c>
      <c r="M402">
        <v>21</v>
      </c>
      <c r="O402">
        <v>15</v>
      </c>
      <c r="V402" s="8"/>
      <c r="W402" s="8"/>
      <c r="X402" s="8"/>
      <c r="Y402" s="8"/>
      <c r="Z402" s="8"/>
      <c r="AB402" s="4">
        <v>30</v>
      </c>
      <c r="AC402" s="8"/>
      <c r="AD402" s="8"/>
      <c r="AF402" s="8"/>
      <c r="AG402" s="8"/>
      <c r="AH402" s="8"/>
      <c r="AL402" s="8"/>
      <c r="AM402" s="8"/>
    </row>
    <row r="403" spans="1:40" x14ac:dyDescent="0.2">
      <c r="A403" t="s">
        <v>854</v>
      </c>
      <c r="G403">
        <v>37</v>
      </c>
      <c r="H403">
        <v>24</v>
      </c>
      <c r="I403">
        <v>35</v>
      </c>
      <c r="J403">
        <v>24</v>
      </c>
      <c r="K403">
        <v>24</v>
      </c>
      <c r="L403">
        <v>24</v>
      </c>
      <c r="M403">
        <v>24</v>
      </c>
      <c r="N403">
        <v>35</v>
      </c>
      <c r="V403" s="8">
        <v>0.04</v>
      </c>
      <c r="W403" s="8"/>
      <c r="X403" s="8"/>
      <c r="Y403" s="8"/>
      <c r="Z403" s="8"/>
      <c r="AB403" s="4">
        <v>30</v>
      </c>
      <c r="AC403" s="8"/>
      <c r="AD403" s="8"/>
      <c r="AF403" s="8"/>
      <c r="AG403" s="8"/>
      <c r="AH403" s="8"/>
      <c r="AL403" s="8"/>
      <c r="AM403" s="8"/>
    </row>
    <row r="404" spans="1:40" x14ac:dyDescent="0.2">
      <c r="A404" t="s">
        <v>855</v>
      </c>
      <c r="G404">
        <v>38</v>
      </c>
      <c r="H404">
        <v>25</v>
      </c>
      <c r="I404">
        <v>36</v>
      </c>
      <c r="J404">
        <v>25</v>
      </c>
      <c r="K404">
        <v>25</v>
      </c>
      <c r="L404">
        <v>25</v>
      </c>
      <c r="M404">
        <v>25</v>
      </c>
      <c r="N404">
        <v>36</v>
      </c>
      <c r="V404" s="8">
        <v>0.05</v>
      </c>
      <c r="W404" s="8"/>
      <c r="X404" s="8"/>
      <c r="Y404" s="8"/>
      <c r="Z404" s="8"/>
      <c r="AA404" s="8"/>
      <c r="AB404" s="4">
        <v>30</v>
      </c>
      <c r="AC404" s="8"/>
      <c r="AD404" s="8"/>
      <c r="AE404"/>
      <c r="AF404" s="8"/>
      <c r="AG404" s="8"/>
      <c r="AH404" s="8"/>
      <c r="AL404" s="8"/>
      <c r="AM404" s="8"/>
    </row>
    <row r="405" spans="1:40" x14ac:dyDescent="0.2">
      <c r="A405" s="144" t="s">
        <v>856</v>
      </c>
      <c r="G405">
        <v>33</v>
      </c>
      <c r="H405">
        <v>16</v>
      </c>
      <c r="I405">
        <v>33</v>
      </c>
      <c r="J405">
        <v>16</v>
      </c>
      <c r="K405">
        <v>16</v>
      </c>
      <c r="L405">
        <v>19</v>
      </c>
      <c r="M405">
        <v>19</v>
      </c>
      <c r="N405">
        <v>28</v>
      </c>
      <c r="O405">
        <v>32</v>
      </c>
      <c r="V405" s="8"/>
      <c r="W405" s="8"/>
      <c r="X405" s="8"/>
      <c r="Y405" s="8"/>
      <c r="Z405" s="8"/>
      <c r="AA405" s="8"/>
      <c r="AB405" s="4">
        <v>10</v>
      </c>
      <c r="AC405" s="8"/>
      <c r="AD405" s="8"/>
      <c r="AE405"/>
      <c r="AF405" s="8"/>
      <c r="AG405" s="8"/>
      <c r="AH405" s="8"/>
      <c r="AL405" s="8"/>
      <c r="AM405" s="8"/>
    </row>
    <row r="406" spans="1:40" x14ac:dyDescent="0.2">
      <c r="A406" s="144" t="s">
        <v>857</v>
      </c>
      <c r="G406">
        <v>38</v>
      </c>
      <c r="H406">
        <v>21</v>
      </c>
      <c r="I406">
        <v>38</v>
      </c>
      <c r="J406">
        <v>16</v>
      </c>
      <c r="K406">
        <v>16</v>
      </c>
      <c r="L406">
        <v>24</v>
      </c>
      <c r="M406">
        <v>24</v>
      </c>
      <c r="N406">
        <v>40</v>
      </c>
      <c r="O406">
        <v>44</v>
      </c>
      <c r="V406" s="8"/>
      <c r="W406" s="8"/>
      <c r="X406" s="8"/>
      <c r="Y406" s="8"/>
      <c r="Z406" s="8"/>
      <c r="AA406" s="8"/>
      <c r="AB406" s="4">
        <v>10</v>
      </c>
      <c r="AC406" s="8"/>
      <c r="AD406" s="8"/>
      <c r="AE406"/>
      <c r="AF406" s="8"/>
      <c r="AG406" s="8"/>
      <c r="AH406" s="8"/>
      <c r="AL406" s="4"/>
      <c r="AM406" s="8"/>
    </row>
    <row r="407" spans="1:40" x14ac:dyDescent="0.2">
      <c r="A407" s="3" t="s">
        <v>1870</v>
      </c>
      <c r="G407">
        <v>41</v>
      </c>
      <c r="H407">
        <v>24</v>
      </c>
      <c r="I407">
        <v>41</v>
      </c>
      <c r="J407">
        <v>16</v>
      </c>
      <c r="K407">
        <v>16</v>
      </c>
      <c r="L407">
        <v>27</v>
      </c>
      <c r="M407">
        <v>27</v>
      </c>
      <c r="N407">
        <v>46</v>
      </c>
      <c r="O407">
        <v>50</v>
      </c>
      <c r="V407" s="8"/>
      <c r="W407" s="8"/>
      <c r="X407" s="8"/>
      <c r="Y407" s="8"/>
      <c r="Z407" s="8"/>
      <c r="AA407" s="8"/>
      <c r="AB407" s="4">
        <v>10</v>
      </c>
      <c r="AC407" s="8"/>
      <c r="AD407" s="8"/>
      <c r="AE407"/>
      <c r="AF407" s="8"/>
      <c r="AG407" s="8"/>
      <c r="AH407" s="8"/>
      <c r="AL407" s="4"/>
      <c r="AM407" s="8"/>
    </row>
    <row r="408" spans="1:40" x14ac:dyDescent="0.2">
      <c r="A408" t="s">
        <v>872</v>
      </c>
      <c r="G408">
        <v>22</v>
      </c>
      <c r="H408">
        <v>29</v>
      </c>
      <c r="I408">
        <v>22</v>
      </c>
      <c r="J408">
        <v>28</v>
      </c>
      <c r="K408">
        <v>21</v>
      </c>
      <c r="L408">
        <v>21</v>
      </c>
      <c r="M408">
        <v>21</v>
      </c>
      <c r="O408">
        <v>10</v>
      </c>
      <c r="R408">
        <v>10</v>
      </c>
      <c r="V408" s="8"/>
      <c r="W408" s="8"/>
      <c r="X408" s="8"/>
      <c r="Y408" s="8"/>
      <c r="Z408" s="8"/>
      <c r="AB408" s="4">
        <v>40</v>
      </c>
      <c r="AC408" s="8"/>
      <c r="AD408" s="8"/>
      <c r="AF408" s="8"/>
      <c r="AG408" s="8"/>
      <c r="AH408" s="8"/>
      <c r="AL408" s="8"/>
      <c r="AM408" s="8"/>
    </row>
    <row r="409" spans="1:40" x14ac:dyDescent="0.2">
      <c r="A409" t="str">
        <f>Augments!A37</f>
        <v>Taeon Tabard (TA)</v>
      </c>
      <c r="B409">
        <f t="shared" ref="B409:K412" ca="1" si="24">IF(ISBLANK($A409),0,VLOOKUP($A409,INDIRECT(CONCATENATE("Aug",$A$334)),MATCH(B$1,AugStatHeader,0),0)
+VLOOKUP(LEFT($A409,FIND(" (",$A409,1)-1),INDIRECT("BaseAugArmor"),MATCH(B$1,StatHeader,0),0))</f>
        <v>0</v>
      </c>
      <c r="C409">
        <f t="shared" ca="1" si="24"/>
        <v>0</v>
      </c>
      <c r="D409">
        <f t="shared" ca="1" si="24"/>
        <v>0</v>
      </c>
      <c r="E409">
        <f t="shared" ca="1" si="24"/>
        <v>0</v>
      </c>
      <c r="F409">
        <f t="shared" ca="1" si="24"/>
        <v>0</v>
      </c>
      <c r="G409">
        <f t="shared" ca="1" si="24"/>
        <v>29</v>
      </c>
      <c r="H409">
        <f t="shared" ca="1" si="24"/>
        <v>36</v>
      </c>
      <c r="I409">
        <f t="shared" ca="1" si="24"/>
        <v>22</v>
      </c>
      <c r="J409">
        <f t="shared" ca="1" si="24"/>
        <v>28</v>
      </c>
      <c r="K409">
        <f t="shared" ca="1" si="24"/>
        <v>21</v>
      </c>
      <c r="L409">
        <f t="shared" ref="L409:U412" ca="1" si="25">IF(ISBLANK($A409),0,VLOOKUP($A409,INDIRECT(CONCATENATE("Aug",$A$334)),MATCH(L$1,AugStatHeader,0),0)
+VLOOKUP(LEFT($A409,FIND(" (",$A409,1)-1),INDIRECT("BaseAugArmor"),MATCH(L$1,StatHeader,0),0))</f>
        <v>21</v>
      </c>
      <c r="M409">
        <f t="shared" ca="1" si="25"/>
        <v>21</v>
      </c>
      <c r="N409">
        <f t="shared" ca="1" si="25"/>
        <v>20</v>
      </c>
      <c r="O409">
        <f t="shared" ca="1" si="25"/>
        <v>30</v>
      </c>
      <c r="P409" s="8">
        <f t="shared" ca="1" si="25"/>
        <v>0</v>
      </c>
      <c r="Q409">
        <f t="shared" ca="1" si="25"/>
        <v>0</v>
      </c>
      <c r="R409">
        <f t="shared" ca="1" si="25"/>
        <v>10</v>
      </c>
      <c r="S409">
        <f t="shared" ca="1" si="25"/>
        <v>0</v>
      </c>
      <c r="T409">
        <f t="shared" ca="1" si="25"/>
        <v>0</v>
      </c>
      <c r="U409">
        <f t="shared" ca="1" si="25"/>
        <v>0</v>
      </c>
      <c r="V409" s="8">
        <f t="shared" ref="V409:AE412" ca="1" si="26">IF(ISBLANK($A409),0,VLOOKUP($A409,INDIRECT(CONCATENATE("Aug",$A$334)),MATCH(V$1,AugStatHeader,0),0)
+VLOOKUP(LEFT($A409,FIND(" (",$A409,1)-1),INDIRECT("BaseAugArmor"),MATCH(V$1,StatHeader,0),0))</f>
        <v>0</v>
      </c>
      <c r="W409" s="8">
        <f t="shared" ca="1" si="26"/>
        <v>0.02</v>
      </c>
      <c r="X409" s="8">
        <f t="shared" ca="1" si="26"/>
        <v>0</v>
      </c>
      <c r="Y409" s="8">
        <f t="shared" ca="1" si="26"/>
        <v>0</v>
      </c>
      <c r="Z409" s="8">
        <f t="shared" ca="1" si="26"/>
        <v>0</v>
      </c>
      <c r="AA409">
        <f t="shared" ca="1" si="26"/>
        <v>0</v>
      </c>
      <c r="AB409">
        <f t="shared" ca="1" si="26"/>
        <v>40</v>
      </c>
      <c r="AC409" s="8">
        <f t="shared" ca="1" si="26"/>
        <v>0</v>
      </c>
      <c r="AD409" s="8">
        <f t="shared" ca="1" si="26"/>
        <v>0</v>
      </c>
      <c r="AE409">
        <f t="shared" ca="1" si="26"/>
        <v>0</v>
      </c>
      <c r="AF409">
        <f t="shared" ref="AF409:AN412" ca="1" si="27">IF(ISBLANK($A409),0,VLOOKUP($A409,INDIRECT(CONCATENATE("Aug",$A$334)),MATCH(AF$1,AugStatHeader,0),0)
+VLOOKUP(LEFT($A409,FIND(" (",$A409,1)-1),INDIRECT("BaseAugArmor"),MATCH(AF$1,StatHeader,0),0))</f>
        <v>0</v>
      </c>
      <c r="AG409">
        <f t="shared" ca="1" si="27"/>
        <v>0</v>
      </c>
      <c r="AH409" s="8">
        <f t="shared" ca="1" si="27"/>
        <v>0</v>
      </c>
      <c r="AI409">
        <f t="shared" ca="1" si="27"/>
        <v>0</v>
      </c>
      <c r="AJ409">
        <f t="shared" ca="1" si="27"/>
        <v>0</v>
      </c>
      <c r="AK409">
        <f t="shared" ca="1" si="27"/>
        <v>0</v>
      </c>
      <c r="AL409">
        <f t="shared" ca="1" si="27"/>
        <v>0</v>
      </c>
      <c r="AM409" s="8">
        <f t="shared" ca="1" si="27"/>
        <v>0</v>
      </c>
      <c r="AN409">
        <f t="shared" ca="1" si="27"/>
        <v>0</v>
      </c>
    </row>
    <row r="410" spans="1:40" x14ac:dyDescent="0.2">
      <c r="A410" t="str">
        <f>Augments!A38</f>
        <v>Taeon Tabard (C.Rate)</v>
      </c>
      <c r="B410">
        <f t="shared" ca="1" si="24"/>
        <v>0</v>
      </c>
      <c r="C410">
        <f t="shared" ca="1" si="24"/>
        <v>0</v>
      </c>
      <c r="D410">
        <f t="shared" ca="1" si="24"/>
        <v>0</v>
      </c>
      <c r="E410">
        <f t="shared" ca="1" si="24"/>
        <v>0</v>
      </c>
      <c r="F410">
        <f t="shared" ca="1" si="24"/>
        <v>0</v>
      </c>
      <c r="G410">
        <f t="shared" ca="1" si="24"/>
        <v>29</v>
      </c>
      <c r="H410">
        <f t="shared" ca="1" si="24"/>
        <v>36</v>
      </c>
      <c r="I410">
        <f t="shared" ca="1" si="24"/>
        <v>22</v>
      </c>
      <c r="J410">
        <f t="shared" ca="1" si="24"/>
        <v>28</v>
      </c>
      <c r="K410">
        <f t="shared" ca="1" si="24"/>
        <v>21</v>
      </c>
      <c r="L410">
        <f t="shared" ca="1" si="25"/>
        <v>21</v>
      </c>
      <c r="M410">
        <f t="shared" ca="1" si="25"/>
        <v>21</v>
      </c>
      <c r="N410">
        <f t="shared" ca="1" si="25"/>
        <v>20</v>
      </c>
      <c r="O410">
        <f t="shared" ca="1" si="25"/>
        <v>30</v>
      </c>
      <c r="P410" s="8">
        <f t="shared" ca="1" si="25"/>
        <v>0</v>
      </c>
      <c r="Q410">
        <f t="shared" ca="1" si="25"/>
        <v>0</v>
      </c>
      <c r="R410">
        <f t="shared" ca="1" si="25"/>
        <v>10</v>
      </c>
      <c r="S410">
        <f t="shared" ca="1" si="25"/>
        <v>0</v>
      </c>
      <c r="T410">
        <f t="shared" ca="1" si="25"/>
        <v>0</v>
      </c>
      <c r="U410">
        <f t="shared" ca="1" si="25"/>
        <v>0</v>
      </c>
      <c r="V410" s="8">
        <f t="shared" ca="1" si="26"/>
        <v>0</v>
      </c>
      <c r="W410" s="8">
        <f t="shared" ca="1" si="26"/>
        <v>0</v>
      </c>
      <c r="X410" s="8">
        <f t="shared" ca="1" si="26"/>
        <v>0</v>
      </c>
      <c r="Y410" s="8">
        <f t="shared" ca="1" si="26"/>
        <v>0</v>
      </c>
      <c r="Z410" s="8">
        <f t="shared" ca="1" si="26"/>
        <v>0</v>
      </c>
      <c r="AA410">
        <f t="shared" ca="1" si="26"/>
        <v>0</v>
      </c>
      <c r="AB410">
        <f t="shared" ca="1" si="26"/>
        <v>40</v>
      </c>
      <c r="AC410" s="8">
        <f t="shared" ca="1" si="26"/>
        <v>0.03</v>
      </c>
      <c r="AD410" s="8">
        <f t="shared" ca="1" si="26"/>
        <v>0</v>
      </c>
      <c r="AE410">
        <f t="shared" ca="1" si="26"/>
        <v>0</v>
      </c>
      <c r="AF410">
        <f t="shared" ca="1" si="27"/>
        <v>0</v>
      </c>
      <c r="AG410">
        <f t="shared" ca="1" si="27"/>
        <v>0</v>
      </c>
      <c r="AH410" s="8">
        <f t="shared" ca="1" si="27"/>
        <v>0</v>
      </c>
      <c r="AI410">
        <f t="shared" ca="1" si="27"/>
        <v>0</v>
      </c>
      <c r="AJ410">
        <f t="shared" ca="1" si="27"/>
        <v>0</v>
      </c>
      <c r="AK410">
        <f t="shared" ca="1" si="27"/>
        <v>0</v>
      </c>
      <c r="AL410">
        <f t="shared" ca="1" si="27"/>
        <v>0</v>
      </c>
      <c r="AM410" s="8">
        <f t="shared" ca="1" si="27"/>
        <v>0</v>
      </c>
      <c r="AN410">
        <f t="shared" ca="1" si="27"/>
        <v>0</v>
      </c>
    </row>
    <row r="411" spans="1:40" x14ac:dyDescent="0.2">
      <c r="A411" t="str">
        <f>Augments!A39</f>
        <v>Taeon Tabard (Custom 1)</v>
      </c>
      <c r="B411">
        <f t="shared" ca="1" si="24"/>
        <v>0</v>
      </c>
      <c r="C411">
        <f t="shared" ca="1" si="24"/>
        <v>0</v>
      </c>
      <c r="D411">
        <f t="shared" ca="1" si="24"/>
        <v>0</v>
      </c>
      <c r="E411">
        <f t="shared" ca="1" si="24"/>
        <v>0</v>
      </c>
      <c r="F411">
        <f t="shared" ca="1" si="24"/>
        <v>0</v>
      </c>
      <c r="G411">
        <f t="shared" ca="1" si="24"/>
        <v>22</v>
      </c>
      <c r="H411">
        <f t="shared" ca="1" si="24"/>
        <v>29</v>
      </c>
      <c r="I411">
        <f t="shared" ca="1" si="24"/>
        <v>22</v>
      </c>
      <c r="J411">
        <f t="shared" ca="1" si="24"/>
        <v>28</v>
      </c>
      <c r="K411">
        <f t="shared" ca="1" si="24"/>
        <v>21</v>
      </c>
      <c r="L411">
        <f t="shared" ca="1" si="25"/>
        <v>21</v>
      </c>
      <c r="M411">
        <f t="shared" ca="1" si="25"/>
        <v>21</v>
      </c>
      <c r="N411">
        <f t="shared" ca="1" si="25"/>
        <v>0</v>
      </c>
      <c r="O411">
        <f t="shared" ca="1" si="25"/>
        <v>10</v>
      </c>
      <c r="P411" s="8">
        <f t="shared" ca="1" si="25"/>
        <v>0</v>
      </c>
      <c r="Q411">
        <f t="shared" ca="1" si="25"/>
        <v>0</v>
      </c>
      <c r="R411">
        <f t="shared" ca="1" si="25"/>
        <v>10</v>
      </c>
      <c r="S411">
        <f t="shared" ca="1" si="25"/>
        <v>0</v>
      </c>
      <c r="T411">
        <f t="shared" ca="1" si="25"/>
        <v>0</v>
      </c>
      <c r="U411">
        <f t="shared" ca="1" si="25"/>
        <v>0</v>
      </c>
      <c r="V411" s="8">
        <f t="shared" ca="1" si="26"/>
        <v>0</v>
      </c>
      <c r="W411" s="8">
        <f t="shared" ca="1" si="26"/>
        <v>0</v>
      </c>
      <c r="X411" s="8">
        <f t="shared" ca="1" si="26"/>
        <v>0</v>
      </c>
      <c r="Y411" s="8">
        <f t="shared" ca="1" si="26"/>
        <v>0</v>
      </c>
      <c r="Z411" s="8">
        <f t="shared" ca="1" si="26"/>
        <v>0</v>
      </c>
      <c r="AA411">
        <f t="shared" ca="1" si="26"/>
        <v>0</v>
      </c>
      <c r="AB411">
        <f t="shared" ca="1" si="26"/>
        <v>40</v>
      </c>
      <c r="AC411" s="8">
        <f t="shared" ca="1" si="26"/>
        <v>0</v>
      </c>
      <c r="AD411" s="8">
        <f t="shared" ca="1" si="26"/>
        <v>0</v>
      </c>
      <c r="AE411">
        <f t="shared" ca="1" si="26"/>
        <v>0</v>
      </c>
      <c r="AF411">
        <f t="shared" ca="1" si="27"/>
        <v>0</v>
      </c>
      <c r="AG411">
        <f t="shared" ca="1" si="27"/>
        <v>0</v>
      </c>
      <c r="AH411" s="8">
        <f t="shared" ca="1" si="27"/>
        <v>0</v>
      </c>
      <c r="AI411">
        <f t="shared" ca="1" si="27"/>
        <v>0</v>
      </c>
      <c r="AJ411">
        <f t="shared" ca="1" si="27"/>
        <v>0</v>
      </c>
      <c r="AK411">
        <f t="shared" ca="1" si="27"/>
        <v>0</v>
      </c>
      <c r="AL411">
        <f t="shared" ca="1" si="27"/>
        <v>0</v>
      </c>
      <c r="AM411" s="8">
        <f t="shared" ca="1" si="27"/>
        <v>0</v>
      </c>
      <c r="AN411">
        <f t="shared" ca="1" si="27"/>
        <v>0</v>
      </c>
    </row>
    <row r="412" spans="1:40" x14ac:dyDescent="0.2">
      <c r="A412" t="str">
        <f>Augments!A40</f>
        <v>Taeon Tabard (Custom 2)</v>
      </c>
      <c r="B412">
        <f t="shared" ca="1" si="24"/>
        <v>0</v>
      </c>
      <c r="C412">
        <f t="shared" ca="1" si="24"/>
        <v>0</v>
      </c>
      <c r="D412">
        <f t="shared" ca="1" si="24"/>
        <v>0</v>
      </c>
      <c r="E412">
        <f t="shared" ca="1" si="24"/>
        <v>0</v>
      </c>
      <c r="F412">
        <f t="shared" ca="1" si="24"/>
        <v>0</v>
      </c>
      <c r="G412">
        <f t="shared" ca="1" si="24"/>
        <v>22</v>
      </c>
      <c r="H412">
        <f t="shared" ca="1" si="24"/>
        <v>29</v>
      </c>
      <c r="I412">
        <f t="shared" ca="1" si="24"/>
        <v>22</v>
      </c>
      <c r="J412">
        <f t="shared" ca="1" si="24"/>
        <v>28</v>
      </c>
      <c r="K412">
        <f t="shared" ca="1" si="24"/>
        <v>21</v>
      </c>
      <c r="L412">
        <f t="shared" ca="1" si="25"/>
        <v>21</v>
      </c>
      <c r="M412">
        <f t="shared" ca="1" si="25"/>
        <v>21</v>
      </c>
      <c r="N412">
        <f t="shared" ca="1" si="25"/>
        <v>0</v>
      </c>
      <c r="O412">
        <f t="shared" ca="1" si="25"/>
        <v>10</v>
      </c>
      <c r="P412" s="8">
        <f t="shared" ca="1" si="25"/>
        <v>0</v>
      </c>
      <c r="Q412">
        <f t="shared" ca="1" si="25"/>
        <v>0</v>
      </c>
      <c r="R412">
        <f t="shared" ca="1" si="25"/>
        <v>10</v>
      </c>
      <c r="S412">
        <f t="shared" ca="1" si="25"/>
        <v>0</v>
      </c>
      <c r="T412">
        <f t="shared" ca="1" si="25"/>
        <v>0</v>
      </c>
      <c r="U412">
        <f t="shared" ca="1" si="25"/>
        <v>0</v>
      </c>
      <c r="V412" s="8">
        <f t="shared" ca="1" si="26"/>
        <v>0</v>
      </c>
      <c r="W412" s="8">
        <f t="shared" ca="1" si="26"/>
        <v>0</v>
      </c>
      <c r="X412" s="8">
        <f t="shared" ca="1" si="26"/>
        <v>0</v>
      </c>
      <c r="Y412" s="8">
        <f t="shared" ca="1" si="26"/>
        <v>0</v>
      </c>
      <c r="Z412" s="8">
        <f t="shared" ca="1" si="26"/>
        <v>0</v>
      </c>
      <c r="AA412">
        <f t="shared" ca="1" si="26"/>
        <v>0</v>
      </c>
      <c r="AB412">
        <f t="shared" ca="1" si="26"/>
        <v>40</v>
      </c>
      <c r="AC412" s="8">
        <f t="shared" ca="1" si="26"/>
        <v>0</v>
      </c>
      <c r="AD412" s="8">
        <f t="shared" ca="1" si="26"/>
        <v>0</v>
      </c>
      <c r="AE412">
        <f t="shared" ca="1" si="26"/>
        <v>0</v>
      </c>
      <c r="AF412">
        <f t="shared" ca="1" si="27"/>
        <v>0</v>
      </c>
      <c r="AG412">
        <f t="shared" ca="1" si="27"/>
        <v>0</v>
      </c>
      <c r="AH412" s="8">
        <f t="shared" ca="1" si="27"/>
        <v>0</v>
      </c>
      <c r="AI412">
        <f t="shared" ca="1" si="27"/>
        <v>0</v>
      </c>
      <c r="AJ412">
        <f t="shared" ca="1" si="27"/>
        <v>0</v>
      </c>
      <c r="AK412">
        <f t="shared" ca="1" si="27"/>
        <v>0</v>
      </c>
      <c r="AL412">
        <f t="shared" ca="1" si="27"/>
        <v>0</v>
      </c>
      <c r="AM412" s="8">
        <f t="shared" ca="1" si="27"/>
        <v>0</v>
      </c>
      <c r="AN412">
        <f t="shared" ca="1" si="27"/>
        <v>0</v>
      </c>
    </row>
    <row r="413" spans="1:40" x14ac:dyDescent="0.2">
      <c r="A413" t="s">
        <v>858</v>
      </c>
      <c r="G413">
        <v>29</v>
      </c>
      <c r="H413">
        <v>19</v>
      </c>
      <c r="I413">
        <v>29</v>
      </c>
      <c r="J413">
        <v>19</v>
      </c>
      <c r="K413">
        <v>19</v>
      </c>
      <c r="L413">
        <v>19</v>
      </c>
      <c r="M413">
        <v>19</v>
      </c>
      <c r="N413">
        <v>40</v>
      </c>
      <c r="V413" s="8"/>
      <c r="W413" s="8"/>
      <c r="X413" s="8"/>
      <c r="Y413" s="8"/>
      <c r="Z413" s="8"/>
      <c r="AB413" s="4">
        <v>30</v>
      </c>
      <c r="AC413" s="8"/>
      <c r="AD413" s="8"/>
      <c r="AF413" s="8"/>
      <c r="AG413" s="8"/>
      <c r="AH413" s="8"/>
      <c r="AL413" s="8"/>
      <c r="AM413" s="8"/>
    </row>
    <row r="414" spans="1:40" x14ac:dyDescent="0.2">
      <c r="A414" t="s">
        <v>859</v>
      </c>
      <c r="G414">
        <v>32</v>
      </c>
      <c r="H414">
        <v>16</v>
      </c>
      <c r="I414">
        <v>29</v>
      </c>
      <c r="J414">
        <v>19</v>
      </c>
      <c r="K414">
        <v>20</v>
      </c>
      <c r="L414">
        <v>20</v>
      </c>
      <c r="M414">
        <v>20</v>
      </c>
      <c r="O414">
        <v>25</v>
      </c>
      <c r="R414">
        <v>25</v>
      </c>
      <c r="T414">
        <v>20</v>
      </c>
      <c r="U414">
        <v>15</v>
      </c>
      <c r="V414" s="8"/>
      <c r="W414" s="8"/>
      <c r="X414" s="8"/>
      <c r="Y414" s="8"/>
      <c r="Z414" s="8"/>
      <c r="AB414" s="4">
        <v>30</v>
      </c>
      <c r="AC414" s="8"/>
      <c r="AD414" s="8"/>
      <c r="AF414" s="8"/>
      <c r="AG414" s="8"/>
      <c r="AH414" s="8"/>
      <c r="AL414" s="8"/>
      <c r="AM414" s="8"/>
    </row>
    <row r="415" spans="1:40" x14ac:dyDescent="0.2">
      <c r="A415" t="s">
        <v>873</v>
      </c>
      <c r="G415">
        <v>29</v>
      </c>
      <c r="H415">
        <v>25</v>
      </c>
      <c r="I415">
        <v>29</v>
      </c>
      <c r="J415">
        <v>20</v>
      </c>
      <c r="K415">
        <v>20</v>
      </c>
      <c r="L415">
        <v>20</v>
      </c>
      <c r="M415">
        <v>20</v>
      </c>
      <c r="N415">
        <v>20</v>
      </c>
      <c r="V415" s="8">
        <v>0.02</v>
      </c>
      <c r="W415" s="8"/>
      <c r="X415" s="8"/>
      <c r="Y415" s="8"/>
      <c r="Z415" s="8"/>
      <c r="AB415" s="4">
        <v>30</v>
      </c>
      <c r="AC415" s="8"/>
      <c r="AD415" s="8"/>
      <c r="AE415" s="4">
        <v>3</v>
      </c>
      <c r="AF415" s="8"/>
      <c r="AG415" s="8"/>
      <c r="AH415" s="8"/>
      <c r="AL415" s="8"/>
      <c r="AM415" s="8"/>
    </row>
    <row r="416" spans="1:40" x14ac:dyDescent="0.2">
      <c r="A416" t="str">
        <f>Augments!A41</f>
        <v>Valorous Mail (Custom 1)</v>
      </c>
      <c r="B416">
        <f t="shared" ref="B416:K421" ca="1" si="28">IF(ISBLANK($A416),0,VLOOKUP($A416,INDIRECT(CONCATENATE("Aug",$A$334)),MATCH(B$1,AugStatHeader,0),0)
+VLOOKUP(LEFT($A416,FIND(" (",$A416,1)-1),INDIRECT("BaseAugArmor"),MATCH(B$1,StatHeader,0),0))</f>
        <v>0</v>
      </c>
      <c r="C416">
        <f t="shared" ca="1" si="28"/>
        <v>0</v>
      </c>
      <c r="D416">
        <f t="shared" ca="1" si="28"/>
        <v>0</v>
      </c>
      <c r="E416">
        <f t="shared" ca="1" si="28"/>
        <v>0</v>
      </c>
      <c r="F416">
        <f t="shared" ca="1" si="28"/>
        <v>0</v>
      </c>
      <c r="G416">
        <f t="shared" ca="1" si="28"/>
        <v>29</v>
      </c>
      <c r="H416">
        <f t="shared" ca="1" si="28"/>
        <v>25</v>
      </c>
      <c r="I416">
        <f t="shared" ca="1" si="28"/>
        <v>29</v>
      </c>
      <c r="J416">
        <f t="shared" ca="1" si="28"/>
        <v>20</v>
      </c>
      <c r="K416">
        <f t="shared" ca="1" si="28"/>
        <v>20</v>
      </c>
      <c r="L416">
        <f t="shared" ref="L416:U421" ca="1" si="29">IF(ISBLANK($A416),0,VLOOKUP($A416,INDIRECT(CONCATENATE("Aug",$A$334)),MATCH(L$1,AugStatHeader,0),0)
+VLOOKUP(LEFT($A416,FIND(" (",$A416,1)-1),INDIRECT("BaseAugArmor"),MATCH(L$1,StatHeader,0),0))</f>
        <v>20</v>
      </c>
      <c r="M416">
        <f t="shared" ca="1" si="29"/>
        <v>20</v>
      </c>
      <c r="N416">
        <f t="shared" ca="1" si="29"/>
        <v>20</v>
      </c>
      <c r="O416">
        <f t="shared" ca="1" si="29"/>
        <v>0</v>
      </c>
      <c r="P416" s="8">
        <f t="shared" ca="1" si="29"/>
        <v>0</v>
      </c>
      <c r="Q416">
        <f t="shared" ca="1" si="29"/>
        <v>0</v>
      </c>
      <c r="R416">
        <f t="shared" ca="1" si="29"/>
        <v>0</v>
      </c>
      <c r="S416">
        <f t="shared" ca="1" si="29"/>
        <v>0</v>
      </c>
      <c r="T416">
        <f t="shared" ca="1" si="29"/>
        <v>0</v>
      </c>
      <c r="U416">
        <f t="shared" ca="1" si="29"/>
        <v>0</v>
      </c>
      <c r="V416" s="8">
        <f t="shared" ref="V416:AE421" ca="1" si="30">IF(ISBLANK($A416),0,VLOOKUP($A416,INDIRECT(CONCATENATE("Aug",$A$334)),MATCH(V$1,AugStatHeader,0),0)
+VLOOKUP(LEFT($A416,FIND(" (",$A416,1)-1),INDIRECT("BaseAugArmor"),MATCH(V$1,StatHeader,0),0))</f>
        <v>0.02</v>
      </c>
      <c r="W416" s="8">
        <f t="shared" ca="1" si="30"/>
        <v>0</v>
      </c>
      <c r="X416" s="8">
        <f t="shared" ca="1" si="30"/>
        <v>0</v>
      </c>
      <c r="Y416" s="8">
        <f t="shared" ca="1" si="30"/>
        <v>0</v>
      </c>
      <c r="Z416" s="8">
        <f t="shared" ca="1" si="30"/>
        <v>0</v>
      </c>
      <c r="AA416">
        <f t="shared" ca="1" si="30"/>
        <v>0</v>
      </c>
      <c r="AB416">
        <f t="shared" ca="1" si="30"/>
        <v>30</v>
      </c>
      <c r="AC416" s="8">
        <f t="shared" ca="1" si="30"/>
        <v>0</v>
      </c>
      <c r="AD416" s="8">
        <f t="shared" ca="1" si="30"/>
        <v>0</v>
      </c>
      <c r="AE416">
        <f t="shared" ca="1" si="30"/>
        <v>3</v>
      </c>
      <c r="AF416">
        <f t="shared" ref="AF416:AN421" ca="1" si="31">IF(ISBLANK($A416),0,VLOOKUP($A416,INDIRECT(CONCATENATE("Aug",$A$334)),MATCH(AF$1,AugStatHeader,0),0)
+VLOOKUP(LEFT($A416,FIND(" (",$A416,1)-1),INDIRECT("BaseAugArmor"),MATCH(AF$1,StatHeader,0),0))</f>
        <v>0</v>
      </c>
      <c r="AG416">
        <f t="shared" ca="1" si="31"/>
        <v>0</v>
      </c>
      <c r="AH416" s="8">
        <f t="shared" ca="1" si="31"/>
        <v>0</v>
      </c>
      <c r="AI416">
        <f t="shared" ca="1" si="31"/>
        <v>0</v>
      </c>
      <c r="AJ416">
        <f t="shared" ca="1" si="31"/>
        <v>0</v>
      </c>
      <c r="AK416">
        <f t="shared" ca="1" si="31"/>
        <v>0</v>
      </c>
      <c r="AL416">
        <f t="shared" ca="1" si="31"/>
        <v>0</v>
      </c>
      <c r="AM416" s="8">
        <f t="shared" ca="1" si="31"/>
        <v>0</v>
      </c>
      <c r="AN416">
        <f t="shared" ca="1" si="31"/>
        <v>0</v>
      </c>
    </row>
    <row r="417" spans="1:40" x14ac:dyDescent="0.2">
      <c r="A417" t="str">
        <f>Augments!A42</f>
        <v>Valorous Mail (Custom 2)</v>
      </c>
      <c r="B417">
        <f t="shared" ca="1" si="28"/>
        <v>0</v>
      </c>
      <c r="C417">
        <f t="shared" ca="1" si="28"/>
        <v>0</v>
      </c>
      <c r="D417">
        <f t="shared" ca="1" si="28"/>
        <v>0</v>
      </c>
      <c r="E417">
        <f t="shared" ca="1" si="28"/>
        <v>0</v>
      </c>
      <c r="F417">
        <f t="shared" ca="1" si="28"/>
        <v>0</v>
      </c>
      <c r="G417">
        <f t="shared" ca="1" si="28"/>
        <v>29</v>
      </c>
      <c r="H417">
        <f t="shared" ca="1" si="28"/>
        <v>25</v>
      </c>
      <c r="I417">
        <f t="shared" ca="1" si="28"/>
        <v>29</v>
      </c>
      <c r="J417">
        <f t="shared" ca="1" si="28"/>
        <v>20</v>
      </c>
      <c r="K417">
        <f t="shared" ca="1" si="28"/>
        <v>20</v>
      </c>
      <c r="L417">
        <f t="shared" ca="1" si="29"/>
        <v>20</v>
      </c>
      <c r="M417">
        <f t="shared" ca="1" si="29"/>
        <v>20</v>
      </c>
      <c r="N417">
        <f t="shared" ca="1" si="29"/>
        <v>20</v>
      </c>
      <c r="O417">
        <f t="shared" ca="1" si="29"/>
        <v>0</v>
      </c>
      <c r="P417" s="8">
        <f t="shared" ca="1" si="29"/>
        <v>0</v>
      </c>
      <c r="Q417">
        <f t="shared" ca="1" si="29"/>
        <v>0</v>
      </c>
      <c r="R417">
        <f t="shared" ca="1" si="29"/>
        <v>0</v>
      </c>
      <c r="S417">
        <f t="shared" ca="1" si="29"/>
        <v>0</v>
      </c>
      <c r="T417">
        <f t="shared" ca="1" si="29"/>
        <v>0</v>
      </c>
      <c r="U417">
        <f t="shared" ca="1" si="29"/>
        <v>0</v>
      </c>
      <c r="V417" s="8">
        <f t="shared" ca="1" si="30"/>
        <v>0.02</v>
      </c>
      <c r="W417" s="8">
        <f t="shared" ca="1" si="30"/>
        <v>0</v>
      </c>
      <c r="X417" s="8">
        <f t="shared" ca="1" si="30"/>
        <v>0</v>
      </c>
      <c r="Y417" s="8">
        <f t="shared" ca="1" si="30"/>
        <v>0</v>
      </c>
      <c r="Z417" s="8">
        <f t="shared" ca="1" si="30"/>
        <v>0</v>
      </c>
      <c r="AA417">
        <f t="shared" ca="1" si="30"/>
        <v>0</v>
      </c>
      <c r="AB417">
        <f t="shared" ca="1" si="30"/>
        <v>30</v>
      </c>
      <c r="AC417" s="8">
        <f t="shared" ca="1" si="30"/>
        <v>0</v>
      </c>
      <c r="AD417" s="8">
        <f t="shared" ca="1" si="30"/>
        <v>0</v>
      </c>
      <c r="AE417">
        <f t="shared" ca="1" si="30"/>
        <v>3</v>
      </c>
      <c r="AF417">
        <f t="shared" ca="1" si="31"/>
        <v>0</v>
      </c>
      <c r="AG417">
        <f t="shared" ca="1" si="31"/>
        <v>0</v>
      </c>
      <c r="AH417" s="8">
        <f t="shared" ca="1" si="31"/>
        <v>0</v>
      </c>
      <c r="AI417">
        <f t="shared" ca="1" si="31"/>
        <v>0</v>
      </c>
      <c r="AJ417">
        <f t="shared" ca="1" si="31"/>
        <v>0</v>
      </c>
      <c r="AK417">
        <f t="shared" ca="1" si="31"/>
        <v>0</v>
      </c>
      <c r="AL417">
        <f t="shared" ca="1" si="31"/>
        <v>0</v>
      </c>
      <c r="AM417" s="8">
        <f t="shared" ca="1" si="31"/>
        <v>0</v>
      </c>
      <c r="AN417">
        <f t="shared" ca="1" si="31"/>
        <v>0</v>
      </c>
    </row>
    <row r="418" spans="1:40" x14ac:dyDescent="0.2">
      <c r="A418" t="str">
        <f>Augments!A43</f>
        <v>Valorous Mail (Custom 3)</v>
      </c>
      <c r="B418">
        <f t="shared" ca="1" si="28"/>
        <v>0</v>
      </c>
      <c r="C418">
        <f t="shared" ca="1" si="28"/>
        <v>0</v>
      </c>
      <c r="D418">
        <f t="shared" ca="1" si="28"/>
        <v>0</v>
      </c>
      <c r="E418">
        <f t="shared" ca="1" si="28"/>
        <v>0</v>
      </c>
      <c r="F418">
        <f t="shared" ca="1" si="28"/>
        <v>0</v>
      </c>
      <c r="G418">
        <f t="shared" ca="1" si="28"/>
        <v>29</v>
      </c>
      <c r="H418">
        <f t="shared" ca="1" si="28"/>
        <v>25</v>
      </c>
      <c r="I418">
        <f t="shared" ca="1" si="28"/>
        <v>29</v>
      </c>
      <c r="J418">
        <f t="shared" ca="1" si="28"/>
        <v>20</v>
      </c>
      <c r="K418">
        <f t="shared" ca="1" si="28"/>
        <v>20</v>
      </c>
      <c r="L418">
        <f t="shared" ca="1" si="29"/>
        <v>20</v>
      </c>
      <c r="M418">
        <f t="shared" ca="1" si="29"/>
        <v>20</v>
      </c>
      <c r="N418">
        <f t="shared" ca="1" si="29"/>
        <v>20</v>
      </c>
      <c r="O418">
        <f t="shared" ca="1" si="29"/>
        <v>0</v>
      </c>
      <c r="P418" s="8">
        <f t="shared" ca="1" si="29"/>
        <v>0</v>
      </c>
      <c r="Q418">
        <f t="shared" ca="1" si="29"/>
        <v>0</v>
      </c>
      <c r="R418">
        <f t="shared" ca="1" si="29"/>
        <v>0</v>
      </c>
      <c r="S418">
        <f t="shared" ca="1" si="29"/>
        <v>0</v>
      </c>
      <c r="T418">
        <f t="shared" ca="1" si="29"/>
        <v>0</v>
      </c>
      <c r="U418">
        <f t="shared" ca="1" si="29"/>
        <v>0</v>
      </c>
      <c r="V418" s="8">
        <f t="shared" ca="1" si="30"/>
        <v>0.02</v>
      </c>
      <c r="W418" s="8">
        <f t="shared" ca="1" si="30"/>
        <v>0</v>
      </c>
      <c r="X418" s="8">
        <f t="shared" ca="1" si="30"/>
        <v>0</v>
      </c>
      <c r="Y418" s="8">
        <f t="shared" ca="1" si="30"/>
        <v>0</v>
      </c>
      <c r="Z418" s="8">
        <f t="shared" ca="1" si="30"/>
        <v>0</v>
      </c>
      <c r="AA418">
        <f t="shared" ca="1" si="30"/>
        <v>0</v>
      </c>
      <c r="AB418">
        <f t="shared" ca="1" si="30"/>
        <v>30</v>
      </c>
      <c r="AC418" s="8">
        <f t="shared" ca="1" si="30"/>
        <v>0</v>
      </c>
      <c r="AD418" s="8">
        <f t="shared" ca="1" si="30"/>
        <v>0</v>
      </c>
      <c r="AE418">
        <f t="shared" ca="1" si="30"/>
        <v>3</v>
      </c>
      <c r="AF418">
        <f t="shared" ca="1" si="31"/>
        <v>0</v>
      </c>
      <c r="AG418">
        <f t="shared" ca="1" si="31"/>
        <v>0</v>
      </c>
      <c r="AH418" s="8">
        <f t="shared" ca="1" si="31"/>
        <v>0</v>
      </c>
      <c r="AI418">
        <f t="shared" ca="1" si="31"/>
        <v>0</v>
      </c>
      <c r="AJ418">
        <f t="shared" ca="1" si="31"/>
        <v>0</v>
      </c>
      <c r="AK418">
        <f t="shared" ca="1" si="31"/>
        <v>0</v>
      </c>
      <c r="AL418">
        <f t="shared" ca="1" si="31"/>
        <v>0</v>
      </c>
      <c r="AM418" s="8">
        <f t="shared" ca="1" si="31"/>
        <v>0</v>
      </c>
      <c r="AN418">
        <f t="shared" ca="1" si="31"/>
        <v>0</v>
      </c>
    </row>
    <row r="419" spans="1:40" x14ac:dyDescent="0.2">
      <c r="A419" t="str">
        <f>Augments!A44</f>
        <v>Valorous Mail (Custom 4)</v>
      </c>
      <c r="B419">
        <f t="shared" ca="1" si="28"/>
        <v>0</v>
      </c>
      <c r="C419">
        <f t="shared" ca="1" si="28"/>
        <v>0</v>
      </c>
      <c r="D419">
        <f t="shared" ca="1" si="28"/>
        <v>0</v>
      </c>
      <c r="E419">
        <f t="shared" ca="1" si="28"/>
        <v>0</v>
      </c>
      <c r="F419">
        <f t="shared" ca="1" si="28"/>
        <v>0</v>
      </c>
      <c r="G419">
        <f t="shared" ca="1" si="28"/>
        <v>29</v>
      </c>
      <c r="H419">
        <f t="shared" ca="1" si="28"/>
        <v>25</v>
      </c>
      <c r="I419">
        <f t="shared" ca="1" si="28"/>
        <v>29</v>
      </c>
      <c r="J419">
        <f t="shared" ca="1" si="28"/>
        <v>20</v>
      </c>
      <c r="K419">
        <f t="shared" ca="1" si="28"/>
        <v>20</v>
      </c>
      <c r="L419">
        <f t="shared" ca="1" si="29"/>
        <v>20</v>
      </c>
      <c r="M419">
        <f t="shared" ca="1" si="29"/>
        <v>20</v>
      </c>
      <c r="N419">
        <f t="shared" ca="1" si="29"/>
        <v>20</v>
      </c>
      <c r="O419">
        <f t="shared" ca="1" si="29"/>
        <v>0</v>
      </c>
      <c r="P419" s="8">
        <f t="shared" ca="1" si="29"/>
        <v>0</v>
      </c>
      <c r="Q419">
        <f t="shared" ca="1" si="29"/>
        <v>0</v>
      </c>
      <c r="R419">
        <f t="shared" ca="1" si="29"/>
        <v>0</v>
      </c>
      <c r="S419">
        <f t="shared" ca="1" si="29"/>
        <v>0</v>
      </c>
      <c r="T419">
        <f t="shared" ca="1" si="29"/>
        <v>0</v>
      </c>
      <c r="U419">
        <f t="shared" ca="1" si="29"/>
        <v>0</v>
      </c>
      <c r="V419" s="8">
        <f t="shared" ca="1" si="30"/>
        <v>0.02</v>
      </c>
      <c r="W419" s="8">
        <f t="shared" ca="1" si="30"/>
        <v>0</v>
      </c>
      <c r="X419" s="8">
        <f t="shared" ca="1" si="30"/>
        <v>0</v>
      </c>
      <c r="Y419" s="8">
        <f t="shared" ca="1" si="30"/>
        <v>0</v>
      </c>
      <c r="Z419" s="8">
        <f t="shared" ca="1" si="30"/>
        <v>0</v>
      </c>
      <c r="AA419">
        <f t="shared" ca="1" si="30"/>
        <v>0</v>
      </c>
      <c r="AB419">
        <f t="shared" ca="1" si="30"/>
        <v>30</v>
      </c>
      <c r="AC419" s="8">
        <f t="shared" ca="1" si="30"/>
        <v>0</v>
      </c>
      <c r="AD419" s="8">
        <f t="shared" ca="1" si="30"/>
        <v>0</v>
      </c>
      <c r="AE419">
        <f t="shared" ca="1" si="30"/>
        <v>3</v>
      </c>
      <c r="AF419">
        <f t="shared" ca="1" si="31"/>
        <v>0</v>
      </c>
      <c r="AG419">
        <f t="shared" ca="1" si="31"/>
        <v>0</v>
      </c>
      <c r="AH419" s="8">
        <f t="shared" ca="1" si="31"/>
        <v>0</v>
      </c>
      <c r="AI419">
        <f t="shared" ca="1" si="31"/>
        <v>0</v>
      </c>
      <c r="AJ419">
        <f t="shared" ca="1" si="31"/>
        <v>0</v>
      </c>
      <c r="AK419">
        <f t="shared" ca="1" si="31"/>
        <v>0</v>
      </c>
      <c r="AL419">
        <f t="shared" ca="1" si="31"/>
        <v>0</v>
      </c>
      <c r="AM419" s="8">
        <f t="shared" ca="1" si="31"/>
        <v>0</v>
      </c>
      <c r="AN419">
        <f t="shared" ca="1" si="31"/>
        <v>0</v>
      </c>
    </row>
    <row r="420" spans="1:40" x14ac:dyDescent="0.2">
      <c r="A420" t="str">
        <f>Augments!A45</f>
        <v>Valorous Mail (Custom 5)</v>
      </c>
      <c r="B420">
        <f t="shared" ca="1" si="28"/>
        <v>0</v>
      </c>
      <c r="C420">
        <f t="shared" ca="1" si="28"/>
        <v>0</v>
      </c>
      <c r="D420">
        <f t="shared" ca="1" si="28"/>
        <v>0</v>
      </c>
      <c r="E420">
        <f t="shared" ca="1" si="28"/>
        <v>0</v>
      </c>
      <c r="F420">
        <f t="shared" ca="1" si="28"/>
        <v>0</v>
      </c>
      <c r="G420">
        <f t="shared" ca="1" si="28"/>
        <v>29</v>
      </c>
      <c r="H420">
        <f t="shared" ca="1" si="28"/>
        <v>25</v>
      </c>
      <c r="I420">
        <f t="shared" ca="1" si="28"/>
        <v>29</v>
      </c>
      <c r="J420">
        <f t="shared" ca="1" si="28"/>
        <v>20</v>
      </c>
      <c r="K420">
        <f t="shared" ca="1" si="28"/>
        <v>20</v>
      </c>
      <c r="L420">
        <f t="shared" ca="1" si="29"/>
        <v>20</v>
      </c>
      <c r="M420">
        <f t="shared" ca="1" si="29"/>
        <v>20</v>
      </c>
      <c r="N420">
        <f t="shared" ca="1" si="29"/>
        <v>20</v>
      </c>
      <c r="O420">
        <f t="shared" ca="1" si="29"/>
        <v>0</v>
      </c>
      <c r="P420" s="8">
        <f t="shared" ca="1" si="29"/>
        <v>0</v>
      </c>
      <c r="Q420">
        <f t="shared" ca="1" si="29"/>
        <v>0</v>
      </c>
      <c r="R420">
        <f t="shared" ca="1" si="29"/>
        <v>0</v>
      </c>
      <c r="S420">
        <f t="shared" ca="1" si="29"/>
        <v>0</v>
      </c>
      <c r="T420">
        <f t="shared" ca="1" si="29"/>
        <v>0</v>
      </c>
      <c r="U420">
        <f t="shared" ca="1" si="29"/>
        <v>0</v>
      </c>
      <c r="V420" s="8">
        <f t="shared" ca="1" si="30"/>
        <v>0.02</v>
      </c>
      <c r="W420" s="8">
        <f t="shared" ca="1" si="30"/>
        <v>0</v>
      </c>
      <c r="X420" s="8">
        <f t="shared" ca="1" si="30"/>
        <v>0</v>
      </c>
      <c r="Y420" s="8">
        <f t="shared" ca="1" si="30"/>
        <v>0</v>
      </c>
      <c r="Z420" s="8">
        <f t="shared" ca="1" si="30"/>
        <v>0</v>
      </c>
      <c r="AA420">
        <f t="shared" ca="1" si="30"/>
        <v>0</v>
      </c>
      <c r="AB420">
        <f t="shared" ca="1" si="30"/>
        <v>30</v>
      </c>
      <c r="AC420" s="8">
        <f t="shared" ca="1" si="30"/>
        <v>0</v>
      </c>
      <c r="AD420" s="8">
        <f t="shared" ca="1" si="30"/>
        <v>0</v>
      </c>
      <c r="AE420">
        <f t="shared" ca="1" si="30"/>
        <v>3</v>
      </c>
      <c r="AF420">
        <f t="shared" ca="1" si="31"/>
        <v>0</v>
      </c>
      <c r="AG420">
        <f t="shared" ca="1" si="31"/>
        <v>0</v>
      </c>
      <c r="AH420" s="8">
        <f t="shared" ca="1" si="31"/>
        <v>0</v>
      </c>
      <c r="AI420">
        <f t="shared" ca="1" si="31"/>
        <v>0</v>
      </c>
      <c r="AJ420">
        <f t="shared" ca="1" si="31"/>
        <v>0</v>
      </c>
      <c r="AK420">
        <f t="shared" ca="1" si="31"/>
        <v>0</v>
      </c>
      <c r="AL420">
        <f t="shared" ca="1" si="31"/>
        <v>0</v>
      </c>
      <c r="AM420" s="8">
        <f t="shared" ca="1" si="31"/>
        <v>0</v>
      </c>
      <c r="AN420">
        <f t="shared" ca="1" si="31"/>
        <v>0</v>
      </c>
    </row>
    <row r="421" spans="1:40" x14ac:dyDescent="0.2">
      <c r="A421" t="str">
        <f>Augments!A46</f>
        <v>Valorous Mail (Custom 6)</v>
      </c>
      <c r="B421">
        <f t="shared" ca="1" si="28"/>
        <v>0</v>
      </c>
      <c r="C421">
        <f t="shared" ca="1" si="28"/>
        <v>0</v>
      </c>
      <c r="D421">
        <f t="shared" ca="1" si="28"/>
        <v>0</v>
      </c>
      <c r="E421">
        <f t="shared" ca="1" si="28"/>
        <v>0</v>
      </c>
      <c r="F421">
        <f t="shared" ca="1" si="28"/>
        <v>0</v>
      </c>
      <c r="G421">
        <f t="shared" ca="1" si="28"/>
        <v>29</v>
      </c>
      <c r="H421">
        <f t="shared" ca="1" si="28"/>
        <v>25</v>
      </c>
      <c r="I421">
        <f t="shared" ca="1" si="28"/>
        <v>29</v>
      </c>
      <c r="J421">
        <f t="shared" ca="1" si="28"/>
        <v>20</v>
      </c>
      <c r="K421">
        <f t="shared" ca="1" si="28"/>
        <v>20</v>
      </c>
      <c r="L421">
        <f t="shared" ca="1" si="29"/>
        <v>20</v>
      </c>
      <c r="M421">
        <f t="shared" ca="1" si="29"/>
        <v>20</v>
      </c>
      <c r="N421">
        <f t="shared" ca="1" si="29"/>
        <v>20</v>
      </c>
      <c r="O421">
        <f t="shared" ca="1" si="29"/>
        <v>0</v>
      </c>
      <c r="P421" s="8">
        <f t="shared" ca="1" si="29"/>
        <v>0</v>
      </c>
      <c r="Q421">
        <f t="shared" ca="1" si="29"/>
        <v>0</v>
      </c>
      <c r="R421">
        <f t="shared" ca="1" si="29"/>
        <v>0</v>
      </c>
      <c r="S421">
        <f t="shared" ca="1" si="29"/>
        <v>0</v>
      </c>
      <c r="T421">
        <f t="shared" ca="1" si="29"/>
        <v>0</v>
      </c>
      <c r="U421">
        <f t="shared" ca="1" si="29"/>
        <v>0</v>
      </c>
      <c r="V421" s="8">
        <f t="shared" ca="1" si="30"/>
        <v>0.02</v>
      </c>
      <c r="W421" s="8">
        <f t="shared" ca="1" si="30"/>
        <v>0</v>
      </c>
      <c r="X421" s="8">
        <f t="shared" ca="1" si="30"/>
        <v>0</v>
      </c>
      <c r="Y421" s="8">
        <f t="shared" ca="1" si="30"/>
        <v>0</v>
      </c>
      <c r="Z421" s="8">
        <f t="shared" ca="1" si="30"/>
        <v>0</v>
      </c>
      <c r="AA421">
        <f t="shared" ca="1" si="30"/>
        <v>0</v>
      </c>
      <c r="AB421">
        <f t="shared" ca="1" si="30"/>
        <v>30</v>
      </c>
      <c r="AC421" s="8">
        <f t="shared" ca="1" si="30"/>
        <v>0</v>
      </c>
      <c r="AD421" s="8">
        <f t="shared" ca="1" si="30"/>
        <v>0</v>
      </c>
      <c r="AE421">
        <f t="shared" ca="1" si="30"/>
        <v>3</v>
      </c>
      <c r="AF421">
        <f t="shared" ca="1" si="31"/>
        <v>0</v>
      </c>
      <c r="AG421">
        <f t="shared" ca="1" si="31"/>
        <v>0</v>
      </c>
      <c r="AH421" s="8">
        <f t="shared" ca="1" si="31"/>
        <v>0</v>
      </c>
      <c r="AI421">
        <f t="shared" ca="1" si="31"/>
        <v>0</v>
      </c>
      <c r="AJ421">
        <f t="shared" ca="1" si="31"/>
        <v>0</v>
      </c>
      <c r="AK421">
        <f t="shared" ca="1" si="31"/>
        <v>0</v>
      </c>
      <c r="AL421">
        <f t="shared" ca="1" si="31"/>
        <v>0</v>
      </c>
      <c r="AM421" s="8">
        <f t="shared" ca="1" si="31"/>
        <v>0</v>
      </c>
      <c r="AN421">
        <f t="shared" ca="1" si="31"/>
        <v>0</v>
      </c>
    </row>
    <row r="422" spans="1:40" x14ac:dyDescent="0.2">
      <c r="A422" t="s">
        <v>860</v>
      </c>
      <c r="G422">
        <v>26</v>
      </c>
      <c r="H422">
        <v>21</v>
      </c>
      <c r="I422">
        <v>26</v>
      </c>
      <c r="J422">
        <v>21</v>
      </c>
      <c r="K422">
        <v>21</v>
      </c>
      <c r="L422">
        <v>21</v>
      </c>
      <c r="M422">
        <v>21</v>
      </c>
      <c r="O422">
        <v>40</v>
      </c>
      <c r="V422" s="8">
        <v>0.03</v>
      </c>
      <c r="W422" s="8"/>
      <c r="X422" s="8"/>
      <c r="Y422" s="8"/>
      <c r="Z422" s="8"/>
      <c r="AB422" s="4">
        <v>30</v>
      </c>
      <c r="AC422" s="8">
        <v>0.03</v>
      </c>
      <c r="AD422" s="8"/>
      <c r="AF422" s="8"/>
      <c r="AG422" s="8"/>
      <c r="AH422" s="8"/>
      <c r="AL422" s="8"/>
      <c r="AM422" s="8"/>
    </row>
    <row r="423" spans="1:40" x14ac:dyDescent="0.2">
      <c r="A423" t="s">
        <v>861</v>
      </c>
      <c r="G423">
        <v>22</v>
      </c>
      <c r="H423">
        <v>13</v>
      </c>
      <c r="I423">
        <v>22</v>
      </c>
      <c r="J423">
        <v>13</v>
      </c>
      <c r="K423">
        <v>13</v>
      </c>
      <c r="L423">
        <v>13</v>
      </c>
      <c r="M423">
        <v>13</v>
      </c>
      <c r="N423">
        <v>15</v>
      </c>
      <c r="O423">
        <v>15</v>
      </c>
      <c r="V423" s="8"/>
      <c r="W423" s="8"/>
      <c r="X423" s="8"/>
      <c r="Y423" s="8"/>
      <c r="Z423" s="8"/>
      <c r="AB423" s="4">
        <v>30</v>
      </c>
      <c r="AC423" s="8"/>
      <c r="AD423" s="8"/>
      <c r="AF423" s="8"/>
      <c r="AG423" s="8"/>
      <c r="AH423" s="8"/>
      <c r="AL423" s="8"/>
      <c r="AM423" s="8"/>
      <c r="AN423" s="4">
        <v>30</v>
      </c>
    </row>
    <row r="424" spans="1:40" x14ac:dyDescent="0.2">
      <c r="A424" t="s">
        <v>862</v>
      </c>
      <c r="G424">
        <v>31</v>
      </c>
      <c r="H424">
        <v>21</v>
      </c>
      <c r="I424">
        <v>31</v>
      </c>
      <c r="J424">
        <v>21</v>
      </c>
      <c r="K424">
        <v>21</v>
      </c>
      <c r="L424">
        <v>21</v>
      </c>
      <c r="M424">
        <v>21</v>
      </c>
      <c r="N424">
        <v>15</v>
      </c>
      <c r="O424">
        <v>15</v>
      </c>
      <c r="V424" s="8"/>
      <c r="W424" s="8"/>
      <c r="X424" s="8"/>
      <c r="Y424" s="8"/>
      <c r="Z424" s="8"/>
      <c r="AB424" s="4">
        <v>30</v>
      </c>
      <c r="AC424" s="8"/>
      <c r="AD424" s="8"/>
      <c r="AF424" s="8"/>
      <c r="AG424" s="8"/>
      <c r="AH424" s="8"/>
      <c r="AL424" s="8"/>
      <c r="AM424" s="8"/>
      <c r="AN424" s="4">
        <v>35</v>
      </c>
    </row>
    <row r="425" spans="1:40" x14ac:dyDescent="0.2">
      <c r="A425" t="s">
        <v>1705</v>
      </c>
      <c r="G425">
        <v>36</v>
      </c>
      <c r="H425">
        <v>26</v>
      </c>
      <c r="I425">
        <v>36</v>
      </c>
      <c r="J425">
        <v>26</v>
      </c>
      <c r="K425">
        <v>26</v>
      </c>
      <c r="L425">
        <v>26</v>
      </c>
      <c r="M425">
        <v>26</v>
      </c>
      <c r="N425">
        <v>47</v>
      </c>
      <c r="O425">
        <v>25</v>
      </c>
      <c r="V425" s="8"/>
      <c r="W425" s="8"/>
      <c r="X425" s="8"/>
      <c r="Y425" s="8"/>
      <c r="Z425" s="8"/>
      <c r="AB425" s="4">
        <v>30</v>
      </c>
      <c r="AC425" s="8"/>
      <c r="AD425" s="8"/>
      <c r="AE425" s="4">
        <v>4</v>
      </c>
      <c r="AF425" s="8"/>
      <c r="AG425" s="8"/>
      <c r="AH425" s="8"/>
      <c r="AL425" s="8"/>
      <c r="AM425" s="8"/>
      <c r="AN425" s="4">
        <v>37</v>
      </c>
    </row>
    <row r="426" spans="1:40" x14ac:dyDescent="0.2">
      <c r="A426" t="s">
        <v>1706</v>
      </c>
      <c r="G426">
        <v>41</v>
      </c>
      <c r="H426">
        <v>31</v>
      </c>
      <c r="I426">
        <v>41</v>
      </c>
      <c r="J426">
        <v>31</v>
      </c>
      <c r="K426">
        <v>31</v>
      </c>
      <c r="L426">
        <v>31</v>
      </c>
      <c r="M426">
        <v>31</v>
      </c>
      <c r="N426">
        <v>57</v>
      </c>
      <c r="O426">
        <v>35</v>
      </c>
      <c r="V426" s="8"/>
      <c r="W426" s="8"/>
      <c r="X426" s="8"/>
      <c r="Y426" s="8"/>
      <c r="Z426" s="8"/>
      <c r="AB426" s="4">
        <v>30</v>
      </c>
      <c r="AC426" s="8"/>
      <c r="AD426" s="8"/>
      <c r="AE426" s="4">
        <v>8</v>
      </c>
      <c r="AF426" s="8"/>
      <c r="AG426" s="8"/>
      <c r="AH426" s="8"/>
      <c r="AL426" s="8"/>
      <c r="AM426" s="8"/>
      <c r="AN426" s="4">
        <v>39</v>
      </c>
    </row>
    <row r="427" spans="1:40" x14ac:dyDescent="0.2">
      <c r="A427" s="3" t="s">
        <v>864</v>
      </c>
      <c r="G427">
        <v>24</v>
      </c>
      <c r="H427">
        <v>14</v>
      </c>
      <c r="I427">
        <v>24</v>
      </c>
      <c r="J427">
        <v>16</v>
      </c>
      <c r="K427">
        <v>16</v>
      </c>
      <c r="L427">
        <v>16</v>
      </c>
      <c r="M427">
        <v>16</v>
      </c>
      <c r="N427">
        <v>20</v>
      </c>
      <c r="O427">
        <v>15</v>
      </c>
      <c r="V427" s="8">
        <v>0.03</v>
      </c>
      <c r="W427" s="8"/>
      <c r="X427" s="8"/>
      <c r="Y427" s="8"/>
      <c r="Z427" s="8"/>
      <c r="AA427" s="8"/>
      <c r="AB427" s="4">
        <v>30</v>
      </c>
      <c r="AC427" s="8"/>
      <c r="AD427" s="8"/>
      <c r="AE427">
        <v>3</v>
      </c>
      <c r="AF427" s="8"/>
      <c r="AG427" s="8"/>
      <c r="AH427" s="8"/>
      <c r="AL427" s="4"/>
      <c r="AM427" s="8"/>
    </row>
    <row r="428" spans="1:40" x14ac:dyDescent="0.2">
      <c r="A428" s="3" t="s">
        <v>865</v>
      </c>
      <c r="G428">
        <v>24</v>
      </c>
      <c r="H428">
        <v>14</v>
      </c>
      <c r="I428">
        <v>24</v>
      </c>
      <c r="J428">
        <v>16</v>
      </c>
      <c r="K428">
        <v>16</v>
      </c>
      <c r="L428">
        <v>16</v>
      </c>
      <c r="M428">
        <v>16</v>
      </c>
      <c r="N428">
        <v>25</v>
      </c>
      <c r="V428" s="8">
        <v>0.03</v>
      </c>
      <c r="W428" s="8"/>
      <c r="X428" s="8"/>
      <c r="Y428" s="8"/>
      <c r="Z428" s="8"/>
      <c r="AA428" s="8"/>
      <c r="AB428" s="4">
        <v>30</v>
      </c>
      <c r="AC428" s="8"/>
      <c r="AD428" s="8"/>
      <c r="AE428"/>
      <c r="AF428" s="8"/>
      <c r="AG428" s="8"/>
      <c r="AH428" s="8"/>
      <c r="AL428" s="4"/>
      <c r="AM428" s="8"/>
    </row>
    <row r="429" spans="1:40" x14ac:dyDescent="0.2">
      <c r="A429" s="3" t="s">
        <v>866</v>
      </c>
      <c r="G429">
        <v>24</v>
      </c>
      <c r="H429">
        <v>14</v>
      </c>
      <c r="I429">
        <v>36</v>
      </c>
      <c r="J429">
        <v>16</v>
      </c>
      <c r="K429">
        <v>16</v>
      </c>
      <c r="L429">
        <v>16</v>
      </c>
      <c r="M429">
        <v>16</v>
      </c>
      <c r="N429">
        <v>10</v>
      </c>
      <c r="V429" s="8">
        <v>0.03</v>
      </c>
      <c r="W429" s="8"/>
      <c r="X429" s="8"/>
      <c r="Y429" s="8"/>
      <c r="Z429" s="8"/>
      <c r="AA429" s="8"/>
      <c r="AB429" s="4">
        <v>30</v>
      </c>
      <c r="AC429" s="8"/>
      <c r="AD429" s="8"/>
      <c r="AE429"/>
      <c r="AF429" s="8"/>
      <c r="AG429" s="8"/>
      <c r="AH429" s="8"/>
      <c r="AL429" s="4"/>
      <c r="AM429" s="8"/>
    </row>
    <row r="432" spans="1:40" s="1" customFormat="1" x14ac:dyDescent="0.2">
      <c r="A432" s="1" t="s">
        <v>92</v>
      </c>
      <c r="B432" s="1" t="s">
        <v>72</v>
      </c>
      <c r="C432" s="1" t="s">
        <v>482</v>
      </c>
      <c r="D432" s="1" t="s">
        <v>483</v>
      </c>
      <c r="E432" s="1" t="s">
        <v>484</v>
      </c>
      <c r="F432" s="1" t="s">
        <v>492</v>
      </c>
      <c r="G432" s="1" t="s">
        <v>26</v>
      </c>
      <c r="H432" s="1" t="s">
        <v>27</v>
      </c>
      <c r="I432" s="1" t="s">
        <v>23</v>
      </c>
      <c r="J432" s="1" t="s">
        <v>25</v>
      </c>
      <c r="K432" s="1" t="s">
        <v>298</v>
      </c>
      <c r="L432" s="1" t="s">
        <v>299</v>
      </c>
      <c r="M432" s="1" t="s">
        <v>300</v>
      </c>
      <c r="N432" s="1" t="s">
        <v>74</v>
      </c>
      <c r="O432" s="1" t="s">
        <v>73</v>
      </c>
      <c r="P432" s="1" t="s">
        <v>375</v>
      </c>
      <c r="Q432" s="1" t="s">
        <v>553</v>
      </c>
      <c r="R432" s="1" t="s">
        <v>554</v>
      </c>
      <c r="S432" s="1" t="s">
        <v>555</v>
      </c>
      <c r="T432" s="213" t="s">
        <v>556</v>
      </c>
      <c r="U432" s="213" t="s">
        <v>557</v>
      </c>
      <c r="V432" s="1" t="s">
        <v>75</v>
      </c>
      <c r="W432" s="1" t="s">
        <v>76</v>
      </c>
      <c r="X432" s="1" t="s">
        <v>77</v>
      </c>
      <c r="Y432" s="1" t="s">
        <v>480</v>
      </c>
      <c r="Z432" s="1" t="s">
        <v>80</v>
      </c>
      <c r="AA432" s="1" t="s">
        <v>481</v>
      </c>
      <c r="AB432" s="1" t="s">
        <v>28</v>
      </c>
      <c r="AC432" s="1" t="s">
        <v>78</v>
      </c>
      <c r="AD432" s="1" t="s">
        <v>79</v>
      </c>
      <c r="AE432" s="213" t="s">
        <v>82</v>
      </c>
      <c r="AF432" s="1" t="s">
        <v>81</v>
      </c>
      <c r="AG432" s="1" t="s">
        <v>102</v>
      </c>
      <c r="AH432" s="1" t="s">
        <v>103</v>
      </c>
      <c r="AI432" s="213" t="s">
        <v>452</v>
      </c>
      <c r="AJ432" s="213" t="s">
        <v>453</v>
      </c>
      <c r="AK432" s="213" t="s">
        <v>440</v>
      </c>
      <c r="AL432" s="1" t="s">
        <v>349</v>
      </c>
      <c r="AM432" s="1" t="s">
        <v>524</v>
      </c>
      <c r="AN432" s="213" t="s">
        <v>109</v>
      </c>
    </row>
    <row r="433" spans="1:40" x14ac:dyDescent="0.2">
      <c r="A433" t="s">
        <v>245</v>
      </c>
      <c r="V433" s="8"/>
      <c r="W433" s="8"/>
      <c r="X433" s="8"/>
      <c r="Y433" s="8"/>
      <c r="Z433" s="8"/>
      <c r="AB433" s="4"/>
      <c r="AC433" s="8"/>
      <c r="AD433" s="8"/>
      <c r="AF433" s="8"/>
      <c r="AG433" s="8"/>
      <c r="AH433" s="8"/>
      <c r="AL433" s="8"/>
      <c r="AM433" s="8"/>
    </row>
    <row r="434" spans="1:40" x14ac:dyDescent="0.2">
      <c r="A434" t="s">
        <v>807</v>
      </c>
      <c r="G434">
        <v>4</v>
      </c>
      <c r="H434">
        <v>31</v>
      </c>
      <c r="I434">
        <v>28</v>
      </c>
      <c r="J434">
        <v>5</v>
      </c>
      <c r="K434">
        <v>8</v>
      </c>
      <c r="L434">
        <v>24</v>
      </c>
      <c r="M434">
        <v>18</v>
      </c>
      <c r="O434">
        <v>7</v>
      </c>
      <c r="V434" s="8"/>
      <c r="W434" s="8"/>
      <c r="X434" s="8"/>
      <c r="Y434" s="8"/>
      <c r="Z434" s="8"/>
      <c r="AB434" s="4">
        <v>40</v>
      </c>
      <c r="AC434" s="8"/>
      <c r="AD434" s="8"/>
      <c r="AE434" s="4">
        <v>4</v>
      </c>
      <c r="AF434" s="8"/>
      <c r="AG434" s="8"/>
      <c r="AH434" s="8"/>
      <c r="AL434" s="8"/>
      <c r="AM434" s="8"/>
    </row>
    <row r="435" spans="1:40" x14ac:dyDescent="0.2">
      <c r="A435" t="str">
        <f>Augments!A50</f>
        <v>Acro Gauntlets (DA)</v>
      </c>
      <c r="B435">
        <f t="shared" ref="B435:K438" ca="1" si="32">IF(ISBLANK($A435),0,VLOOKUP($A435,INDIRECT(CONCATENATE("Aug",$A$432)),MATCH(B$1,AugStatHeader,0),0)
+VLOOKUP(LEFT($A435,FIND(" (",$A435,1)-1),INDIRECT("BaseAugArmor"),MATCH(B$1,StatHeader,0),0))</f>
        <v>0</v>
      </c>
      <c r="C435">
        <f t="shared" ca="1" si="32"/>
        <v>0</v>
      </c>
      <c r="D435">
        <f t="shared" ca="1" si="32"/>
        <v>0</v>
      </c>
      <c r="E435">
        <f t="shared" ca="1" si="32"/>
        <v>0</v>
      </c>
      <c r="F435">
        <f t="shared" ca="1" si="32"/>
        <v>0</v>
      </c>
      <c r="G435">
        <f t="shared" ca="1" si="32"/>
        <v>11</v>
      </c>
      <c r="H435">
        <f t="shared" ca="1" si="32"/>
        <v>38</v>
      </c>
      <c r="I435">
        <f t="shared" ca="1" si="32"/>
        <v>28</v>
      </c>
      <c r="J435">
        <f t="shared" ca="1" si="32"/>
        <v>5</v>
      </c>
      <c r="K435">
        <f t="shared" ca="1" si="32"/>
        <v>8</v>
      </c>
      <c r="L435">
        <f t="shared" ref="L435:U438" ca="1" si="33">IF(ISBLANK($A435),0,VLOOKUP($A435,INDIRECT(CONCATENATE("Aug",$A$432)),MATCH(L$1,AugStatHeader,0),0)
+VLOOKUP(LEFT($A435,FIND(" (",$A435,1)-1),INDIRECT("BaseAugArmor"),MATCH(L$1,StatHeader,0),0))</f>
        <v>24</v>
      </c>
      <c r="M435">
        <f t="shared" ca="1" si="33"/>
        <v>18</v>
      </c>
      <c r="N435">
        <f t="shared" ca="1" si="33"/>
        <v>20</v>
      </c>
      <c r="O435">
        <f t="shared" ca="1" si="33"/>
        <v>27</v>
      </c>
      <c r="P435" s="8">
        <f t="shared" ca="1" si="33"/>
        <v>0</v>
      </c>
      <c r="Q435">
        <f t="shared" ca="1" si="33"/>
        <v>0</v>
      </c>
      <c r="R435">
        <f t="shared" ca="1" si="33"/>
        <v>0</v>
      </c>
      <c r="S435">
        <f t="shared" ca="1" si="33"/>
        <v>0</v>
      </c>
      <c r="T435">
        <f t="shared" ca="1" si="33"/>
        <v>0</v>
      </c>
      <c r="U435">
        <f t="shared" ca="1" si="33"/>
        <v>0</v>
      </c>
      <c r="V435" s="8">
        <f t="shared" ref="V435:AE438" ca="1" si="34">IF(ISBLANK($A435),0,VLOOKUP($A435,INDIRECT(CONCATENATE("Aug",$A$432)),MATCH(V$1,AugStatHeader,0),0)
+VLOOKUP(LEFT($A435,FIND(" (",$A435,1)-1),INDIRECT("BaseAugArmor"),MATCH(V$1,StatHeader,0),0))</f>
        <v>0.03</v>
      </c>
      <c r="W435" s="8">
        <f t="shared" ca="1" si="34"/>
        <v>0</v>
      </c>
      <c r="X435" s="8">
        <f t="shared" ca="1" si="34"/>
        <v>0</v>
      </c>
      <c r="Y435" s="8">
        <f t="shared" ca="1" si="34"/>
        <v>0</v>
      </c>
      <c r="Z435" s="8">
        <f t="shared" ca="1" si="34"/>
        <v>0</v>
      </c>
      <c r="AA435">
        <f t="shared" ca="1" si="34"/>
        <v>0</v>
      </c>
      <c r="AB435">
        <f t="shared" ca="1" si="34"/>
        <v>40</v>
      </c>
      <c r="AC435" s="8">
        <f t="shared" ca="1" si="34"/>
        <v>0</v>
      </c>
      <c r="AD435" s="8">
        <f t="shared" ca="1" si="34"/>
        <v>0</v>
      </c>
      <c r="AE435">
        <f t="shared" ca="1" si="34"/>
        <v>4</v>
      </c>
      <c r="AF435">
        <f t="shared" ref="AF435:AN438" ca="1" si="35">IF(ISBLANK($A435),0,VLOOKUP($A435,INDIRECT(CONCATENATE("Aug",$A$432)),MATCH(AF$1,AugStatHeader,0),0)
+VLOOKUP(LEFT($A435,FIND(" (",$A435,1)-1),INDIRECT("BaseAugArmor"),MATCH(AF$1,StatHeader,0),0))</f>
        <v>0</v>
      </c>
      <c r="AG435">
        <f t="shared" ca="1" si="35"/>
        <v>0</v>
      </c>
      <c r="AH435" s="8">
        <f t="shared" ca="1" si="35"/>
        <v>0</v>
      </c>
      <c r="AI435">
        <f t="shared" ca="1" si="35"/>
        <v>0</v>
      </c>
      <c r="AJ435">
        <f t="shared" ca="1" si="35"/>
        <v>0</v>
      </c>
      <c r="AK435">
        <f t="shared" ca="1" si="35"/>
        <v>0</v>
      </c>
      <c r="AL435">
        <f t="shared" ca="1" si="35"/>
        <v>0</v>
      </c>
      <c r="AM435" s="8">
        <f t="shared" ca="1" si="35"/>
        <v>0</v>
      </c>
      <c r="AN435">
        <f t="shared" ca="1" si="35"/>
        <v>0</v>
      </c>
    </row>
    <row r="436" spans="1:40" x14ac:dyDescent="0.2">
      <c r="A436" t="str">
        <f>Augments!A51</f>
        <v>Acro Gauntlets (STP)</v>
      </c>
      <c r="B436">
        <f t="shared" ca="1" si="32"/>
        <v>0</v>
      </c>
      <c r="C436">
        <f t="shared" ca="1" si="32"/>
        <v>0</v>
      </c>
      <c r="D436">
        <f t="shared" ca="1" si="32"/>
        <v>0</v>
      </c>
      <c r="E436">
        <f t="shared" ca="1" si="32"/>
        <v>0</v>
      </c>
      <c r="F436">
        <f t="shared" ca="1" si="32"/>
        <v>0</v>
      </c>
      <c r="G436">
        <f t="shared" ca="1" si="32"/>
        <v>11</v>
      </c>
      <c r="H436">
        <f t="shared" ca="1" si="32"/>
        <v>38</v>
      </c>
      <c r="I436">
        <f t="shared" ca="1" si="32"/>
        <v>28</v>
      </c>
      <c r="J436">
        <f t="shared" ca="1" si="32"/>
        <v>5</v>
      </c>
      <c r="K436">
        <f t="shared" ca="1" si="32"/>
        <v>8</v>
      </c>
      <c r="L436">
        <f t="shared" ca="1" si="33"/>
        <v>24</v>
      </c>
      <c r="M436">
        <f t="shared" ca="1" si="33"/>
        <v>18</v>
      </c>
      <c r="N436">
        <f t="shared" ca="1" si="33"/>
        <v>20</v>
      </c>
      <c r="O436">
        <f t="shared" ca="1" si="33"/>
        <v>27</v>
      </c>
      <c r="P436" s="8">
        <f t="shared" ca="1" si="33"/>
        <v>0</v>
      </c>
      <c r="Q436">
        <f t="shared" ca="1" si="33"/>
        <v>0</v>
      </c>
      <c r="R436">
        <f t="shared" ca="1" si="33"/>
        <v>0</v>
      </c>
      <c r="S436">
        <f t="shared" ca="1" si="33"/>
        <v>0</v>
      </c>
      <c r="T436">
        <f t="shared" ca="1" si="33"/>
        <v>0</v>
      </c>
      <c r="U436">
        <f t="shared" ca="1" si="33"/>
        <v>0</v>
      </c>
      <c r="V436" s="8">
        <f t="shared" ca="1" si="34"/>
        <v>0</v>
      </c>
      <c r="W436" s="8">
        <f t="shared" ca="1" si="34"/>
        <v>0</v>
      </c>
      <c r="X436" s="8">
        <f t="shared" ca="1" si="34"/>
        <v>0</v>
      </c>
      <c r="Y436" s="8">
        <f t="shared" ca="1" si="34"/>
        <v>0</v>
      </c>
      <c r="Z436" s="8">
        <f t="shared" ca="1" si="34"/>
        <v>0</v>
      </c>
      <c r="AA436">
        <f t="shared" ca="1" si="34"/>
        <v>0</v>
      </c>
      <c r="AB436">
        <f t="shared" ca="1" si="34"/>
        <v>40</v>
      </c>
      <c r="AC436" s="8">
        <f t="shared" ca="1" si="34"/>
        <v>0</v>
      </c>
      <c r="AD436" s="8">
        <f t="shared" ca="1" si="34"/>
        <v>0</v>
      </c>
      <c r="AE436">
        <f t="shared" ca="1" si="34"/>
        <v>10</v>
      </c>
      <c r="AF436">
        <f t="shared" ca="1" si="35"/>
        <v>0</v>
      </c>
      <c r="AG436">
        <f t="shared" ca="1" si="35"/>
        <v>0</v>
      </c>
      <c r="AH436" s="8">
        <f t="shared" ca="1" si="35"/>
        <v>0</v>
      </c>
      <c r="AI436">
        <f t="shared" ca="1" si="35"/>
        <v>0</v>
      </c>
      <c r="AJ436">
        <f t="shared" ca="1" si="35"/>
        <v>0</v>
      </c>
      <c r="AK436">
        <f t="shared" ca="1" si="35"/>
        <v>0</v>
      </c>
      <c r="AL436">
        <f t="shared" ca="1" si="35"/>
        <v>0</v>
      </c>
      <c r="AM436" s="8">
        <f t="shared" ca="1" si="35"/>
        <v>0</v>
      </c>
      <c r="AN436">
        <f t="shared" ca="1" si="35"/>
        <v>0</v>
      </c>
    </row>
    <row r="437" spans="1:40" x14ac:dyDescent="0.2">
      <c r="A437" t="str">
        <f>Augments!A52</f>
        <v>Acro Gauntlets (Custom 1)</v>
      </c>
      <c r="B437">
        <f t="shared" ca="1" si="32"/>
        <v>0</v>
      </c>
      <c r="C437">
        <f t="shared" ca="1" si="32"/>
        <v>0</v>
      </c>
      <c r="D437">
        <f t="shared" ca="1" si="32"/>
        <v>0</v>
      </c>
      <c r="E437">
        <f t="shared" ca="1" si="32"/>
        <v>0</v>
      </c>
      <c r="F437">
        <f t="shared" ca="1" si="32"/>
        <v>0</v>
      </c>
      <c r="G437">
        <f t="shared" ca="1" si="32"/>
        <v>4</v>
      </c>
      <c r="H437">
        <f t="shared" ca="1" si="32"/>
        <v>31</v>
      </c>
      <c r="I437">
        <f t="shared" ca="1" si="32"/>
        <v>28</v>
      </c>
      <c r="J437">
        <f t="shared" ca="1" si="32"/>
        <v>5</v>
      </c>
      <c r="K437">
        <f t="shared" ca="1" si="32"/>
        <v>8</v>
      </c>
      <c r="L437">
        <f t="shared" ca="1" si="33"/>
        <v>24</v>
      </c>
      <c r="M437">
        <f t="shared" ca="1" si="33"/>
        <v>18</v>
      </c>
      <c r="N437">
        <f t="shared" ca="1" si="33"/>
        <v>0</v>
      </c>
      <c r="O437">
        <f t="shared" ca="1" si="33"/>
        <v>7</v>
      </c>
      <c r="P437" s="8">
        <f t="shared" ca="1" si="33"/>
        <v>0</v>
      </c>
      <c r="Q437">
        <f t="shared" ca="1" si="33"/>
        <v>0</v>
      </c>
      <c r="R437">
        <f t="shared" ca="1" si="33"/>
        <v>0</v>
      </c>
      <c r="S437">
        <f t="shared" ca="1" si="33"/>
        <v>0</v>
      </c>
      <c r="T437">
        <f t="shared" ca="1" si="33"/>
        <v>0</v>
      </c>
      <c r="U437">
        <f t="shared" ca="1" si="33"/>
        <v>0</v>
      </c>
      <c r="V437" s="8">
        <f t="shared" ca="1" si="34"/>
        <v>0</v>
      </c>
      <c r="W437" s="8">
        <f t="shared" ca="1" si="34"/>
        <v>0</v>
      </c>
      <c r="X437" s="8">
        <f t="shared" ca="1" si="34"/>
        <v>0</v>
      </c>
      <c r="Y437" s="8">
        <f t="shared" ca="1" si="34"/>
        <v>0</v>
      </c>
      <c r="Z437" s="8">
        <f t="shared" ca="1" si="34"/>
        <v>0</v>
      </c>
      <c r="AA437">
        <f t="shared" ca="1" si="34"/>
        <v>0</v>
      </c>
      <c r="AB437">
        <f t="shared" ca="1" si="34"/>
        <v>40</v>
      </c>
      <c r="AC437" s="8">
        <f t="shared" ca="1" si="34"/>
        <v>0</v>
      </c>
      <c r="AD437" s="8">
        <f t="shared" ca="1" si="34"/>
        <v>0</v>
      </c>
      <c r="AE437">
        <f t="shared" ca="1" si="34"/>
        <v>4</v>
      </c>
      <c r="AF437">
        <f t="shared" ca="1" si="35"/>
        <v>0</v>
      </c>
      <c r="AG437">
        <f t="shared" ca="1" si="35"/>
        <v>0</v>
      </c>
      <c r="AH437" s="8">
        <f t="shared" ca="1" si="35"/>
        <v>0</v>
      </c>
      <c r="AI437">
        <f t="shared" ca="1" si="35"/>
        <v>0</v>
      </c>
      <c r="AJ437">
        <f t="shared" ca="1" si="35"/>
        <v>0</v>
      </c>
      <c r="AK437">
        <f t="shared" ca="1" si="35"/>
        <v>0</v>
      </c>
      <c r="AL437">
        <f t="shared" ca="1" si="35"/>
        <v>0</v>
      </c>
      <c r="AM437" s="8">
        <f t="shared" ca="1" si="35"/>
        <v>0</v>
      </c>
      <c r="AN437">
        <f t="shared" ca="1" si="35"/>
        <v>0</v>
      </c>
    </row>
    <row r="438" spans="1:40" x14ac:dyDescent="0.2">
      <c r="A438" t="str">
        <f>Augments!A53</f>
        <v>Acro Gauntlets (Custom 2)</v>
      </c>
      <c r="B438">
        <f t="shared" ca="1" si="32"/>
        <v>0</v>
      </c>
      <c r="C438">
        <f t="shared" ca="1" si="32"/>
        <v>0</v>
      </c>
      <c r="D438">
        <f t="shared" ca="1" si="32"/>
        <v>0</v>
      </c>
      <c r="E438">
        <f t="shared" ca="1" si="32"/>
        <v>0</v>
      </c>
      <c r="F438">
        <f t="shared" ca="1" si="32"/>
        <v>0</v>
      </c>
      <c r="G438">
        <f t="shared" ca="1" si="32"/>
        <v>4</v>
      </c>
      <c r="H438">
        <f t="shared" ca="1" si="32"/>
        <v>31</v>
      </c>
      <c r="I438">
        <f t="shared" ca="1" si="32"/>
        <v>28</v>
      </c>
      <c r="J438">
        <f t="shared" ca="1" si="32"/>
        <v>5</v>
      </c>
      <c r="K438">
        <f t="shared" ca="1" si="32"/>
        <v>8</v>
      </c>
      <c r="L438">
        <f t="shared" ca="1" si="33"/>
        <v>24</v>
      </c>
      <c r="M438">
        <f t="shared" ca="1" si="33"/>
        <v>18</v>
      </c>
      <c r="N438">
        <f t="shared" ca="1" si="33"/>
        <v>0</v>
      </c>
      <c r="O438">
        <f t="shared" ca="1" si="33"/>
        <v>7</v>
      </c>
      <c r="P438" s="8">
        <f t="shared" ca="1" si="33"/>
        <v>0</v>
      </c>
      <c r="Q438">
        <f t="shared" ca="1" si="33"/>
        <v>0</v>
      </c>
      <c r="R438">
        <f t="shared" ca="1" si="33"/>
        <v>0</v>
      </c>
      <c r="S438">
        <f t="shared" ca="1" si="33"/>
        <v>0</v>
      </c>
      <c r="T438">
        <f t="shared" ca="1" si="33"/>
        <v>0</v>
      </c>
      <c r="U438">
        <f t="shared" ca="1" si="33"/>
        <v>0</v>
      </c>
      <c r="V438" s="8">
        <f t="shared" ca="1" si="34"/>
        <v>0</v>
      </c>
      <c r="W438" s="8">
        <f t="shared" ca="1" si="34"/>
        <v>0</v>
      </c>
      <c r="X438" s="8">
        <f t="shared" ca="1" si="34"/>
        <v>0</v>
      </c>
      <c r="Y438" s="8">
        <f t="shared" ca="1" si="34"/>
        <v>0</v>
      </c>
      <c r="Z438" s="8">
        <f t="shared" ca="1" si="34"/>
        <v>0</v>
      </c>
      <c r="AA438">
        <f t="shared" ca="1" si="34"/>
        <v>0</v>
      </c>
      <c r="AB438">
        <f t="shared" ca="1" si="34"/>
        <v>40</v>
      </c>
      <c r="AC438" s="8">
        <f t="shared" ca="1" si="34"/>
        <v>0</v>
      </c>
      <c r="AD438" s="8">
        <f t="shared" ca="1" si="34"/>
        <v>0</v>
      </c>
      <c r="AE438">
        <f t="shared" ca="1" si="34"/>
        <v>4</v>
      </c>
      <c r="AF438">
        <f t="shared" ca="1" si="35"/>
        <v>0</v>
      </c>
      <c r="AG438">
        <f t="shared" ca="1" si="35"/>
        <v>0</v>
      </c>
      <c r="AH438" s="8">
        <f t="shared" ca="1" si="35"/>
        <v>0</v>
      </c>
      <c r="AI438">
        <f t="shared" ca="1" si="35"/>
        <v>0</v>
      </c>
      <c r="AJ438">
        <f t="shared" ca="1" si="35"/>
        <v>0</v>
      </c>
      <c r="AK438">
        <f t="shared" ca="1" si="35"/>
        <v>0</v>
      </c>
      <c r="AL438">
        <f t="shared" ca="1" si="35"/>
        <v>0</v>
      </c>
      <c r="AM438" s="8">
        <f t="shared" ca="1" si="35"/>
        <v>0</v>
      </c>
      <c r="AN438">
        <f t="shared" ca="1" si="35"/>
        <v>0</v>
      </c>
    </row>
    <row r="439" spans="1:40" x14ac:dyDescent="0.2">
      <c r="A439" s="144" t="s">
        <v>778</v>
      </c>
      <c r="G439">
        <v>7</v>
      </c>
      <c r="H439">
        <v>35</v>
      </c>
      <c r="I439">
        <v>24</v>
      </c>
      <c r="J439">
        <v>2</v>
      </c>
      <c r="K439">
        <v>8</v>
      </c>
      <c r="L439">
        <v>22</v>
      </c>
      <c r="M439">
        <v>12</v>
      </c>
      <c r="N439">
        <v>10</v>
      </c>
      <c r="V439" s="8"/>
      <c r="W439" s="8"/>
      <c r="X439" s="8"/>
      <c r="Y439" s="8"/>
      <c r="Z439" s="8"/>
      <c r="AA439" s="8"/>
      <c r="AB439" s="4">
        <v>40</v>
      </c>
      <c r="AC439" s="8"/>
      <c r="AD439" s="8"/>
      <c r="AE439" s="4">
        <v>3</v>
      </c>
      <c r="AF439" s="8"/>
      <c r="AG439" s="8"/>
      <c r="AH439" s="8"/>
      <c r="AL439" s="4"/>
      <c r="AM439" s="8"/>
    </row>
    <row r="440" spans="1:40" x14ac:dyDescent="0.2">
      <c r="A440" t="s">
        <v>794</v>
      </c>
      <c r="G440">
        <v>8</v>
      </c>
      <c r="H440">
        <v>38</v>
      </c>
      <c r="I440">
        <v>26</v>
      </c>
      <c r="J440">
        <v>3</v>
      </c>
      <c r="K440">
        <v>10</v>
      </c>
      <c r="L440">
        <v>25</v>
      </c>
      <c r="M440">
        <v>14</v>
      </c>
      <c r="N440">
        <v>11</v>
      </c>
      <c r="V440" s="8"/>
      <c r="W440" s="8"/>
      <c r="X440" s="8"/>
      <c r="Y440" s="8"/>
      <c r="Z440" s="8"/>
      <c r="AB440" s="4">
        <v>40</v>
      </c>
      <c r="AC440" s="8"/>
      <c r="AD440" s="8"/>
      <c r="AE440" s="4">
        <v>4</v>
      </c>
      <c r="AF440" s="8"/>
      <c r="AG440" s="8"/>
      <c r="AH440" s="8"/>
      <c r="AL440" s="8"/>
      <c r="AM440" s="8"/>
    </row>
    <row r="441" spans="1:40" x14ac:dyDescent="0.2">
      <c r="A441" t="s">
        <v>1878</v>
      </c>
      <c r="G441">
        <v>15</v>
      </c>
      <c r="H441">
        <v>38</v>
      </c>
      <c r="I441">
        <v>42</v>
      </c>
      <c r="K441">
        <v>12</v>
      </c>
      <c r="L441">
        <v>33</v>
      </c>
      <c r="M441">
        <v>24</v>
      </c>
      <c r="N441">
        <v>39</v>
      </c>
      <c r="V441" s="8"/>
      <c r="W441" s="8"/>
      <c r="X441" s="8"/>
      <c r="Y441" s="8"/>
      <c r="Z441" s="8"/>
      <c r="AB441" s="4">
        <v>40</v>
      </c>
      <c r="AC441" s="8"/>
      <c r="AD441" s="8"/>
      <c r="AF441" s="8"/>
      <c r="AG441" s="8"/>
      <c r="AH441" s="8"/>
      <c r="AL441" s="8"/>
      <c r="AM441" s="8"/>
    </row>
    <row r="442" spans="1:40" x14ac:dyDescent="0.2">
      <c r="A442" t="s">
        <v>1879</v>
      </c>
      <c r="G442">
        <v>20</v>
      </c>
      <c r="H442">
        <v>38</v>
      </c>
      <c r="I442">
        <v>47</v>
      </c>
      <c r="K442">
        <v>12</v>
      </c>
      <c r="L442">
        <v>33</v>
      </c>
      <c r="M442">
        <v>24</v>
      </c>
      <c r="N442">
        <v>49</v>
      </c>
      <c r="V442" s="8"/>
      <c r="W442" s="8"/>
      <c r="X442" s="8"/>
      <c r="Y442" s="8"/>
      <c r="Z442" s="8"/>
      <c r="AB442" s="4">
        <v>40</v>
      </c>
      <c r="AC442" s="8"/>
      <c r="AD442" s="8"/>
      <c r="AF442" s="8"/>
      <c r="AG442" s="8"/>
      <c r="AH442" s="8"/>
      <c r="AL442" s="8"/>
      <c r="AM442" s="8"/>
    </row>
    <row r="443" spans="1:40" x14ac:dyDescent="0.2">
      <c r="A443" s="3" t="s">
        <v>808</v>
      </c>
      <c r="G443">
        <v>9</v>
      </c>
      <c r="H443">
        <v>31</v>
      </c>
      <c r="I443">
        <v>27</v>
      </c>
      <c r="J443">
        <v>4</v>
      </c>
      <c r="K443">
        <v>11</v>
      </c>
      <c r="L443">
        <v>26</v>
      </c>
      <c r="M443">
        <v>15</v>
      </c>
      <c r="N443">
        <v>20</v>
      </c>
      <c r="Q443">
        <v>20</v>
      </c>
      <c r="V443" s="8"/>
      <c r="W443" s="8"/>
      <c r="X443" s="8"/>
      <c r="Y443" s="8"/>
      <c r="Z443" s="8"/>
      <c r="AA443" s="8"/>
      <c r="AB443" s="4">
        <v>30</v>
      </c>
      <c r="AC443" s="8"/>
      <c r="AD443" s="8"/>
      <c r="AF443" s="8"/>
      <c r="AG443" s="8"/>
      <c r="AH443" s="8"/>
      <c r="AL443" s="4"/>
      <c r="AM443" s="8"/>
    </row>
    <row r="444" spans="1:40" x14ac:dyDescent="0.2">
      <c r="A444" t="s">
        <v>813</v>
      </c>
      <c r="G444">
        <v>20</v>
      </c>
      <c r="H444">
        <v>33</v>
      </c>
      <c r="I444">
        <v>32</v>
      </c>
      <c r="J444">
        <v>11</v>
      </c>
      <c r="K444">
        <v>24</v>
      </c>
      <c r="L444">
        <v>32</v>
      </c>
      <c r="M444">
        <v>23</v>
      </c>
      <c r="R444">
        <v>28</v>
      </c>
      <c r="T444">
        <v>20</v>
      </c>
      <c r="V444" s="8"/>
      <c r="W444" s="8"/>
      <c r="X444" s="8"/>
      <c r="Y444" s="8"/>
      <c r="Z444" s="8"/>
      <c r="AB444" s="4">
        <v>51</v>
      </c>
      <c r="AC444" s="8"/>
      <c r="AD444" s="8"/>
      <c r="AF444" s="8"/>
      <c r="AG444" s="8"/>
      <c r="AH444" s="8"/>
      <c r="AL444" s="8"/>
      <c r="AM444" s="8"/>
    </row>
    <row r="445" spans="1:40" x14ac:dyDescent="0.2">
      <c r="A445" t="s">
        <v>814</v>
      </c>
      <c r="G445">
        <v>10</v>
      </c>
      <c r="H445">
        <v>43</v>
      </c>
      <c r="I445">
        <v>32</v>
      </c>
      <c r="J445">
        <v>11</v>
      </c>
      <c r="K445">
        <v>14</v>
      </c>
      <c r="L445">
        <v>47</v>
      </c>
      <c r="M445">
        <v>23</v>
      </c>
      <c r="N445">
        <v>10</v>
      </c>
      <c r="R445">
        <v>28</v>
      </c>
      <c r="T445">
        <v>20</v>
      </c>
      <c r="V445" s="8"/>
      <c r="W445" s="8"/>
      <c r="X445" s="8"/>
      <c r="Y445" s="8"/>
      <c r="Z445" s="8"/>
      <c r="AB445" s="4">
        <v>51</v>
      </c>
      <c r="AC445" s="8"/>
      <c r="AD445" s="8"/>
      <c r="AF445" s="8"/>
      <c r="AG445" s="8"/>
      <c r="AH445" s="8"/>
      <c r="AL445" s="8"/>
      <c r="AM445" s="8"/>
    </row>
    <row r="446" spans="1:40" x14ac:dyDescent="0.2">
      <c r="A446" t="s">
        <v>815</v>
      </c>
      <c r="G446">
        <v>10</v>
      </c>
      <c r="H446">
        <v>33</v>
      </c>
      <c r="I446">
        <v>32</v>
      </c>
      <c r="J446">
        <v>11</v>
      </c>
      <c r="K446">
        <v>24</v>
      </c>
      <c r="L446">
        <v>42</v>
      </c>
      <c r="M446">
        <v>23</v>
      </c>
      <c r="R446">
        <v>28</v>
      </c>
      <c r="T446">
        <v>20</v>
      </c>
      <c r="V446" s="8"/>
      <c r="W446" s="8"/>
      <c r="X446" s="8"/>
      <c r="Y446" s="8"/>
      <c r="Z446" s="8"/>
      <c r="AB446" s="4">
        <v>51</v>
      </c>
      <c r="AC446" s="8"/>
      <c r="AD446" s="8"/>
      <c r="AF446" s="8"/>
      <c r="AG446" s="8"/>
      <c r="AH446" s="8"/>
      <c r="AL446" s="8"/>
      <c r="AM446" s="8"/>
    </row>
    <row r="447" spans="1:40" x14ac:dyDescent="0.2">
      <c r="A447" t="s">
        <v>816</v>
      </c>
      <c r="G447">
        <v>10</v>
      </c>
      <c r="H447">
        <v>33</v>
      </c>
      <c r="I447">
        <v>32</v>
      </c>
      <c r="J447">
        <v>11</v>
      </c>
      <c r="K447">
        <v>14</v>
      </c>
      <c r="L447">
        <v>32</v>
      </c>
      <c r="M447">
        <v>23</v>
      </c>
      <c r="R447">
        <v>43</v>
      </c>
      <c r="T447">
        <v>30</v>
      </c>
      <c r="V447" s="8"/>
      <c r="W447" s="8"/>
      <c r="X447" s="8"/>
      <c r="Y447" s="8"/>
      <c r="Z447" s="8"/>
      <c r="AB447" s="4">
        <v>51</v>
      </c>
      <c r="AC447" s="8"/>
      <c r="AD447" s="8"/>
      <c r="AE447" s="4">
        <v>5</v>
      </c>
      <c r="AF447" s="8"/>
      <c r="AG447" s="8"/>
      <c r="AH447" s="8"/>
      <c r="AL447" s="8"/>
      <c r="AM447" s="8"/>
    </row>
    <row r="448" spans="1:40" x14ac:dyDescent="0.2">
      <c r="A448" t="s">
        <v>817</v>
      </c>
      <c r="G448">
        <v>22</v>
      </c>
      <c r="H448">
        <v>33</v>
      </c>
      <c r="I448">
        <v>32</v>
      </c>
      <c r="J448">
        <v>12</v>
      </c>
      <c r="K448">
        <v>26</v>
      </c>
      <c r="L448">
        <v>32</v>
      </c>
      <c r="M448">
        <v>23</v>
      </c>
      <c r="R448">
        <v>38</v>
      </c>
      <c r="T448">
        <v>30</v>
      </c>
      <c r="V448" s="8"/>
      <c r="W448" s="8"/>
      <c r="X448" s="8"/>
      <c r="Y448" s="8"/>
      <c r="Z448" s="8"/>
      <c r="AB448" s="4">
        <v>51</v>
      </c>
      <c r="AC448" s="8"/>
      <c r="AD448" s="8"/>
      <c r="AF448" s="8"/>
      <c r="AG448" s="8"/>
      <c r="AH448" s="8"/>
      <c r="AL448" s="8"/>
      <c r="AM448" s="8"/>
    </row>
    <row r="449" spans="1:40" x14ac:dyDescent="0.2">
      <c r="A449" t="s">
        <v>818</v>
      </c>
      <c r="G449">
        <v>10</v>
      </c>
      <c r="H449">
        <v>45</v>
      </c>
      <c r="I449">
        <v>32</v>
      </c>
      <c r="J449">
        <v>12</v>
      </c>
      <c r="K449">
        <v>14</v>
      </c>
      <c r="L449">
        <v>52</v>
      </c>
      <c r="M449">
        <v>23</v>
      </c>
      <c r="N449">
        <v>12</v>
      </c>
      <c r="R449">
        <v>38</v>
      </c>
      <c r="T449">
        <v>30</v>
      </c>
      <c r="V449" s="8"/>
      <c r="W449" s="8"/>
      <c r="X449" s="8"/>
      <c r="Y449" s="8"/>
      <c r="Z449" s="8"/>
      <c r="AB449" s="4">
        <v>51</v>
      </c>
      <c r="AC449" s="8"/>
      <c r="AD449" s="8"/>
      <c r="AF449" s="8"/>
      <c r="AG449" s="8"/>
      <c r="AH449" s="8"/>
      <c r="AL449" s="8"/>
      <c r="AM449" s="8"/>
    </row>
    <row r="450" spans="1:40" x14ac:dyDescent="0.2">
      <c r="A450" t="s">
        <v>819</v>
      </c>
      <c r="G450">
        <v>10</v>
      </c>
      <c r="H450">
        <v>33</v>
      </c>
      <c r="I450">
        <v>32</v>
      </c>
      <c r="J450">
        <v>12</v>
      </c>
      <c r="K450">
        <v>26</v>
      </c>
      <c r="L450">
        <v>44</v>
      </c>
      <c r="M450">
        <v>23</v>
      </c>
      <c r="R450">
        <v>38</v>
      </c>
      <c r="T450">
        <v>30</v>
      </c>
      <c r="V450" s="8"/>
      <c r="W450" s="8"/>
      <c r="X450" s="8"/>
      <c r="Y450" s="8"/>
      <c r="Z450" s="8"/>
      <c r="AB450" s="4">
        <v>51</v>
      </c>
      <c r="AC450" s="8"/>
      <c r="AD450" s="8"/>
      <c r="AF450" s="8"/>
      <c r="AG450" s="8"/>
      <c r="AH450" s="8"/>
      <c r="AL450" s="8"/>
      <c r="AM450" s="8"/>
    </row>
    <row r="451" spans="1:40" x14ac:dyDescent="0.2">
      <c r="A451" t="s">
        <v>820</v>
      </c>
      <c r="G451">
        <v>10</v>
      </c>
      <c r="H451">
        <v>33</v>
      </c>
      <c r="I451">
        <v>32</v>
      </c>
      <c r="J451">
        <v>12</v>
      </c>
      <c r="K451">
        <v>14</v>
      </c>
      <c r="L451">
        <v>32</v>
      </c>
      <c r="M451">
        <v>23</v>
      </c>
      <c r="R451">
        <v>58</v>
      </c>
      <c r="T451">
        <v>42</v>
      </c>
      <c r="V451" s="8"/>
      <c r="W451" s="8"/>
      <c r="X451" s="8"/>
      <c r="Y451" s="8"/>
      <c r="Z451" s="8"/>
      <c r="AB451" s="4">
        <v>51</v>
      </c>
      <c r="AC451" s="8"/>
      <c r="AD451" s="8"/>
      <c r="AE451" s="4">
        <v>6</v>
      </c>
      <c r="AF451" s="8"/>
      <c r="AG451" s="8"/>
      <c r="AH451" s="8"/>
      <c r="AL451" s="8"/>
      <c r="AM451" s="8"/>
    </row>
    <row r="452" spans="1:40" x14ac:dyDescent="0.2">
      <c r="A452" t="s">
        <v>806</v>
      </c>
      <c r="G452">
        <v>8</v>
      </c>
      <c r="H452">
        <v>27</v>
      </c>
      <c r="I452">
        <v>31</v>
      </c>
      <c r="K452">
        <v>8</v>
      </c>
      <c r="L452">
        <v>23</v>
      </c>
      <c r="M452">
        <v>17</v>
      </c>
      <c r="O452">
        <v>8</v>
      </c>
      <c r="V452" s="8"/>
      <c r="W452" s="8"/>
      <c r="X452" s="8"/>
      <c r="Y452" s="8"/>
      <c r="Z452" s="8"/>
      <c r="AB452" s="4">
        <v>40</v>
      </c>
      <c r="AC452" s="8"/>
      <c r="AD452" s="8"/>
      <c r="AE452" s="4">
        <v>5</v>
      </c>
      <c r="AF452" s="8"/>
      <c r="AG452" s="8"/>
      <c r="AH452" s="8"/>
      <c r="AL452" s="8"/>
      <c r="AM452" s="8"/>
    </row>
    <row r="453" spans="1:40" x14ac:dyDescent="0.2">
      <c r="A453" t="s">
        <v>779</v>
      </c>
      <c r="G453">
        <v>8</v>
      </c>
      <c r="H453">
        <v>32</v>
      </c>
      <c r="I453">
        <v>32</v>
      </c>
      <c r="J453">
        <v>7</v>
      </c>
      <c r="K453">
        <v>6</v>
      </c>
      <c r="L453">
        <v>23</v>
      </c>
      <c r="M453">
        <v>16</v>
      </c>
      <c r="N453">
        <v>30</v>
      </c>
      <c r="O453">
        <v>20</v>
      </c>
      <c r="V453" s="8"/>
      <c r="W453" s="8"/>
      <c r="X453" s="8"/>
      <c r="Y453" s="8"/>
      <c r="Z453" s="8"/>
      <c r="AB453" s="4">
        <v>40</v>
      </c>
      <c r="AC453" s="8"/>
      <c r="AD453" s="8"/>
      <c r="AF453" s="8"/>
      <c r="AG453" s="8"/>
      <c r="AH453" s="8"/>
      <c r="AL453" s="8"/>
      <c r="AM453" s="8"/>
    </row>
    <row r="454" spans="1:40" x14ac:dyDescent="0.2">
      <c r="A454" t="s">
        <v>780</v>
      </c>
      <c r="G454">
        <v>10</v>
      </c>
      <c r="H454">
        <v>29</v>
      </c>
      <c r="I454">
        <v>38</v>
      </c>
      <c r="J454">
        <v>5</v>
      </c>
      <c r="K454">
        <v>8</v>
      </c>
      <c r="L454">
        <v>25</v>
      </c>
      <c r="M454">
        <v>19</v>
      </c>
      <c r="N454">
        <v>24</v>
      </c>
      <c r="O454">
        <v>24</v>
      </c>
      <c r="V454" s="8"/>
      <c r="W454" s="8"/>
      <c r="X454" s="8"/>
      <c r="Y454" s="8"/>
      <c r="Z454" s="8"/>
      <c r="AB454" s="4">
        <v>40</v>
      </c>
      <c r="AC454" s="8"/>
      <c r="AD454" s="8"/>
      <c r="AF454" s="8"/>
      <c r="AG454" s="8"/>
      <c r="AH454" s="8"/>
      <c r="AL454" s="8"/>
      <c r="AM454" s="8"/>
      <c r="AN454" s="4">
        <v>25</v>
      </c>
    </row>
    <row r="455" spans="1:40" x14ac:dyDescent="0.2">
      <c r="A455" t="s">
        <v>802</v>
      </c>
      <c r="G455">
        <v>15</v>
      </c>
      <c r="H455">
        <v>34</v>
      </c>
      <c r="I455">
        <v>44</v>
      </c>
      <c r="J455">
        <v>8</v>
      </c>
      <c r="K455">
        <v>16</v>
      </c>
      <c r="L455">
        <v>31</v>
      </c>
      <c r="M455">
        <v>21</v>
      </c>
      <c r="N455">
        <v>18</v>
      </c>
      <c r="O455">
        <v>18</v>
      </c>
      <c r="V455" s="8"/>
      <c r="W455" s="8"/>
      <c r="X455" s="8"/>
      <c r="Y455" s="8"/>
      <c r="Z455" s="8"/>
      <c r="AB455" s="4">
        <v>51</v>
      </c>
      <c r="AC455" s="8"/>
      <c r="AD455" s="8"/>
      <c r="AF455" s="8"/>
      <c r="AG455" s="8"/>
      <c r="AH455" s="8"/>
      <c r="AL455" s="8"/>
      <c r="AM455" s="8"/>
    </row>
    <row r="456" spans="1:40" x14ac:dyDescent="0.2">
      <c r="A456" t="s">
        <v>803</v>
      </c>
      <c r="G456">
        <v>27</v>
      </c>
      <c r="H456">
        <v>34</v>
      </c>
      <c r="I456">
        <v>41</v>
      </c>
      <c r="J456">
        <v>8</v>
      </c>
      <c r="K456">
        <v>16</v>
      </c>
      <c r="L456">
        <v>31</v>
      </c>
      <c r="M456">
        <v>21</v>
      </c>
      <c r="N456">
        <v>18</v>
      </c>
      <c r="O456">
        <v>18</v>
      </c>
      <c r="V456" s="8"/>
      <c r="W456" s="8"/>
      <c r="X456" s="8"/>
      <c r="Y456" s="8"/>
      <c r="Z456" s="8"/>
      <c r="AB456" s="4">
        <v>71</v>
      </c>
      <c r="AC456" s="8"/>
      <c r="AD456" s="8"/>
      <c r="AF456" s="8"/>
      <c r="AG456" s="8"/>
      <c r="AH456" s="8"/>
      <c r="AL456" s="8"/>
      <c r="AM456" s="8"/>
    </row>
    <row r="457" spans="1:40" x14ac:dyDescent="0.2">
      <c r="A457" t="s">
        <v>804</v>
      </c>
      <c r="G457">
        <v>15</v>
      </c>
      <c r="H457">
        <v>34</v>
      </c>
      <c r="I457">
        <v>34</v>
      </c>
      <c r="J457">
        <v>8</v>
      </c>
      <c r="K457">
        <v>16</v>
      </c>
      <c r="L457">
        <v>31</v>
      </c>
      <c r="M457">
        <v>21</v>
      </c>
      <c r="N457">
        <v>28</v>
      </c>
      <c r="O457">
        <v>18</v>
      </c>
      <c r="V457" s="8"/>
      <c r="W457" s="8"/>
      <c r="X457" s="8"/>
      <c r="Y457" s="8"/>
      <c r="Z457" s="8"/>
      <c r="AB457" s="4">
        <v>51</v>
      </c>
      <c r="AC457" s="8"/>
      <c r="AD457" s="8"/>
      <c r="AF457" s="8"/>
      <c r="AG457" s="8"/>
      <c r="AH457" s="8"/>
      <c r="AL457" s="8"/>
      <c r="AM457" s="8"/>
    </row>
    <row r="458" spans="1:40" x14ac:dyDescent="0.2">
      <c r="A458" t="s">
        <v>805</v>
      </c>
      <c r="G458">
        <v>15</v>
      </c>
      <c r="H458">
        <v>34</v>
      </c>
      <c r="I458">
        <v>34</v>
      </c>
      <c r="J458">
        <v>8</v>
      </c>
      <c r="K458">
        <v>16</v>
      </c>
      <c r="L458">
        <v>31</v>
      </c>
      <c r="M458">
        <v>21</v>
      </c>
      <c r="N458">
        <v>18</v>
      </c>
      <c r="O458">
        <v>18</v>
      </c>
      <c r="Q458">
        <v>25</v>
      </c>
      <c r="R458">
        <v>20</v>
      </c>
      <c r="V458" s="8"/>
      <c r="W458" s="8"/>
      <c r="X458" s="8"/>
      <c r="Y458" s="8"/>
      <c r="Z458" s="8"/>
      <c r="AB458" s="4">
        <v>51</v>
      </c>
      <c r="AC458" s="8"/>
      <c r="AD458" s="8"/>
      <c r="AF458" s="8"/>
      <c r="AG458" s="8"/>
      <c r="AH458" s="8"/>
      <c r="AL458" s="8"/>
      <c r="AM458" s="8"/>
    </row>
    <row r="459" spans="1:40" x14ac:dyDescent="0.2">
      <c r="A459" t="s">
        <v>829</v>
      </c>
      <c r="G459">
        <v>21</v>
      </c>
      <c r="H459">
        <v>34</v>
      </c>
      <c r="I459">
        <v>32</v>
      </c>
      <c r="J459">
        <v>7</v>
      </c>
      <c r="K459">
        <v>16</v>
      </c>
      <c r="L459">
        <v>30</v>
      </c>
      <c r="M459">
        <v>19</v>
      </c>
      <c r="N459">
        <v>27</v>
      </c>
      <c r="O459">
        <v>15</v>
      </c>
      <c r="V459" s="8"/>
      <c r="W459" s="8"/>
      <c r="X459" s="8"/>
      <c r="Y459" s="8"/>
      <c r="Z459" s="8"/>
      <c r="AB459" s="4">
        <v>40</v>
      </c>
      <c r="AC459" s="8"/>
      <c r="AD459" s="8"/>
      <c r="AE459" s="4">
        <v>6</v>
      </c>
      <c r="AF459" s="8"/>
      <c r="AG459" s="8"/>
      <c r="AH459" s="8"/>
      <c r="AL459" s="8"/>
      <c r="AM459" s="8"/>
    </row>
    <row r="460" spans="1:40" x14ac:dyDescent="0.2">
      <c r="A460" t="s">
        <v>830</v>
      </c>
      <c r="G460">
        <v>11</v>
      </c>
      <c r="H460">
        <v>44</v>
      </c>
      <c r="I460">
        <v>32</v>
      </c>
      <c r="J460">
        <v>7</v>
      </c>
      <c r="K460">
        <v>16</v>
      </c>
      <c r="L460">
        <v>30</v>
      </c>
      <c r="M460">
        <v>19</v>
      </c>
      <c r="N460">
        <v>42</v>
      </c>
      <c r="V460" s="8"/>
      <c r="W460" s="8"/>
      <c r="X460" s="8"/>
      <c r="Y460" s="8"/>
      <c r="Z460" s="8"/>
      <c r="AB460" s="4">
        <v>40</v>
      </c>
      <c r="AC460" s="8"/>
      <c r="AD460" s="8"/>
      <c r="AE460" s="4">
        <v>6</v>
      </c>
      <c r="AF460" s="8"/>
      <c r="AG460" s="8"/>
      <c r="AH460" s="8"/>
      <c r="AL460" s="8"/>
      <c r="AM460" s="8"/>
    </row>
    <row r="461" spans="1:40" x14ac:dyDescent="0.2">
      <c r="A461" t="s">
        <v>831</v>
      </c>
      <c r="G461">
        <v>11</v>
      </c>
      <c r="H461">
        <v>34</v>
      </c>
      <c r="I461">
        <v>32</v>
      </c>
      <c r="J461">
        <v>7</v>
      </c>
      <c r="K461">
        <v>16</v>
      </c>
      <c r="L461">
        <v>30</v>
      </c>
      <c r="M461">
        <v>19</v>
      </c>
      <c r="N461">
        <v>27</v>
      </c>
      <c r="V461" s="8"/>
      <c r="W461" s="8"/>
      <c r="X461" s="8"/>
      <c r="Y461" s="8"/>
      <c r="Z461" s="8"/>
      <c r="AB461" s="4">
        <v>40</v>
      </c>
      <c r="AC461" s="8"/>
      <c r="AD461" s="8"/>
      <c r="AE461" s="4">
        <v>6</v>
      </c>
      <c r="AF461" s="8"/>
      <c r="AG461" s="8"/>
      <c r="AH461" s="8"/>
      <c r="AL461" s="8"/>
      <c r="AM461" s="8"/>
    </row>
    <row r="462" spans="1:40" x14ac:dyDescent="0.2">
      <c r="A462" t="s">
        <v>832</v>
      </c>
      <c r="G462">
        <v>11</v>
      </c>
      <c r="H462">
        <v>34</v>
      </c>
      <c r="I462">
        <v>32</v>
      </c>
      <c r="J462">
        <v>7</v>
      </c>
      <c r="K462">
        <v>16</v>
      </c>
      <c r="L462">
        <v>30</v>
      </c>
      <c r="M462">
        <v>19</v>
      </c>
      <c r="N462">
        <v>47</v>
      </c>
      <c r="V462" s="8"/>
      <c r="W462" s="8"/>
      <c r="X462" s="8"/>
      <c r="Y462" s="8"/>
      <c r="Z462" s="8"/>
      <c r="AA462" s="8">
        <v>0.05</v>
      </c>
      <c r="AB462" s="4">
        <v>40</v>
      </c>
      <c r="AC462" s="8"/>
      <c r="AD462" s="8"/>
      <c r="AE462" s="4">
        <v>6</v>
      </c>
      <c r="AF462" s="8"/>
      <c r="AG462" s="8"/>
      <c r="AH462" s="8"/>
      <c r="AL462" s="8"/>
      <c r="AM462" s="8"/>
    </row>
    <row r="463" spans="1:40" s="144" customFormat="1" x14ac:dyDescent="0.2">
      <c r="A463" s="3" t="s">
        <v>833</v>
      </c>
      <c r="G463" s="144">
        <v>23</v>
      </c>
      <c r="H463" s="144">
        <v>34</v>
      </c>
      <c r="I463" s="144">
        <v>32</v>
      </c>
      <c r="J463" s="144">
        <v>7</v>
      </c>
      <c r="K463" s="144">
        <v>16</v>
      </c>
      <c r="L463" s="144">
        <v>30</v>
      </c>
      <c r="M463" s="144">
        <v>19</v>
      </c>
      <c r="N463" s="144">
        <v>37</v>
      </c>
      <c r="O463" s="3">
        <v>20</v>
      </c>
      <c r="V463" s="177"/>
      <c r="W463" s="177"/>
      <c r="X463" s="177"/>
      <c r="Y463" s="177"/>
      <c r="Z463" s="177"/>
      <c r="AA463" s="177"/>
      <c r="AB463" s="178">
        <v>40</v>
      </c>
      <c r="AC463" s="177"/>
      <c r="AD463" s="177"/>
      <c r="AE463" s="144">
        <v>7</v>
      </c>
      <c r="AF463" s="178"/>
      <c r="AG463" s="177"/>
      <c r="AH463" s="177"/>
      <c r="AI463" s="178"/>
      <c r="AJ463" s="178"/>
      <c r="AK463" s="178"/>
      <c r="AL463" s="178"/>
      <c r="AM463" s="178"/>
      <c r="AN463" s="178"/>
    </row>
    <row r="464" spans="1:40" s="144" customFormat="1" x14ac:dyDescent="0.2">
      <c r="A464" s="3" t="s">
        <v>834</v>
      </c>
      <c r="G464" s="144">
        <v>11</v>
      </c>
      <c r="H464" s="144">
        <v>46</v>
      </c>
      <c r="I464" s="144">
        <v>32</v>
      </c>
      <c r="J464" s="144">
        <v>7</v>
      </c>
      <c r="K464" s="144">
        <v>16</v>
      </c>
      <c r="L464" s="144">
        <v>30</v>
      </c>
      <c r="M464" s="144">
        <v>19</v>
      </c>
      <c r="N464" s="144">
        <v>57</v>
      </c>
      <c r="V464" s="177"/>
      <c r="W464" s="177"/>
      <c r="X464" s="177"/>
      <c r="Y464" s="177"/>
      <c r="Z464" s="177"/>
      <c r="AA464" s="177"/>
      <c r="AB464" s="178">
        <v>40</v>
      </c>
      <c r="AC464" s="177"/>
      <c r="AD464" s="177"/>
      <c r="AE464" s="144">
        <v>7</v>
      </c>
      <c r="AF464" s="178"/>
      <c r="AG464" s="177"/>
      <c r="AH464" s="177"/>
      <c r="AI464" s="178"/>
      <c r="AJ464" s="178"/>
      <c r="AK464" s="178"/>
      <c r="AL464" s="178"/>
      <c r="AM464" s="178"/>
      <c r="AN464" s="178"/>
    </row>
    <row r="465" spans="1:40" s="144" customFormat="1" x14ac:dyDescent="0.2">
      <c r="A465" s="3" t="s">
        <v>835</v>
      </c>
      <c r="G465" s="144">
        <v>11</v>
      </c>
      <c r="H465" s="144">
        <v>34</v>
      </c>
      <c r="I465" s="144">
        <v>32</v>
      </c>
      <c r="J465" s="144">
        <v>7</v>
      </c>
      <c r="K465" s="144">
        <v>16</v>
      </c>
      <c r="L465" s="144">
        <v>30</v>
      </c>
      <c r="M465" s="144">
        <v>19</v>
      </c>
      <c r="N465" s="144">
        <v>37</v>
      </c>
      <c r="V465" s="177"/>
      <c r="W465" s="177"/>
      <c r="X465" s="177"/>
      <c r="Y465" s="177"/>
      <c r="Z465" s="177"/>
      <c r="AA465" s="177"/>
      <c r="AB465" s="178">
        <v>40</v>
      </c>
      <c r="AC465" s="177"/>
      <c r="AD465" s="177"/>
      <c r="AE465" s="144">
        <v>7</v>
      </c>
      <c r="AF465" s="178"/>
      <c r="AG465" s="177"/>
      <c r="AH465" s="177"/>
      <c r="AI465" s="178"/>
      <c r="AJ465" s="178"/>
      <c r="AK465" s="178"/>
      <c r="AL465" s="178"/>
      <c r="AM465" s="178"/>
      <c r="AN465" s="178"/>
    </row>
    <row r="466" spans="1:40" s="144" customFormat="1" x14ac:dyDescent="0.2">
      <c r="A466" s="3" t="s">
        <v>836</v>
      </c>
      <c r="G466" s="144">
        <v>11</v>
      </c>
      <c r="H466" s="144">
        <v>34</v>
      </c>
      <c r="I466" s="144">
        <v>32</v>
      </c>
      <c r="J466" s="144">
        <v>7</v>
      </c>
      <c r="K466" s="144">
        <v>16</v>
      </c>
      <c r="L466" s="144">
        <v>30</v>
      </c>
      <c r="M466" s="144">
        <v>19</v>
      </c>
      <c r="N466" s="144">
        <v>62</v>
      </c>
      <c r="V466" s="177"/>
      <c r="W466" s="177"/>
      <c r="X466" s="177"/>
      <c r="Y466" s="177"/>
      <c r="Z466" s="177"/>
      <c r="AA466" s="177">
        <v>0.06</v>
      </c>
      <c r="AB466" s="178">
        <v>40</v>
      </c>
      <c r="AC466" s="177"/>
      <c r="AD466" s="177"/>
      <c r="AE466" s="144">
        <v>7</v>
      </c>
      <c r="AF466" s="178"/>
      <c r="AG466" s="177"/>
      <c r="AH466" s="177"/>
      <c r="AI466" s="178"/>
      <c r="AJ466" s="178"/>
      <c r="AK466" s="178"/>
      <c r="AL466" s="178"/>
      <c r="AM466" s="178"/>
      <c r="AN466" s="178"/>
    </row>
    <row r="467" spans="1:40" x14ac:dyDescent="0.2">
      <c r="A467" s="144" t="s">
        <v>781</v>
      </c>
      <c r="G467">
        <v>7</v>
      </c>
      <c r="H467">
        <v>33</v>
      </c>
      <c r="I467">
        <v>25</v>
      </c>
      <c r="J467">
        <v>8</v>
      </c>
      <c r="K467">
        <v>10</v>
      </c>
      <c r="L467">
        <v>28</v>
      </c>
      <c r="M467">
        <v>16</v>
      </c>
      <c r="N467">
        <v>4</v>
      </c>
      <c r="V467" s="8"/>
      <c r="W467" s="8"/>
      <c r="X467" s="8"/>
      <c r="Y467" s="8"/>
      <c r="Z467" s="8"/>
      <c r="AA467" s="8"/>
      <c r="AB467" s="4">
        <v>40</v>
      </c>
      <c r="AD467" s="8"/>
      <c r="AG467" s="8"/>
      <c r="AH467" s="4"/>
      <c r="AI467" s="8"/>
      <c r="AL467" s="4"/>
      <c r="AM467" s="4"/>
    </row>
    <row r="468" spans="1:40" x14ac:dyDescent="0.2">
      <c r="A468" s="3" t="s">
        <v>1383</v>
      </c>
      <c r="G468">
        <v>12</v>
      </c>
      <c r="H468">
        <v>35</v>
      </c>
      <c r="I468">
        <v>35</v>
      </c>
      <c r="J468">
        <v>8</v>
      </c>
      <c r="K468">
        <v>7</v>
      </c>
      <c r="L468">
        <v>24</v>
      </c>
      <c r="M468">
        <v>17</v>
      </c>
      <c r="N468">
        <v>25</v>
      </c>
      <c r="S468">
        <v>25</v>
      </c>
      <c r="V468" s="8"/>
      <c r="W468" s="8"/>
      <c r="X468" s="8"/>
      <c r="Y468" s="8"/>
      <c r="Z468" s="8"/>
      <c r="AA468" s="8"/>
      <c r="AB468" s="4">
        <v>40</v>
      </c>
      <c r="AC468" s="8">
        <v>0.05</v>
      </c>
      <c r="AD468" s="8"/>
      <c r="AE468" s="4">
        <v>3</v>
      </c>
      <c r="AG468" s="8"/>
      <c r="AH468" s="4"/>
      <c r="AI468" s="8"/>
      <c r="AL468" s="4"/>
      <c r="AM468" s="4"/>
    </row>
    <row r="469" spans="1:40" x14ac:dyDescent="0.2">
      <c r="A469" s="3" t="s">
        <v>1384</v>
      </c>
      <c r="G469">
        <v>19</v>
      </c>
      <c r="H469">
        <v>42</v>
      </c>
      <c r="I469">
        <v>35</v>
      </c>
      <c r="J469">
        <v>8</v>
      </c>
      <c r="K469">
        <v>7</v>
      </c>
      <c r="L469">
        <v>24</v>
      </c>
      <c r="M469">
        <v>17</v>
      </c>
      <c r="N469">
        <v>37</v>
      </c>
      <c r="S469">
        <v>37</v>
      </c>
      <c r="V469" s="8"/>
      <c r="W469" s="8"/>
      <c r="X469" s="8"/>
      <c r="Y469" s="8"/>
      <c r="Z469" s="8"/>
      <c r="AA469" s="8"/>
      <c r="AB469" s="4">
        <v>40</v>
      </c>
      <c r="AC469" s="8">
        <v>7.0000000000000007E-2</v>
      </c>
      <c r="AD469" s="8"/>
      <c r="AE469" s="4">
        <v>5</v>
      </c>
      <c r="AG469" s="8"/>
      <c r="AH469" s="4"/>
      <c r="AI469" s="8"/>
      <c r="AL469" s="4"/>
      <c r="AM469" s="4"/>
    </row>
    <row r="470" spans="1:40" x14ac:dyDescent="0.2">
      <c r="A470" t="s">
        <v>1328</v>
      </c>
      <c r="G470">
        <v>11</v>
      </c>
      <c r="H470">
        <v>34</v>
      </c>
      <c r="I470">
        <v>34</v>
      </c>
      <c r="J470">
        <v>10</v>
      </c>
      <c r="K470">
        <v>8</v>
      </c>
      <c r="L470">
        <v>25</v>
      </c>
      <c r="M470">
        <v>19</v>
      </c>
      <c r="O470">
        <v>20</v>
      </c>
      <c r="T470">
        <v>20</v>
      </c>
      <c r="V470" s="8">
        <v>0.02</v>
      </c>
      <c r="W470" s="8"/>
      <c r="X470" s="8"/>
      <c r="Y470" s="8"/>
      <c r="Z470" s="8"/>
      <c r="AA470" s="8"/>
      <c r="AB470" s="4">
        <v>40</v>
      </c>
      <c r="AD470" s="8"/>
      <c r="AG470" s="8"/>
      <c r="AH470" s="4"/>
      <c r="AI470" s="8"/>
      <c r="AL470" s="4"/>
      <c r="AM470" s="4"/>
    </row>
    <row r="471" spans="1:40" x14ac:dyDescent="0.2">
      <c r="A471" t="s">
        <v>1327</v>
      </c>
      <c r="G471">
        <v>21</v>
      </c>
      <c r="H471">
        <v>34</v>
      </c>
      <c r="I471">
        <v>34</v>
      </c>
      <c r="J471">
        <v>10</v>
      </c>
      <c r="K471">
        <v>8</v>
      </c>
      <c r="L471">
        <v>25</v>
      </c>
      <c r="M471">
        <v>19</v>
      </c>
      <c r="O471">
        <v>35</v>
      </c>
      <c r="T471">
        <v>35</v>
      </c>
      <c r="V471" s="8">
        <v>0.02</v>
      </c>
      <c r="W471" s="8"/>
      <c r="X471" s="8"/>
      <c r="Y471" s="8"/>
      <c r="Z471" s="8"/>
      <c r="AA471" s="8"/>
      <c r="AB471" s="4">
        <v>40</v>
      </c>
      <c r="AD471" s="8"/>
      <c r="AG471" s="8"/>
      <c r="AH471" s="4"/>
      <c r="AI471" s="8"/>
      <c r="AL471" s="4"/>
      <c r="AM471" s="4"/>
    </row>
    <row r="472" spans="1:40" x14ac:dyDescent="0.2">
      <c r="A472" t="s">
        <v>782</v>
      </c>
      <c r="G472">
        <v>6</v>
      </c>
      <c r="H472">
        <v>35</v>
      </c>
      <c r="I472">
        <v>30</v>
      </c>
      <c r="J472">
        <v>7</v>
      </c>
      <c r="K472">
        <v>10</v>
      </c>
      <c r="L472">
        <v>26</v>
      </c>
      <c r="M472">
        <v>20</v>
      </c>
      <c r="N472">
        <v>7</v>
      </c>
      <c r="S472">
        <v>7</v>
      </c>
      <c r="V472" s="8"/>
      <c r="W472" s="8"/>
      <c r="X472" s="8"/>
      <c r="Y472" s="8"/>
      <c r="Z472" s="8"/>
      <c r="AA472" s="8"/>
      <c r="AB472" s="4">
        <v>40</v>
      </c>
      <c r="AD472" s="8"/>
      <c r="AG472" s="8"/>
      <c r="AH472" s="4"/>
      <c r="AI472" s="8"/>
      <c r="AL472" s="4"/>
      <c r="AM472" s="4"/>
    </row>
    <row r="473" spans="1:40" x14ac:dyDescent="0.2">
      <c r="A473" t="s">
        <v>788</v>
      </c>
      <c r="G473">
        <v>6</v>
      </c>
      <c r="H473">
        <v>36</v>
      </c>
      <c r="I473">
        <v>30</v>
      </c>
      <c r="J473">
        <v>7</v>
      </c>
      <c r="K473">
        <v>10</v>
      </c>
      <c r="L473">
        <v>26</v>
      </c>
      <c r="M473">
        <v>20</v>
      </c>
      <c r="N473">
        <v>8</v>
      </c>
      <c r="S473">
        <v>8</v>
      </c>
      <c r="V473" s="8"/>
      <c r="W473" s="8"/>
      <c r="X473" s="8"/>
      <c r="Y473" s="8"/>
      <c r="Z473" s="8"/>
      <c r="AB473" s="4">
        <v>40</v>
      </c>
      <c r="AC473" s="8"/>
      <c r="AD473" s="8"/>
      <c r="AF473" s="8"/>
      <c r="AG473" s="8"/>
      <c r="AH473" s="8"/>
      <c r="AL473" s="8"/>
      <c r="AM473" s="8"/>
    </row>
    <row r="474" spans="1:40" x14ac:dyDescent="0.2">
      <c r="A474" t="s">
        <v>783</v>
      </c>
      <c r="G474">
        <v>9</v>
      </c>
      <c r="H474">
        <v>27</v>
      </c>
      <c r="I474">
        <v>31</v>
      </c>
      <c r="K474">
        <v>8</v>
      </c>
      <c r="L474">
        <v>24</v>
      </c>
      <c r="M474">
        <v>18</v>
      </c>
      <c r="O474">
        <v>12</v>
      </c>
      <c r="V474" s="8"/>
      <c r="W474" s="8"/>
      <c r="X474" s="8"/>
      <c r="Y474" s="8"/>
      <c r="Z474" s="8"/>
      <c r="AA474" s="8"/>
      <c r="AB474" s="4">
        <v>51</v>
      </c>
      <c r="AD474" s="8"/>
      <c r="AG474" s="8"/>
      <c r="AH474" s="4"/>
      <c r="AI474" s="8"/>
      <c r="AL474" s="4"/>
      <c r="AM474" s="4"/>
    </row>
    <row r="475" spans="1:40" x14ac:dyDescent="0.2">
      <c r="A475" t="s">
        <v>784</v>
      </c>
      <c r="G475">
        <v>8</v>
      </c>
      <c r="H475">
        <v>32</v>
      </c>
      <c r="I475">
        <v>32</v>
      </c>
      <c r="J475">
        <v>7</v>
      </c>
      <c r="K475">
        <v>6</v>
      </c>
      <c r="L475">
        <v>23</v>
      </c>
      <c r="M475">
        <v>16</v>
      </c>
      <c r="V475" s="8">
        <v>0.05</v>
      </c>
      <c r="W475" s="8"/>
      <c r="X475" s="8"/>
      <c r="Y475" s="8"/>
      <c r="Z475" s="8"/>
      <c r="AA475" s="8"/>
      <c r="AB475" s="4">
        <v>61</v>
      </c>
      <c r="AD475" s="8"/>
      <c r="AG475" s="8"/>
      <c r="AH475" s="4"/>
      <c r="AI475" s="8"/>
      <c r="AL475" s="4"/>
      <c r="AM475" s="4"/>
    </row>
    <row r="476" spans="1:40" x14ac:dyDescent="0.2">
      <c r="A476" s="3" t="s">
        <v>800</v>
      </c>
      <c r="G476">
        <v>11</v>
      </c>
      <c r="H476">
        <v>35</v>
      </c>
      <c r="I476">
        <v>32</v>
      </c>
      <c r="J476">
        <v>5</v>
      </c>
      <c r="K476">
        <v>12</v>
      </c>
      <c r="L476">
        <v>30</v>
      </c>
      <c r="M476">
        <v>17</v>
      </c>
      <c r="N476">
        <v>18</v>
      </c>
      <c r="S476">
        <v>18</v>
      </c>
      <c r="T476">
        <v>15</v>
      </c>
      <c r="V476" s="8"/>
      <c r="W476" s="8"/>
      <c r="X476" s="8"/>
      <c r="Y476" s="8"/>
      <c r="Z476" s="8"/>
      <c r="AA476" s="8"/>
      <c r="AB476" s="4">
        <v>51</v>
      </c>
      <c r="AD476" s="8"/>
      <c r="AG476" s="8"/>
      <c r="AH476" s="4"/>
      <c r="AI476" s="8"/>
      <c r="AL476" s="4"/>
      <c r="AM476" s="4"/>
    </row>
    <row r="477" spans="1:40" x14ac:dyDescent="0.2">
      <c r="A477" s="3" t="s">
        <v>801</v>
      </c>
      <c r="G477">
        <v>11</v>
      </c>
      <c r="H477">
        <v>35</v>
      </c>
      <c r="I477">
        <v>32</v>
      </c>
      <c r="J477">
        <v>5</v>
      </c>
      <c r="K477">
        <v>12</v>
      </c>
      <c r="L477">
        <v>30</v>
      </c>
      <c r="M477">
        <v>17</v>
      </c>
      <c r="N477">
        <v>33</v>
      </c>
      <c r="S477">
        <v>33</v>
      </c>
      <c r="T477">
        <v>30</v>
      </c>
      <c r="V477" s="8"/>
      <c r="W477" s="8"/>
      <c r="X477" s="8"/>
      <c r="Y477" s="8"/>
      <c r="Z477" s="8"/>
      <c r="AA477" s="8"/>
      <c r="AB477" s="4">
        <v>51</v>
      </c>
      <c r="AD477" s="8"/>
      <c r="AG477" s="8"/>
      <c r="AH477" s="4"/>
      <c r="AI477" s="8"/>
      <c r="AL477" s="4"/>
      <c r="AM477" s="4"/>
    </row>
    <row r="478" spans="1:40" x14ac:dyDescent="0.2">
      <c r="A478" t="s">
        <v>821</v>
      </c>
      <c r="G478">
        <v>24</v>
      </c>
      <c r="H478">
        <v>41</v>
      </c>
      <c r="O478">
        <v>15</v>
      </c>
      <c r="V478" s="8">
        <v>0.02</v>
      </c>
      <c r="W478" s="8"/>
      <c r="X478" s="8"/>
      <c r="Y478" s="8"/>
      <c r="Z478" s="8"/>
      <c r="AA478" s="8"/>
      <c r="AB478" s="4">
        <v>-61</v>
      </c>
      <c r="AD478" s="8"/>
      <c r="AG478" s="8"/>
      <c r="AH478" s="4"/>
      <c r="AI478" s="8"/>
      <c r="AL478" s="4"/>
      <c r="AM478" s="4"/>
    </row>
    <row r="479" spans="1:40" x14ac:dyDescent="0.2">
      <c r="A479" t="s">
        <v>822</v>
      </c>
      <c r="G479">
        <v>19</v>
      </c>
      <c r="H479">
        <v>46</v>
      </c>
      <c r="N479">
        <v>15</v>
      </c>
      <c r="V479" s="8"/>
      <c r="W479" s="8"/>
      <c r="X479" s="8"/>
      <c r="Y479" s="8"/>
      <c r="Z479" s="8"/>
      <c r="AA479" s="8"/>
      <c r="AB479" s="4">
        <v>-61</v>
      </c>
      <c r="AC479" s="8">
        <v>0.02</v>
      </c>
      <c r="AD479" s="8"/>
      <c r="AG479" s="8"/>
      <c r="AH479" s="4"/>
      <c r="AI479" s="8"/>
      <c r="AL479" s="4"/>
      <c r="AM479" s="4"/>
    </row>
    <row r="480" spans="1:40" x14ac:dyDescent="0.2">
      <c r="A480" t="s">
        <v>823</v>
      </c>
      <c r="G480">
        <v>19</v>
      </c>
      <c r="H480">
        <v>41</v>
      </c>
      <c r="N480">
        <v>8</v>
      </c>
      <c r="O480">
        <v>8</v>
      </c>
      <c r="V480" s="8"/>
      <c r="W480" s="8"/>
      <c r="X480" s="8"/>
      <c r="Y480" s="8"/>
      <c r="Z480" s="8"/>
      <c r="AA480" s="8"/>
      <c r="AB480" s="4">
        <v>-61</v>
      </c>
      <c r="AD480" s="8"/>
      <c r="AE480" s="4">
        <v>4</v>
      </c>
      <c r="AG480" s="8"/>
      <c r="AH480" s="4"/>
      <c r="AI480" s="8"/>
      <c r="AL480" s="4"/>
      <c r="AM480" s="4"/>
    </row>
    <row r="481" spans="1:40" x14ac:dyDescent="0.2">
      <c r="A481" t="s">
        <v>824</v>
      </c>
      <c r="G481">
        <v>19</v>
      </c>
      <c r="H481">
        <v>48</v>
      </c>
      <c r="I481">
        <v>10</v>
      </c>
      <c r="N481">
        <v>25</v>
      </c>
      <c r="V481" s="8"/>
      <c r="W481" s="8"/>
      <c r="X481" s="8"/>
      <c r="Y481" s="8"/>
      <c r="Z481" s="8"/>
      <c r="AA481" s="8"/>
      <c r="AB481" s="4">
        <v>-61</v>
      </c>
      <c r="AD481" s="8"/>
      <c r="AG481" s="8"/>
      <c r="AH481" s="4"/>
      <c r="AI481" s="8"/>
      <c r="AL481" s="4"/>
      <c r="AM481" s="4"/>
    </row>
    <row r="482" spans="1:40" x14ac:dyDescent="0.2">
      <c r="A482" t="s">
        <v>825</v>
      </c>
      <c r="G482">
        <v>30</v>
      </c>
      <c r="H482">
        <v>44</v>
      </c>
      <c r="O482">
        <v>20</v>
      </c>
      <c r="V482" s="8">
        <v>0.03</v>
      </c>
      <c r="W482" s="8"/>
      <c r="X482" s="8"/>
      <c r="Y482" s="8"/>
      <c r="Z482" s="8"/>
      <c r="AA482" s="4"/>
      <c r="AB482" s="4">
        <v>-81</v>
      </c>
      <c r="AC482" s="8"/>
      <c r="AD482" s="8"/>
      <c r="AG482" s="8"/>
      <c r="AH482" s="4"/>
      <c r="AI482" s="8"/>
      <c r="AL482" s="4"/>
      <c r="AM482" s="4"/>
    </row>
    <row r="483" spans="1:40" x14ac:dyDescent="0.2">
      <c r="A483" t="s">
        <v>826</v>
      </c>
      <c r="G483">
        <v>22</v>
      </c>
      <c r="H483">
        <v>52</v>
      </c>
      <c r="N483">
        <v>20</v>
      </c>
      <c r="V483" s="8"/>
      <c r="W483" s="8"/>
      <c r="X483" s="8"/>
      <c r="Y483" s="8"/>
      <c r="Z483" s="8"/>
      <c r="AA483" s="4"/>
      <c r="AB483" s="4">
        <v>-81</v>
      </c>
      <c r="AC483" s="8">
        <v>0.03</v>
      </c>
      <c r="AD483" s="8"/>
      <c r="AG483" s="8"/>
      <c r="AH483" s="4"/>
      <c r="AI483" s="8"/>
      <c r="AL483" s="4"/>
      <c r="AM483" s="4"/>
    </row>
    <row r="484" spans="1:40" x14ac:dyDescent="0.2">
      <c r="A484" t="s">
        <v>827</v>
      </c>
      <c r="G484">
        <v>22</v>
      </c>
      <c r="H484">
        <v>44</v>
      </c>
      <c r="N484">
        <v>10</v>
      </c>
      <c r="O484">
        <v>10</v>
      </c>
      <c r="V484" s="8"/>
      <c r="W484" s="8"/>
      <c r="X484" s="8"/>
      <c r="Y484" s="8"/>
      <c r="Z484" s="8"/>
      <c r="AA484" s="4"/>
      <c r="AB484" s="4">
        <v>-81</v>
      </c>
      <c r="AC484" s="8"/>
      <c r="AD484" s="8"/>
      <c r="AE484" s="4">
        <v>5</v>
      </c>
      <c r="AG484" s="8"/>
      <c r="AH484" s="4"/>
      <c r="AI484" s="8"/>
      <c r="AL484" s="4"/>
      <c r="AM484" s="4"/>
    </row>
    <row r="485" spans="1:40" x14ac:dyDescent="0.2">
      <c r="A485" t="s">
        <v>828</v>
      </c>
      <c r="G485">
        <v>22</v>
      </c>
      <c r="H485">
        <v>54</v>
      </c>
      <c r="I485">
        <v>13</v>
      </c>
      <c r="N485">
        <v>30</v>
      </c>
      <c r="V485" s="8"/>
      <c r="W485" s="8"/>
      <c r="X485" s="8"/>
      <c r="Y485" s="8"/>
      <c r="Z485" s="8"/>
      <c r="AA485" s="4"/>
      <c r="AB485" s="4">
        <v>-81</v>
      </c>
      <c r="AC485" s="8"/>
      <c r="AD485" s="8"/>
      <c r="AG485" s="8"/>
      <c r="AH485" s="4"/>
      <c r="AI485" s="8"/>
      <c r="AL485" s="4"/>
      <c r="AM485" s="4"/>
    </row>
    <row r="486" spans="1:40" x14ac:dyDescent="0.2">
      <c r="A486" s="3" t="s">
        <v>792</v>
      </c>
      <c r="G486">
        <v>9</v>
      </c>
      <c r="H486">
        <v>24</v>
      </c>
      <c r="I486">
        <v>20</v>
      </c>
      <c r="J486">
        <v>4</v>
      </c>
      <c r="K486">
        <v>4</v>
      </c>
      <c r="L486">
        <v>14</v>
      </c>
      <c r="M486">
        <v>10</v>
      </c>
      <c r="N486">
        <v>13</v>
      </c>
      <c r="V486" s="8">
        <v>0.04</v>
      </c>
      <c r="W486" s="8"/>
      <c r="X486" s="8"/>
      <c r="Y486" s="8"/>
      <c r="Z486" s="8"/>
      <c r="AA486" s="8"/>
      <c r="AB486" s="4">
        <v>30</v>
      </c>
      <c r="AD486" s="8"/>
      <c r="AG486" s="8"/>
      <c r="AH486" s="4"/>
      <c r="AI486" s="8"/>
      <c r="AL486" s="4"/>
      <c r="AM486" s="4"/>
      <c r="AN486" s="8"/>
    </row>
    <row r="487" spans="1:40" x14ac:dyDescent="0.2">
      <c r="A487" t="s">
        <v>793</v>
      </c>
      <c r="G487">
        <v>12</v>
      </c>
      <c r="H487">
        <v>36</v>
      </c>
      <c r="I487">
        <v>32</v>
      </c>
      <c r="J487">
        <v>7</v>
      </c>
      <c r="K487">
        <v>6</v>
      </c>
      <c r="L487">
        <v>23</v>
      </c>
      <c r="M487">
        <v>16</v>
      </c>
      <c r="N487">
        <v>23</v>
      </c>
      <c r="V487" s="8">
        <v>0.05</v>
      </c>
      <c r="W487" s="8"/>
      <c r="X487" s="8"/>
      <c r="Y487" s="8"/>
      <c r="Z487" s="8"/>
      <c r="AA487" s="8"/>
      <c r="AB487" s="4">
        <v>40</v>
      </c>
      <c r="AC487" s="8"/>
      <c r="AD487" s="8"/>
      <c r="AG487" s="8"/>
      <c r="AH487" s="4"/>
      <c r="AI487" s="8"/>
      <c r="AL487" s="4"/>
      <c r="AM487" s="4"/>
      <c r="AN487" s="8"/>
    </row>
    <row r="488" spans="1:40" x14ac:dyDescent="0.2">
      <c r="A488" t="s">
        <v>837</v>
      </c>
      <c r="G488">
        <v>4</v>
      </c>
      <c r="H488">
        <v>22</v>
      </c>
      <c r="I488">
        <v>19</v>
      </c>
      <c r="J488">
        <v>7</v>
      </c>
      <c r="K488">
        <v>6</v>
      </c>
      <c r="L488">
        <v>17</v>
      </c>
      <c r="M488">
        <v>12</v>
      </c>
      <c r="N488">
        <v>14</v>
      </c>
      <c r="V488" s="8"/>
      <c r="W488" s="8"/>
      <c r="X488" s="8"/>
      <c r="Y488" s="8"/>
      <c r="Z488" s="8"/>
      <c r="AB488" s="4">
        <v>30</v>
      </c>
      <c r="AC488" s="8"/>
      <c r="AD488" s="8"/>
      <c r="AF488" s="8"/>
      <c r="AG488" s="8"/>
      <c r="AH488" s="8"/>
      <c r="AL488" s="8"/>
      <c r="AM488" s="8"/>
    </row>
    <row r="489" spans="1:40" x14ac:dyDescent="0.2">
      <c r="A489" t="s">
        <v>838</v>
      </c>
      <c r="G489">
        <v>6</v>
      </c>
      <c r="H489">
        <v>33</v>
      </c>
      <c r="I489">
        <v>30</v>
      </c>
      <c r="J489">
        <v>10</v>
      </c>
      <c r="K489">
        <v>10</v>
      </c>
      <c r="L489">
        <v>26</v>
      </c>
      <c r="M489">
        <v>20</v>
      </c>
      <c r="N489">
        <v>17</v>
      </c>
      <c r="V489" s="8"/>
      <c r="W489" s="8"/>
      <c r="X489" s="8"/>
      <c r="Y489" s="8"/>
      <c r="Z489" s="8"/>
      <c r="AA489" s="8"/>
      <c r="AB489" s="4">
        <v>40</v>
      </c>
      <c r="AD489" s="8"/>
      <c r="AG489" s="8"/>
      <c r="AH489" s="4"/>
      <c r="AI489" s="8"/>
      <c r="AL489" s="4"/>
      <c r="AM489" s="4"/>
      <c r="AN489" s="8"/>
    </row>
    <row r="490" spans="1:40" x14ac:dyDescent="0.2">
      <c r="A490" t="s">
        <v>1779</v>
      </c>
      <c r="G490">
        <v>30</v>
      </c>
      <c r="H490">
        <v>40</v>
      </c>
      <c r="I490">
        <v>30</v>
      </c>
      <c r="J490">
        <v>20</v>
      </c>
      <c r="K490">
        <v>30</v>
      </c>
      <c r="L490">
        <v>30</v>
      </c>
      <c r="M490">
        <v>40</v>
      </c>
      <c r="N490">
        <v>45</v>
      </c>
      <c r="Q490">
        <v>45</v>
      </c>
      <c r="V490" s="8"/>
      <c r="W490" s="8"/>
      <c r="X490" s="8"/>
      <c r="Y490" s="8"/>
      <c r="Z490" s="8"/>
      <c r="AA490" s="8"/>
      <c r="AB490" s="4">
        <v>40</v>
      </c>
      <c r="AD490" s="8"/>
      <c r="AG490" s="8"/>
      <c r="AH490" s="4"/>
      <c r="AI490" s="8"/>
      <c r="AL490" s="4"/>
      <c r="AM490" s="4"/>
      <c r="AN490" s="8"/>
    </row>
    <row r="491" spans="1:40" x14ac:dyDescent="0.2">
      <c r="A491" t="s">
        <v>785</v>
      </c>
      <c r="G491">
        <v>11</v>
      </c>
      <c r="H491">
        <v>35</v>
      </c>
      <c r="I491">
        <v>32</v>
      </c>
      <c r="J491">
        <v>5</v>
      </c>
      <c r="K491">
        <v>12</v>
      </c>
      <c r="L491">
        <v>30</v>
      </c>
      <c r="M491">
        <v>17</v>
      </c>
      <c r="Q491">
        <v>20</v>
      </c>
      <c r="S491">
        <v>20</v>
      </c>
      <c r="V491" s="8"/>
      <c r="W491" s="8"/>
      <c r="X491" s="8"/>
      <c r="Y491" s="8"/>
      <c r="Z491" s="8"/>
      <c r="AB491" s="4">
        <v>51</v>
      </c>
      <c r="AC491" s="8"/>
      <c r="AD491" s="8"/>
      <c r="AF491" s="8"/>
      <c r="AG491" s="8"/>
      <c r="AH491" s="8"/>
      <c r="AL491" s="8"/>
      <c r="AM491" s="8"/>
    </row>
    <row r="492" spans="1:40" x14ac:dyDescent="0.2">
      <c r="A492" t="s">
        <v>786</v>
      </c>
      <c r="G492">
        <v>15</v>
      </c>
      <c r="H492">
        <v>26</v>
      </c>
      <c r="I492">
        <v>37</v>
      </c>
      <c r="K492">
        <v>6</v>
      </c>
      <c r="L492">
        <v>24</v>
      </c>
      <c r="M492">
        <v>19</v>
      </c>
      <c r="N492">
        <v>25</v>
      </c>
      <c r="O492">
        <v>29</v>
      </c>
      <c r="V492" s="8">
        <v>0.03</v>
      </c>
      <c r="W492" s="8"/>
      <c r="X492" s="8"/>
      <c r="Y492" s="8"/>
      <c r="Z492" s="8"/>
      <c r="AB492" s="4">
        <v>30</v>
      </c>
      <c r="AC492" s="8"/>
      <c r="AD492" s="8"/>
      <c r="AF492" s="8"/>
      <c r="AG492" s="8"/>
      <c r="AH492" s="8"/>
      <c r="AL492" s="8"/>
      <c r="AM492" s="8"/>
    </row>
    <row r="493" spans="1:40" x14ac:dyDescent="0.2">
      <c r="A493" t="s">
        <v>791</v>
      </c>
      <c r="G493">
        <v>20</v>
      </c>
      <c r="H493">
        <v>31</v>
      </c>
      <c r="I493">
        <v>42</v>
      </c>
      <c r="K493">
        <v>6</v>
      </c>
      <c r="L493">
        <v>29</v>
      </c>
      <c r="M493">
        <v>24</v>
      </c>
      <c r="N493">
        <v>37</v>
      </c>
      <c r="O493">
        <v>41</v>
      </c>
      <c r="V493" s="8">
        <v>0.05</v>
      </c>
      <c r="W493" s="8"/>
      <c r="X493" s="8"/>
      <c r="Y493" s="8"/>
      <c r="Z493" s="8"/>
      <c r="AB493" s="4">
        <v>30</v>
      </c>
      <c r="AC493" s="8"/>
      <c r="AD493" s="8"/>
      <c r="AF493" s="8"/>
      <c r="AG493" s="8"/>
      <c r="AH493" s="8"/>
      <c r="AL493" s="8"/>
      <c r="AM493" s="8"/>
    </row>
    <row r="494" spans="1:40" x14ac:dyDescent="0.2">
      <c r="A494" t="s">
        <v>1871</v>
      </c>
      <c r="G494">
        <v>23</v>
      </c>
      <c r="H494">
        <v>34</v>
      </c>
      <c r="I494">
        <v>45</v>
      </c>
      <c r="K494">
        <v>6</v>
      </c>
      <c r="L494">
        <v>32</v>
      </c>
      <c r="M494">
        <v>27</v>
      </c>
      <c r="N494">
        <v>43</v>
      </c>
      <c r="O494">
        <v>47</v>
      </c>
      <c r="V494" s="8">
        <v>0.06</v>
      </c>
      <c r="W494" s="8"/>
      <c r="X494" s="8"/>
      <c r="Y494" s="8"/>
      <c r="Z494" s="8"/>
      <c r="AB494" s="4">
        <v>30</v>
      </c>
      <c r="AC494" s="8"/>
      <c r="AD494" s="8"/>
      <c r="AF494" s="8"/>
      <c r="AG494" s="8"/>
      <c r="AH494" s="8"/>
      <c r="AL494" s="8"/>
      <c r="AM494" s="8"/>
    </row>
    <row r="495" spans="1:40" s="144" customFormat="1" x14ac:dyDescent="0.2">
      <c r="A495" s="3" t="s">
        <v>799</v>
      </c>
      <c r="G495" s="144">
        <v>9</v>
      </c>
      <c r="H495" s="144">
        <v>35</v>
      </c>
      <c r="I495" s="144">
        <v>30</v>
      </c>
      <c r="J495" s="144">
        <v>3</v>
      </c>
      <c r="K495" s="144">
        <v>10</v>
      </c>
      <c r="L495" s="144">
        <v>28</v>
      </c>
      <c r="M495" s="144">
        <v>15</v>
      </c>
      <c r="S495" s="144">
        <v>7</v>
      </c>
      <c r="T495" s="144">
        <v>7</v>
      </c>
      <c r="V495" s="177"/>
      <c r="W495" s="177"/>
      <c r="X495" s="177"/>
      <c r="Y495" s="177"/>
      <c r="Z495" s="177"/>
      <c r="AA495" s="177"/>
      <c r="AB495" s="178">
        <v>51</v>
      </c>
      <c r="AC495" s="177"/>
      <c r="AD495" s="177"/>
      <c r="AF495" s="178"/>
      <c r="AG495" s="177"/>
      <c r="AH495" s="177"/>
      <c r="AI495" s="178"/>
      <c r="AJ495" s="178"/>
      <c r="AK495" s="178"/>
      <c r="AL495" s="178"/>
    </row>
    <row r="496" spans="1:40" x14ac:dyDescent="0.2">
      <c r="A496" t="str">
        <f>Augments!A54</f>
        <v>Taeon Gloves (TA)</v>
      </c>
      <c r="B496">
        <f t="shared" ref="B496:K499" ca="1" si="36">IF(ISBLANK($A496),0,VLOOKUP($A496,INDIRECT(CONCATENATE("Aug",$A$432)),MATCH(B$1,AugStatHeader,0),0)
+VLOOKUP(LEFT($A496,FIND(" (",$A496,1)-1),INDIRECT("BaseAugArmor"),MATCH(B$1,StatHeader,0),0))</f>
        <v>0</v>
      </c>
      <c r="C496">
        <f t="shared" ca="1" si="36"/>
        <v>0</v>
      </c>
      <c r="D496">
        <f t="shared" ca="1" si="36"/>
        <v>0</v>
      </c>
      <c r="E496">
        <f t="shared" ca="1" si="36"/>
        <v>0</v>
      </c>
      <c r="F496">
        <f t="shared" ca="1" si="36"/>
        <v>0</v>
      </c>
      <c r="G496">
        <f t="shared" ca="1" si="36"/>
        <v>16</v>
      </c>
      <c r="H496">
        <f t="shared" ca="1" si="36"/>
        <v>42</v>
      </c>
      <c r="I496">
        <f t="shared" ca="1" si="36"/>
        <v>30</v>
      </c>
      <c r="J496">
        <f t="shared" ca="1" si="36"/>
        <v>3</v>
      </c>
      <c r="K496">
        <f t="shared" ca="1" si="36"/>
        <v>10</v>
      </c>
      <c r="L496">
        <f t="shared" ref="L496:U499" ca="1" si="37">IF(ISBLANK($A496),0,VLOOKUP($A496,INDIRECT(CONCATENATE("Aug",$A$432)),MATCH(L$1,AugStatHeader,0),0)
+VLOOKUP(LEFT($A496,FIND(" (",$A496,1)-1),INDIRECT("BaseAugArmor"),MATCH(L$1,StatHeader,0),0))</f>
        <v>28</v>
      </c>
      <c r="M496">
        <f t="shared" ca="1" si="37"/>
        <v>15</v>
      </c>
      <c r="N496">
        <f t="shared" ca="1" si="37"/>
        <v>20</v>
      </c>
      <c r="O496">
        <f t="shared" ca="1" si="37"/>
        <v>20</v>
      </c>
      <c r="P496" s="8">
        <f t="shared" ca="1" si="37"/>
        <v>0</v>
      </c>
      <c r="Q496">
        <f t="shared" ca="1" si="37"/>
        <v>0</v>
      </c>
      <c r="R496">
        <f t="shared" ca="1" si="37"/>
        <v>0</v>
      </c>
      <c r="S496">
        <f t="shared" ca="1" si="37"/>
        <v>7</v>
      </c>
      <c r="T496">
        <f t="shared" ca="1" si="37"/>
        <v>7</v>
      </c>
      <c r="U496">
        <f t="shared" ca="1" si="37"/>
        <v>0</v>
      </c>
      <c r="V496" s="8">
        <f t="shared" ref="V496:AE499" ca="1" si="38">IF(ISBLANK($A496),0,VLOOKUP($A496,INDIRECT(CONCATENATE("Aug",$A$432)),MATCH(V$1,AugStatHeader,0),0)
+VLOOKUP(LEFT($A496,FIND(" (",$A496,1)-1),INDIRECT("BaseAugArmor"),MATCH(V$1,StatHeader,0),0))</f>
        <v>0</v>
      </c>
      <c r="W496" s="8">
        <f t="shared" ca="1" si="38"/>
        <v>0.02</v>
      </c>
      <c r="X496" s="8">
        <f t="shared" ca="1" si="38"/>
        <v>0</v>
      </c>
      <c r="Y496" s="8">
        <f t="shared" ca="1" si="38"/>
        <v>0</v>
      </c>
      <c r="Z496" s="8">
        <f t="shared" ca="1" si="38"/>
        <v>0</v>
      </c>
      <c r="AA496">
        <f t="shared" ca="1" si="38"/>
        <v>0</v>
      </c>
      <c r="AB496">
        <f t="shared" ca="1" si="38"/>
        <v>51</v>
      </c>
      <c r="AC496" s="8">
        <f t="shared" ca="1" si="38"/>
        <v>0</v>
      </c>
      <c r="AD496" s="8">
        <f t="shared" ca="1" si="38"/>
        <v>0</v>
      </c>
      <c r="AE496">
        <f t="shared" ca="1" si="38"/>
        <v>0</v>
      </c>
      <c r="AF496">
        <f t="shared" ref="AF496:AN499" ca="1" si="39">IF(ISBLANK($A496),0,VLOOKUP($A496,INDIRECT(CONCATENATE("Aug",$A$432)),MATCH(AF$1,AugStatHeader,0),0)
+VLOOKUP(LEFT($A496,FIND(" (",$A496,1)-1),INDIRECT("BaseAugArmor"),MATCH(AF$1,StatHeader,0),0))</f>
        <v>0</v>
      </c>
      <c r="AG496">
        <f t="shared" ca="1" si="39"/>
        <v>0</v>
      </c>
      <c r="AH496" s="8">
        <f t="shared" ca="1" si="39"/>
        <v>0</v>
      </c>
      <c r="AI496">
        <f t="shared" ca="1" si="39"/>
        <v>0</v>
      </c>
      <c r="AJ496">
        <f t="shared" ca="1" si="39"/>
        <v>0</v>
      </c>
      <c r="AK496">
        <f t="shared" ca="1" si="39"/>
        <v>0</v>
      </c>
      <c r="AL496">
        <f t="shared" ca="1" si="39"/>
        <v>0</v>
      </c>
      <c r="AM496" s="8">
        <f t="shared" ca="1" si="39"/>
        <v>0</v>
      </c>
      <c r="AN496">
        <f t="shared" ca="1" si="39"/>
        <v>0</v>
      </c>
    </row>
    <row r="497" spans="1:40" x14ac:dyDescent="0.2">
      <c r="A497" t="str">
        <f>Augments!A55</f>
        <v>Taeon Gloves (C.Rate)</v>
      </c>
      <c r="B497">
        <f t="shared" ca="1" si="36"/>
        <v>0</v>
      </c>
      <c r="C497">
        <f t="shared" ca="1" si="36"/>
        <v>0</v>
      </c>
      <c r="D497">
        <f t="shared" ca="1" si="36"/>
        <v>0</v>
      </c>
      <c r="E497">
        <f t="shared" ca="1" si="36"/>
        <v>0</v>
      </c>
      <c r="F497">
        <f t="shared" ca="1" si="36"/>
        <v>0</v>
      </c>
      <c r="G497">
        <f t="shared" ca="1" si="36"/>
        <v>16</v>
      </c>
      <c r="H497">
        <f t="shared" ca="1" si="36"/>
        <v>42</v>
      </c>
      <c r="I497">
        <f t="shared" ca="1" si="36"/>
        <v>30</v>
      </c>
      <c r="J497">
        <f t="shared" ca="1" si="36"/>
        <v>3</v>
      </c>
      <c r="K497">
        <f t="shared" ca="1" si="36"/>
        <v>10</v>
      </c>
      <c r="L497">
        <f t="shared" ca="1" si="37"/>
        <v>28</v>
      </c>
      <c r="M497">
        <f t="shared" ca="1" si="37"/>
        <v>15</v>
      </c>
      <c r="N497">
        <f t="shared" ca="1" si="37"/>
        <v>20</v>
      </c>
      <c r="O497">
        <f t="shared" ca="1" si="37"/>
        <v>20</v>
      </c>
      <c r="P497" s="8">
        <f t="shared" ca="1" si="37"/>
        <v>0</v>
      </c>
      <c r="Q497">
        <f t="shared" ca="1" si="37"/>
        <v>0</v>
      </c>
      <c r="R497">
        <f t="shared" ca="1" si="37"/>
        <v>0</v>
      </c>
      <c r="S497">
        <f t="shared" ca="1" si="37"/>
        <v>7</v>
      </c>
      <c r="T497">
        <f t="shared" ca="1" si="37"/>
        <v>7</v>
      </c>
      <c r="U497">
        <f t="shared" ca="1" si="37"/>
        <v>0</v>
      </c>
      <c r="V497" s="8">
        <f t="shared" ca="1" si="38"/>
        <v>0</v>
      </c>
      <c r="W497" s="8">
        <f t="shared" ca="1" si="38"/>
        <v>0</v>
      </c>
      <c r="X497" s="8">
        <f t="shared" ca="1" si="38"/>
        <v>0</v>
      </c>
      <c r="Y497" s="8">
        <f t="shared" ca="1" si="38"/>
        <v>0</v>
      </c>
      <c r="Z497" s="8">
        <f t="shared" ca="1" si="38"/>
        <v>0</v>
      </c>
      <c r="AA497">
        <f t="shared" ca="1" si="38"/>
        <v>0</v>
      </c>
      <c r="AB497">
        <f t="shared" ca="1" si="38"/>
        <v>51</v>
      </c>
      <c r="AC497" s="8">
        <f t="shared" ca="1" si="38"/>
        <v>0.03</v>
      </c>
      <c r="AD497" s="8">
        <f t="shared" ca="1" si="38"/>
        <v>0</v>
      </c>
      <c r="AE497">
        <f t="shared" ca="1" si="38"/>
        <v>0</v>
      </c>
      <c r="AF497">
        <f t="shared" ca="1" si="39"/>
        <v>0</v>
      </c>
      <c r="AG497">
        <f t="shared" ca="1" si="39"/>
        <v>0</v>
      </c>
      <c r="AH497" s="8">
        <f t="shared" ca="1" si="39"/>
        <v>0</v>
      </c>
      <c r="AI497">
        <f t="shared" ca="1" si="39"/>
        <v>0</v>
      </c>
      <c r="AJ497">
        <f t="shared" ca="1" si="39"/>
        <v>0</v>
      </c>
      <c r="AK497">
        <f t="shared" ca="1" si="39"/>
        <v>0</v>
      </c>
      <c r="AL497">
        <f t="shared" ca="1" si="39"/>
        <v>0</v>
      </c>
      <c r="AM497" s="8">
        <f t="shared" ca="1" si="39"/>
        <v>0</v>
      </c>
      <c r="AN497">
        <f t="shared" ca="1" si="39"/>
        <v>0</v>
      </c>
    </row>
    <row r="498" spans="1:40" x14ac:dyDescent="0.2">
      <c r="A498" t="str">
        <f>Augments!A56</f>
        <v>Taeon Gloves (Custom 1)</v>
      </c>
      <c r="B498">
        <f t="shared" ca="1" si="36"/>
        <v>0</v>
      </c>
      <c r="C498">
        <f t="shared" ca="1" si="36"/>
        <v>0</v>
      </c>
      <c r="D498">
        <f t="shared" ca="1" si="36"/>
        <v>0</v>
      </c>
      <c r="E498">
        <f t="shared" ca="1" si="36"/>
        <v>0</v>
      </c>
      <c r="F498">
        <f t="shared" ca="1" si="36"/>
        <v>0</v>
      </c>
      <c r="G498">
        <f t="shared" ca="1" si="36"/>
        <v>9</v>
      </c>
      <c r="H498">
        <f t="shared" ca="1" si="36"/>
        <v>35</v>
      </c>
      <c r="I498">
        <f t="shared" ca="1" si="36"/>
        <v>30</v>
      </c>
      <c r="J498">
        <f t="shared" ca="1" si="36"/>
        <v>3</v>
      </c>
      <c r="K498">
        <f t="shared" ca="1" si="36"/>
        <v>10</v>
      </c>
      <c r="L498">
        <f t="shared" ca="1" si="37"/>
        <v>28</v>
      </c>
      <c r="M498">
        <f t="shared" ca="1" si="37"/>
        <v>15</v>
      </c>
      <c r="N498">
        <f t="shared" ca="1" si="37"/>
        <v>0</v>
      </c>
      <c r="O498">
        <f t="shared" ca="1" si="37"/>
        <v>0</v>
      </c>
      <c r="P498" s="8">
        <f t="shared" ca="1" si="37"/>
        <v>0</v>
      </c>
      <c r="Q498">
        <f t="shared" ca="1" si="37"/>
        <v>0</v>
      </c>
      <c r="R498">
        <f t="shared" ca="1" si="37"/>
        <v>0</v>
      </c>
      <c r="S498">
        <f t="shared" ca="1" si="37"/>
        <v>7</v>
      </c>
      <c r="T498">
        <f t="shared" ca="1" si="37"/>
        <v>7</v>
      </c>
      <c r="U498">
        <f t="shared" ca="1" si="37"/>
        <v>0</v>
      </c>
      <c r="V498" s="8">
        <f t="shared" ca="1" si="38"/>
        <v>0</v>
      </c>
      <c r="W498" s="8">
        <f t="shared" ca="1" si="38"/>
        <v>0</v>
      </c>
      <c r="X498" s="8">
        <f t="shared" ca="1" si="38"/>
        <v>0</v>
      </c>
      <c r="Y498" s="8">
        <f t="shared" ca="1" si="38"/>
        <v>0</v>
      </c>
      <c r="Z498" s="8">
        <f t="shared" ca="1" si="38"/>
        <v>0</v>
      </c>
      <c r="AA498">
        <f t="shared" ca="1" si="38"/>
        <v>0</v>
      </c>
      <c r="AB498">
        <f t="shared" ca="1" si="38"/>
        <v>51</v>
      </c>
      <c r="AC498" s="8">
        <f t="shared" ca="1" si="38"/>
        <v>0</v>
      </c>
      <c r="AD498" s="8">
        <f t="shared" ca="1" si="38"/>
        <v>0</v>
      </c>
      <c r="AE498">
        <f t="shared" ca="1" si="38"/>
        <v>0</v>
      </c>
      <c r="AF498">
        <f t="shared" ca="1" si="39"/>
        <v>0</v>
      </c>
      <c r="AG498">
        <f t="shared" ca="1" si="39"/>
        <v>0</v>
      </c>
      <c r="AH498" s="8">
        <f t="shared" ca="1" si="39"/>
        <v>0</v>
      </c>
      <c r="AI498">
        <f t="shared" ca="1" si="39"/>
        <v>0</v>
      </c>
      <c r="AJ498">
        <f t="shared" ca="1" si="39"/>
        <v>0</v>
      </c>
      <c r="AK498">
        <f t="shared" ca="1" si="39"/>
        <v>0</v>
      </c>
      <c r="AL498">
        <f t="shared" ca="1" si="39"/>
        <v>0</v>
      </c>
      <c r="AM498" s="8">
        <f t="shared" ca="1" si="39"/>
        <v>0</v>
      </c>
      <c r="AN498">
        <f t="shared" ca="1" si="39"/>
        <v>0</v>
      </c>
    </row>
    <row r="499" spans="1:40" x14ac:dyDescent="0.2">
      <c r="A499" t="str">
        <f>Augments!A57</f>
        <v>Taeon Gloves (Custom 2)</v>
      </c>
      <c r="B499">
        <f t="shared" ca="1" si="36"/>
        <v>0</v>
      </c>
      <c r="C499">
        <f t="shared" ca="1" si="36"/>
        <v>0</v>
      </c>
      <c r="D499">
        <f t="shared" ca="1" si="36"/>
        <v>0</v>
      </c>
      <c r="E499">
        <f t="shared" ca="1" si="36"/>
        <v>0</v>
      </c>
      <c r="F499">
        <f t="shared" ca="1" si="36"/>
        <v>0</v>
      </c>
      <c r="G499">
        <f t="shared" ca="1" si="36"/>
        <v>9</v>
      </c>
      <c r="H499">
        <f t="shared" ca="1" si="36"/>
        <v>35</v>
      </c>
      <c r="I499">
        <f t="shared" ca="1" si="36"/>
        <v>30</v>
      </c>
      <c r="J499">
        <f t="shared" ca="1" si="36"/>
        <v>3</v>
      </c>
      <c r="K499">
        <f t="shared" ca="1" si="36"/>
        <v>10</v>
      </c>
      <c r="L499">
        <f t="shared" ca="1" si="37"/>
        <v>28</v>
      </c>
      <c r="M499">
        <f t="shared" ca="1" si="37"/>
        <v>15</v>
      </c>
      <c r="N499">
        <f t="shared" ca="1" si="37"/>
        <v>0</v>
      </c>
      <c r="O499">
        <f t="shared" ca="1" si="37"/>
        <v>0</v>
      </c>
      <c r="P499" s="8">
        <f t="shared" ca="1" si="37"/>
        <v>0</v>
      </c>
      <c r="Q499">
        <f t="shared" ca="1" si="37"/>
        <v>0</v>
      </c>
      <c r="R499">
        <f t="shared" ca="1" si="37"/>
        <v>0</v>
      </c>
      <c r="S499">
        <f t="shared" ca="1" si="37"/>
        <v>7</v>
      </c>
      <c r="T499">
        <f t="shared" ca="1" si="37"/>
        <v>7</v>
      </c>
      <c r="U499">
        <f t="shared" ca="1" si="37"/>
        <v>0</v>
      </c>
      <c r="V499" s="8">
        <f t="shared" ca="1" si="38"/>
        <v>0</v>
      </c>
      <c r="W499" s="8">
        <f t="shared" ca="1" si="38"/>
        <v>0</v>
      </c>
      <c r="X499" s="8">
        <f t="shared" ca="1" si="38"/>
        <v>0</v>
      </c>
      <c r="Y499" s="8">
        <f t="shared" ca="1" si="38"/>
        <v>0</v>
      </c>
      <c r="Z499" s="8">
        <f t="shared" ca="1" si="38"/>
        <v>0</v>
      </c>
      <c r="AA499">
        <f t="shared" ca="1" si="38"/>
        <v>0</v>
      </c>
      <c r="AB499">
        <f t="shared" ca="1" si="38"/>
        <v>51</v>
      </c>
      <c r="AC499" s="8">
        <f t="shared" ca="1" si="38"/>
        <v>0</v>
      </c>
      <c r="AD499" s="8">
        <f t="shared" ca="1" si="38"/>
        <v>0</v>
      </c>
      <c r="AE499">
        <f t="shared" ca="1" si="38"/>
        <v>0</v>
      </c>
      <c r="AF499">
        <f t="shared" ca="1" si="39"/>
        <v>0</v>
      </c>
      <c r="AG499">
        <f t="shared" ca="1" si="39"/>
        <v>0</v>
      </c>
      <c r="AH499" s="8">
        <f t="shared" ca="1" si="39"/>
        <v>0</v>
      </c>
      <c r="AI499">
        <f t="shared" ca="1" si="39"/>
        <v>0</v>
      </c>
      <c r="AJ499">
        <f t="shared" ca="1" si="39"/>
        <v>0</v>
      </c>
      <c r="AK499">
        <f t="shared" ca="1" si="39"/>
        <v>0</v>
      </c>
      <c r="AL499">
        <f t="shared" ca="1" si="39"/>
        <v>0</v>
      </c>
      <c r="AM499" s="8">
        <f t="shared" ca="1" si="39"/>
        <v>0</v>
      </c>
      <c r="AN499">
        <f t="shared" ca="1" si="39"/>
        <v>0</v>
      </c>
    </row>
    <row r="500" spans="1:40" x14ac:dyDescent="0.2">
      <c r="A500" s="144" t="s">
        <v>787</v>
      </c>
      <c r="G500">
        <v>11</v>
      </c>
      <c r="H500">
        <v>35</v>
      </c>
      <c r="I500">
        <v>36</v>
      </c>
      <c r="J500">
        <v>5</v>
      </c>
      <c r="K500">
        <v>12</v>
      </c>
      <c r="L500">
        <v>30</v>
      </c>
      <c r="M500">
        <v>17</v>
      </c>
      <c r="N500">
        <v>13</v>
      </c>
      <c r="V500" s="8"/>
      <c r="W500" s="8"/>
      <c r="X500" s="8"/>
      <c r="Y500" s="8"/>
      <c r="Z500" s="8"/>
      <c r="AA500" s="8"/>
      <c r="AB500" s="4">
        <v>51</v>
      </c>
      <c r="AC500" s="8"/>
      <c r="AD500" s="8"/>
      <c r="AE500"/>
      <c r="AF500" s="8"/>
      <c r="AG500" s="8"/>
      <c r="AH500" s="8"/>
      <c r="AL500" s="8"/>
      <c r="AM500" s="8"/>
    </row>
    <row r="501" spans="1:40" x14ac:dyDescent="0.2">
      <c r="A501" s="3" t="s">
        <v>798</v>
      </c>
      <c r="G501">
        <v>13</v>
      </c>
      <c r="H501">
        <v>33</v>
      </c>
      <c r="I501">
        <v>33</v>
      </c>
      <c r="J501">
        <v>8</v>
      </c>
      <c r="K501">
        <v>7</v>
      </c>
      <c r="L501">
        <v>24</v>
      </c>
      <c r="M501">
        <v>17</v>
      </c>
      <c r="N501">
        <v>10</v>
      </c>
      <c r="O501">
        <v>10</v>
      </c>
      <c r="V501" s="8"/>
      <c r="W501" s="8"/>
      <c r="X501" s="8"/>
      <c r="Y501" s="8"/>
      <c r="Z501" s="8">
        <v>0.1</v>
      </c>
      <c r="AA501" s="8"/>
      <c r="AB501" s="4">
        <v>40</v>
      </c>
      <c r="AC501" s="8"/>
      <c r="AD501" s="8"/>
      <c r="AE501"/>
      <c r="AF501" s="8"/>
      <c r="AG501" s="8"/>
      <c r="AH501" s="8"/>
      <c r="AL501" s="4"/>
      <c r="AM501" s="8"/>
    </row>
    <row r="502" spans="1:40" x14ac:dyDescent="0.2">
      <c r="A502" t="str">
        <f>Augments!A58</f>
        <v>Valorous Mitts (Custom 1)</v>
      </c>
      <c r="B502">
        <f t="shared" ref="B502:K507" ca="1" si="40">IF(ISBLANK($A502),0,VLOOKUP($A502,INDIRECT(CONCATENATE("Aug",$A$432)),MATCH(B$1,AugStatHeader,0),0)
+VLOOKUP(LEFT($A502,FIND(" (",$A502,1)-1),INDIRECT("BaseAugArmor"),MATCH(B$1,StatHeader,0),0))</f>
        <v>0</v>
      </c>
      <c r="C502">
        <f t="shared" ca="1" si="40"/>
        <v>0</v>
      </c>
      <c r="D502">
        <f t="shared" ca="1" si="40"/>
        <v>0</v>
      </c>
      <c r="E502">
        <f t="shared" ca="1" si="40"/>
        <v>0</v>
      </c>
      <c r="F502">
        <f t="shared" ca="1" si="40"/>
        <v>0</v>
      </c>
      <c r="G502">
        <f t="shared" ca="1" si="40"/>
        <v>13</v>
      </c>
      <c r="H502">
        <f t="shared" ca="1" si="40"/>
        <v>33</v>
      </c>
      <c r="I502">
        <f t="shared" ca="1" si="40"/>
        <v>33</v>
      </c>
      <c r="J502">
        <f t="shared" ca="1" si="40"/>
        <v>8</v>
      </c>
      <c r="K502">
        <f t="shared" ca="1" si="40"/>
        <v>7</v>
      </c>
      <c r="L502">
        <f t="shared" ref="L502:U507" ca="1" si="41">IF(ISBLANK($A502),0,VLOOKUP($A502,INDIRECT(CONCATENATE("Aug",$A$432)),MATCH(L$1,AugStatHeader,0),0)
+VLOOKUP(LEFT($A502,FIND(" (",$A502,1)-1),INDIRECT("BaseAugArmor"),MATCH(L$1,StatHeader,0),0))</f>
        <v>24</v>
      </c>
      <c r="M502">
        <f t="shared" ca="1" si="41"/>
        <v>17</v>
      </c>
      <c r="N502">
        <f t="shared" ca="1" si="41"/>
        <v>10</v>
      </c>
      <c r="O502">
        <f t="shared" ca="1" si="41"/>
        <v>10</v>
      </c>
      <c r="P502" s="8">
        <f t="shared" ca="1" si="41"/>
        <v>0</v>
      </c>
      <c r="Q502">
        <f t="shared" ca="1" si="41"/>
        <v>0</v>
      </c>
      <c r="R502">
        <f t="shared" ca="1" si="41"/>
        <v>0</v>
      </c>
      <c r="S502">
        <f t="shared" ca="1" si="41"/>
        <v>0</v>
      </c>
      <c r="T502">
        <f t="shared" ca="1" si="41"/>
        <v>0</v>
      </c>
      <c r="U502">
        <f t="shared" ca="1" si="41"/>
        <v>0</v>
      </c>
      <c r="V502" s="8">
        <f t="shared" ref="V502:AE507" ca="1" si="42">IF(ISBLANK($A502),0,VLOOKUP($A502,INDIRECT(CONCATENATE("Aug",$A$432)),MATCH(V$1,AugStatHeader,0),0)
+VLOOKUP(LEFT($A502,FIND(" (",$A502,1)-1),INDIRECT("BaseAugArmor"),MATCH(V$1,StatHeader,0),0))</f>
        <v>0</v>
      </c>
      <c r="W502" s="8">
        <f t="shared" ca="1" si="42"/>
        <v>0</v>
      </c>
      <c r="X502" s="8">
        <f t="shared" ca="1" si="42"/>
        <v>0</v>
      </c>
      <c r="Y502" s="8">
        <f t="shared" ca="1" si="42"/>
        <v>0</v>
      </c>
      <c r="Z502" s="8">
        <f t="shared" ca="1" si="42"/>
        <v>0.1</v>
      </c>
      <c r="AA502">
        <f t="shared" ca="1" si="42"/>
        <v>0</v>
      </c>
      <c r="AB502">
        <f t="shared" ca="1" si="42"/>
        <v>40</v>
      </c>
      <c r="AC502" s="8">
        <f t="shared" ca="1" si="42"/>
        <v>0</v>
      </c>
      <c r="AD502" s="8">
        <f t="shared" ca="1" si="42"/>
        <v>0</v>
      </c>
      <c r="AE502">
        <f t="shared" ca="1" si="42"/>
        <v>0</v>
      </c>
      <c r="AF502">
        <f t="shared" ref="AF502:AN507" ca="1" si="43">IF(ISBLANK($A502),0,VLOOKUP($A502,INDIRECT(CONCATENATE("Aug",$A$432)),MATCH(AF$1,AugStatHeader,0),0)
+VLOOKUP(LEFT($A502,FIND(" (",$A502,1)-1),INDIRECT("BaseAugArmor"),MATCH(AF$1,StatHeader,0),0))</f>
        <v>0</v>
      </c>
      <c r="AG502">
        <f t="shared" ca="1" si="43"/>
        <v>0</v>
      </c>
      <c r="AH502" s="8">
        <f t="shared" ca="1" si="43"/>
        <v>0</v>
      </c>
      <c r="AI502">
        <f t="shared" ca="1" si="43"/>
        <v>0</v>
      </c>
      <c r="AJ502">
        <f t="shared" ca="1" si="43"/>
        <v>0</v>
      </c>
      <c r="AK502">
        <f t="shared" ca="1" si="43"/>
        <v>0</v>
      </c>
      <c r="AL502">
        <f t="shared" ca="1" si="43"/>
        <v>0</v>
      </c>
      <c r="AM502" s="8">
        <f t="shared" ca="1" si="43"/>
        <v>0</v>
      </c>
      <c r="AN502">
        <f t="shared" ca="1" si="43"/>
        <v>0</v>
      </c>
    </row>
    <row r="503" spans="1:40" x14ac:dyDescent="0.2">
      <c r="A503" t="str">
        <f>Augments!A59</f>
        <v>Valorous Mitts (Custom 2)</v>
      </c>
      <c r="B503">
        <f t="shared" ca="1" si="40"/>
        <v>0</v>
      </c>
      <c r="C503">
        <f t="shared" ca="1" si="40"/>
        <v>0</v>
      </c>
      <c r="D503">
        <f t="shared" ca="1" si="40"/>
        <v>0</v>
      </c>
      <c r="E503">
        <f t="shared" ca="1" si="40"/>
        <v>0</v>
      </c>
      <c r="F503">
        <f t="shared" ca="1" si="40"/>
        <v>0</v>
      </c>
      <c r="G503">
        <f t="shared" ca="1" si="40"/>
        <v>13</v>
      </c>
      <c r="H503">
        <f t="shared" ca="1" si="40"/>
        <v>33</v>
      </c>
      <c r="I503">
        <f t="shared" ca="1" si="40"/>
        <v>33</v>
      </c>
      <c r="J503">
        <f t="shared" ca="1" si="40"/>
        <v>8</v>
      </c>
      <c r="K503">
        <f t="shared" ca="1" si="40"/>
        <v>7</v>
      </c>
      <c r="L503">
        <f t="shared" ca="1" si="41"/>
        <v>24</v>
      </c>
      <c r="M503">
        <f t="shared" ca="1" si="41"/>
        <v>17</v>
      </c>
      <c r="N503">
        <f t="shared" ca="1" si="41"/>
        <v>10</v>
      </c>
      <c r="O503">
        <f t="shared" ca="1" si="41"/>
        <v>10</v>
      </c>
      <c r="P503" s="8">
        <f t="shared" ca="1" si="41"/>
        <v>0</v>
      </c>
      <c r="Q503">
        <f t="shared" ca="1" si="41"/>
        <v>0</v>
      </c>
      <c r="R503">
        <f t="shared" ca="1" si="41"/>
        <v>0</v>
      </c>
      <c r="S503">
        <f t="shared" ca="1" si="41"/>
        <v>0</v>
      </c>
      <c r="T503">
        <f t="shared" ca="1" si="41"/>
        <v>0</v>
      </c>
      <c r="U503">
        <f t="shared" ca="1" si="41"/>
        <v>0</v>
      </c>
      <c r="V503" s="8">
        <f t="shared" ca="1" si="42"/>
        <v>0</v>
      </c>
      <c r="W503" s="8">
        <f t="shared" ca="1" si="42"/>
        <v>0</v>
      </c>
      <c r="X503" s="8">
        <f t="shared" ca="1" si="42"/>
        <v>0</v>
      </c>
      <c r="Y503" s="8">
        <f t="shared" ca="1" si="42"/>
        <v>0</v>
      </c>
      <c r="Z503" s="8">
        <f t="shared" ca="1" si="42"/>
        <v>0.1</v>
      </c>
      <c r="AA503">
        <f t="shared" ca="1" si="42"/>
        <v>0</v>
      </c>
      <c r="AB503">
        <f t="shared" ca="1" si="42"/>
        <v>40</v>
      </c>
      <c r="AC503" s="8">
        <f t="shared" ca="1" si="42"/>
        <v>0</v>
      </c>
      <c r="AD503" s="8">
        <f t="shared" ca="1" si="42"/>
        <v>0</v>
      </c>
      <c r="AE503">
        <f t="shared" ca="1" si="42"/>
        <v>0</v>
      </c>
      <c r="AF503">
        <f t="shared" ca="1" si="43"/>
        <v>0</v>
      </c>
      <c r="AG503">
        <f t="shared" ca="1" si="43"/>
        <v>0</v>
      </c>
      <c r="AH503" s="8">
        <f t="shared" ca="1" si="43"/>
        <v>0</v>
      </c>
      <c r="AI503">
        <f t="shared" ca="1" si="43"/>
        <v>0</v>
      </c>
      <c r="AJ503">
        <f t="shared" ca="1" si="43"/>
        <v>0</v>
      </c>
      <c r="AK503">
        <f t="shared" ca="1" si="43"/>
        <v>0</v>
      </c>
      <c r="AL503">
        <f t="shared" ca="1" si="43"/>
        <v>0</v>
      </c>
      <c r="AM503" s="8">
        <f t="shared" ca="1" si="43"/>
        <v>0</v>
      </c>
      <c r="AN503">
        <f t="shared" ca="1" si="43"/>
        <v>0</v>
      </c>
    </row>
    <row r="504" spans="1:40" x14ac:dyDescent="0.2">
      <c r="A504" t="str">
        <f>Augments!A60</f>
        <v>Valorous Mitts (Custom 3)</v>
      </c>
      <c r="B504">
        <f t="shared" ca="1" si="40"/>
        <v>0</v>
      </c>
      <c r="C504">
        <f t="shared" ca="1" si="40"/>
        <v>0</v>
      </c>
      <c r="D504">
        <f t="shared" ca="1" si="40"/>
        <v>0</v>
      </c>
      <c r="E504">
        <f t="shared" ca="1" si="40"/>
        <v>0</v>
      </c>
      <c r="F504">
        <f t="shared" ca="1" si="40"/>
        <v>0</v>
      </c>
      <c r="G504">
        <f t="shared" ca="1" si="40"/>
        <v>13</v>
      </c>
      <c r="H504">
        <f t="shared" ca="1" si="40"/>
        <v>33</v>
      </c>
      <c r="I504">
        <f t="shared" ca="1" si="40"/>
        <v>33</v>
      </c>
      <c r="J504">
        <f t="shared" ca="1" si="40"/>
        <v>8</v>
      </c>
      <c r="K504">
        <f t="shared" ca="1" si="40"/>
        <v>7</v>
      </c>
      <c r="L504">
        <f t="shared" ca="1" si="41"/>
        <v>24</v>
      </c>
      <c r="M504">
        <f t="shared" ca="1" si="41"/>
        <v>17</v>
      </c>
      <c r="N504">
        <f t="shared" ca="1" si="41"/>
        <v>10</v>
      </c>
      <c r="O504">
        <f t="shared" ca="1" si="41"/>
        <v>10</v>
      </c>
      <c r="P504" s="8">
        <f t="shared" ca="1" si="41"/>
        <v>0</v>
      </c>
      <c r="Q504">
        <f t="shared" ca="1" si="41"/>
        <v>0</v>
      </c>
      <c r="R504">
        <f t="shared" ca="1" si="41"/>
        <v>0</v>
      </c>
      <c r="S504">
        <f t="shared" ca="1" si="41"/>
        <v>0</v>
      </c>
      <c r="T504">
        <f t="shared" ca="1" si="41"/>
        <v>0</v>
      </c>
      <c r="U504">
        <f t="shared" ca="1" si="41"/>
        <v>0</v>
      </c>
      <c r="V504" s="8">
        <f t="shared" ca="1" si="42"/>
        <v>0</v>
      </c>
      <c r="W504" s="8">
        <f t="shared" ca="1" si="42"/>
        <v>0</v>
      </c>
      <c r="X504" s="8">
        <f t="shared" ca="1" si="42"/>
        <v>0</v>
      </c>
      <c r="Y504" s="8">
        <f t="shared" ca="1" si="42"/>
        <v>0</v>
      </c>
      <c r="Z504" s="8">
        <f t="shared" ca="1" si="42"/>
        <v>0.1</v>
      </c>
      <c r="AA504">
        <f t="shared" ca="1" si="42"/>
        <v>0</v>
      </c>
      <c r="AB504">
        <f t="shared" ca="1" si="42"/>
        <v>40</v>
      </c>
      <c r="AC504" s="8">
        <f t="shared" ca="1" si="42"/>
        <v>0</v>
      </c>
      <c r="AD504" s="8">
        <f t="shared" ca="1" si="42"/>
        <v>0</v>
      </c>
      <c r="AE504">
        <f t="shared" ca="1" si="42"/>
        <v>0</v>
      </c>
      <c r="AF504">
        <f t="shared" ca="1" si="43"/>
        <v>0</v>
      </c>
      <c r="AG504">
        <f t="shared" ca="1" si="43"/>
        <v>0</v>
      </c>
      <c r="AH504" s="8">
        <f t="shared" ca="1" si="43"/>
        <v>0</v>
      </c>
      <c r="AI504">
        <f t="shared" ca="1" si="43"/>
        <v>0</v>
      </c>
      <c r="AJ504">
        <f t="shared" ca="1" si="43"/>
        <v>0</v>
      </c>
      <c r="AK504">
        <f t="shared" ca="1" si="43"/>
        <v>0</v>
      </c>
      <c r="AL504">
        <f t="shared" ca="1" si="43"/>
        <v>0</v>
      </c>
      <c r="AM504" s="8">
        <f t="shared" ca="1" si="43"/>
        <v>0</v>
      </c>
      <c r="AN504">
        <f t="shared" ca="1" si="43"/>
        <v>0</v>
      </c>
    </row>
    <row r="505" spans="1:40" x14ac:dyDescent="0.2">
      <c r="A505" t="str">
        <f>Augments!A61</f>
        <v>Valorous Mitts (Custom 4)</v>
      </c>
      <c r="B505">
        <f t="shared" ca="1" si="40"/>
        <v>0</v>
      </c>
      <c r="C505">
        <f t="shared" ca="1" si="40"/>
        <v>0</v>
      </c>
      <c r="D505">
        <f t="shared" ca="1" si="40"/>
        <v>0</v>
      </c>
      <c r="E505">
        <f t="shared" ca="1" si="40"/>
        <v>0</v>
      </c>
      <c r="F505">
        <f t="shared" ca="1" si="40"/>
        <v>0</v>
      </c>
      <c r="G505">
        <f t="shared" ca="1" si="40"/>
        <v>13</v>
      </c>
      <c r="H505">
        <f t="shared" ca="1" si="40"/>
        <v>33</v>
      </c>
      <c r="I505">
        <f t="shared" ca="1" si="40"/>
        <v>33</v>
      </c>
      <c r="J505">
        <f t="shared" ca="1" si="40"/>
        <v>8</v>
      </c>
      <c r="K505">
        <f t="shared" ca="1" si="40"/>
        <v>7</v>
      </c>
      <c r="L505">
        <f t="shared" ca="1" si="41"/>
        <v>24</v>
      </c>
      <c r="M505">
        <f t="shared" ca="1" si="41"/>
        <v>17</v>
      </c>
      <c r="N505">
        <f t="shared" ca="1" si="41"/>
        <v>10</v>
      </c>
      <c r="O505">
        <f t="shared" ca="1" si="41"/>
        <v>10</v>
      </c>
      <c r="P505" s="8">
        <f t="shared" ca="1" si="41"/>
        <v>0</v>
      </c>
      <c r="Q505">
        <f t="shared" ca="1" si="41"/>
        <v>0</v>
      </c>
      <c r="R505">
        <f t="shared" ca="1" si="41"/>
        <v>0</v>
      </c>
      <c r="S505">
        <f t="shared" ca="1" si="41"/>
        <v>0</v>
      </c>
      <c r="T505">
        <f t="shared" ca="1" si="41"/>
        <v>0</v>
      </c>
      <c r="U505">
        <f t="shared" ca="1" si="41"/>
        <v>0</v>
      </c>
      <c r="V505" s="8">
        <f t="shared" ca="1" si="42"/>
        <v>0</v>
      </c>
      <c r="W505" s="8">
        <f t="shared" ca="1" si="42"/>
        <v>0</v>
      </c>
      <c r="X505" s="8">
        <f t="shared" ca="1" si="42"/>
        <v>0</v>
      </c>
      <c r="Y505" s="8">
        <f t="shared" ca="1" si="42"/>
        <v>0</v>
      </c>
      <c r="Z505" s="8">
        <f t="shared" ca="1" si="42"/>
        <v>0.1</v>
      </c>
      <c r="AA505">
        <f t="shared" ca="1" si="42"/>
        <v>0</v>
      </c>
      <c r="AB505">
        <f t="shared" ca="1" si="42"/>
        <v>40</v>
      </c>
      <c r="AC505" s="8">
        <f t="shared" ca="1" si="42"/>
        <v>0</v>
      </c>
      <c r="AD505" s="8">
        <f t="shared" ca="1" si="42"/>
        <v>0</v>
      </c>
      <c r="AE505">
        <f t="shared" ca="1" si="42"/>
        <v>0</v>
      </c>
      <c r="AF505">
        <f t="shared" ca="1" si="43"/>
        <v>0</v>
      </c>
      <c r="AG505">
        <f t="shared" ca="1" si="43"/>
        <v>0</v>
      </c>
      <c r="AH505" s="8">
        <f t="shared" ca="1" si="43"/>
        <v>0</v>
      </c>
      <c r="AI505">
        <f t="shared" ca="1" si="43"/>
        <v>0</v>
      </c>
      <c r="AJ505">
        <f t="shared" ca="1" si="43"/>
        <v>0</v>
      </c>
      <c r="AK505">
        <f t="shared" ca="1" si="43"/>
        <v>0</v>
      </c>
      <c r="AL505">
        <f t="shared" ca="1" si="43"/>
        <v>0</v>
      </c>
      <c r="AM505" s="8">
        <f t="shared" ca="1" si="43"/>
        <v>0</v>
      </c>
      <c r="AN505">
        <f t="shared" ca="1" si="43"/>
        <v>0</v>
      </c>
    </row>
    <row r="506" spans="1:40" x14ac:dyDescent="0.2">
      <c r="A506" t="str">
        <f>Augments!A62</f>
        <v>Valorous Mitts (Custom 5)</v>
      </c>
      <c r="B506">
        <f t="shared" ca="1" si="40"/>
        <v>0</v>
      </c>
      <c r="C506">
        <f t="shared" ca="1" si="40"/>
        <v>0</v>
      </c>
      <c r="D506">
        <f t="shared" ca="1" si="40"/>
        <v>0</v>
      </c>
      <c r="E506">
        <f t="shared" ca="1" si="40"/>
        <v>0</v>
      </c>
      <c r="F506">
        <f t="shared" ca="1" si="40"/>
        <v>0</v>
      </c>
      <c r="G506">
        <f t="shared" ca="1" si="40"/>
        <v>13</v>
      </c>
      <c r="H506">
        <f t="shared" ca="1" si="40"/>
        <v>33</v>
      </c>
      <c r="I506">
        <f t="shared" ca="1" si="40"/>
        <v>33</v>
      </c>
      <c r="J506">
        <f t="shared" ca="1" si="40"/>
        <v>8</v>
      </c>
      <c r="K506">
        <f t="shared" ca="1" si="40"/>
        <v>7</v>
      </c>
      <c r="L506">
        <f t="shared" ca="1" si="41"/>
        <v>24</v>
      </c>
      <c r="M506">
        <f t="shared" ca="1" si="41"/>
        <v>17</v>
      </c>
      <c r="N506">
        <f t="shared" ca="1" si="41"/>
        <v>10</v>
      </c>
      <c r="O506">
        <f t="shared" ca="1" si="41"/>
        <v>10</v>
      </c>
      <c r="P506" s="8">
        <f t="shared" ca="1" si="41"/>
        <v>0</v>
      </c>
      <c r="Q506">
        <f t="shared" ca="1" si="41"/>
        <v>0</v>
      </c>
      <c r="R506">
        <f t="shared" ca="1" si="41"/>
        <v>0</v>
      </c>
      <c r="S506">
        <f t="shared" ca="1" si="41"/>
        <v>0</v>
      </c>
      <c r="T506">
        <f t="shared" ca="1" si="41"/>
        <v>0</v>
      </c>
      <c r="U506">
        <f t="shared" ca="1" si="41"/>
        <v>0</v>
      </c>
      <c r="V506" s="8">
        <f t="shared" ca="1" si="42"/>
        <v>0</v>
      </c>
      <c r="W506" s="8">
        <f t="shared" ca="1" si="42"/>
        <v>0</v>
      </c>
      <c r="X506" s="8">
        <f t="shared" ca="1" si="42"/>
        <v>0</v>
      </c>
      <c r="Y506" s="8">
        <f t="shared" ca="1" si="42"/>
        <v>0</v>
      </c>
      <c r="Z506" s="8">
        <f t="shared" ca="1" si="42"/>
        <v>0.1</v>
      </c>
      <c r="AA506">
        <f t="shared" ca="1" si="42"/>
        <v>0</v>
      </c>
      <c r="AB506">
        <f t="shared" ca="1" si="42"/>
        <v>40</v>
      </c>
      <c r="AC506" s="8">
        <f t="shared" ca="1" si="42"/>
        <v>0</v>
      </c>
      <c r="AD506" s="8">
        <f t="shared" ca="1" si="42"/>
        <v>0</v>
      </c>
      <c r="AE506">
        <f t="shared" ca="1" si="42"/>
        <v>0</v>
      </c>
      <c r="AF506">
        <f t="shared" ca="1" si="43"/>
        <v>0</v>
      </c>
      <c r="AG506">
        <f t="shared" ca="1" si="43"/>
        <v>0</v>
      </c>
      <c r="AH506" s="8">
        <f t="shared" ca="1" si="43"/>
        <v>0</v>
      </c>
      <c r="AI506">
        <f t="shared" ca="1" si="43"/>
        <v>0</v>
      </c>
      <c r="AJ506">
        <f t="shared" ca="1" si="43"/>
        <v>0</v>
      </c>
      <c r="AK506">
        <f t="shared" ca="1" si="43"/>
        <v>0</v>
      </c>
      <c r="AL506">
        <f t="shared" ca="1" si="43"/>
        <v>0</v>
      </c>
      <c r="AM506" s="8">
        <f t="shared" ca="1" si="43"/>
        <v>0</v>
      </c>
      <c r="AN506">
        <f t="shared" ca="1" si="43"/>
        <v>0</v>
      </c>
    </row>
    <row r="507" spans="1:40" x14ac:dyDescent="0.2">
      <c r="A507" t="str">
        <f>Augments!A63</f>
        <v>Valorous Mitts (Custom 6)</v>
      </c>
      <c r="B507">
        <f t="shared" ca="1" si="40"/>
        <v>0</v>
      </c>
      <c r="C507">
        <f t="shared" ca="1" si="40"/>
        <v>0</v>
      </c>
      <c r="D507">
        <f t="shared" ca="1" si="40"/>
        <v>0</v>
      </c>
      <c r="E507">
        <f t="shared" ca="1" si="40"/>
        <v>0</v>
      </c>
      <c r="F507">
        <f t="shared" ca="1" si="40"/>
        <v>0</v>
      </c>
      <c r="G507">
        <f t="shared" ca="1" si="40"/>
        <v>13</v>
      </c>
      <c r="H507">
        <f t="shared" ca="1" si="40"/>
        <v>33</v>
      </c>
      <c r="I507">
        <f t="shared" ca="1" si="40"/>
        <v>33</v>
      </c>
      <c r="J507">
        <f t="shared" ca="1" si="40"/>
        <v>8</v>
      </c>
      <c r="K507">
        <f t="shared" ca="1" si="40"/>
        <v>7</v>
      </c>
      <c r="L507">
        <f t="shared" ca="1" si="41"/>
        <v>24</v>
      </c>
      <c r="M507">
        <f t="shared" ca="1" si="41"/>
        <v>17</v>
      </c>
      <c r="N507">
        <f t="shared" ca="1" si="41"/>
        <v>10</v>
      </c>
      <c r="O507">
        <f t="shared" ca="1" si="41"/>
        <v>10</v>
      </c>
      <c r="P507" s="8">
        <f t="shared" ca="1" si="41"/>
        <v>0</v>
      </c>
      <c r="Q507">
        <f t="shared" ca="1" si="41"/>
        <v>0</v>
      </c>
      <c r="R507">
        <f t="shared" ca="1" si="41"/>
        <v>0</v>
      </c>
      <c r="S507">
        <f t="shared" ca="1" si="41"/>
        <v>0</v>
      </c>
      <c r="T507">
        <f t="shared" ca="1" si="41"/>
        <v>0</v>
      </c>
      <c r="U507">
        <f t="shared" ca="1" si="41"/>
        <v>0</v>
      </c>
      <c r="V507" s="8">
        <f t="shared" ca="1" si="42"/>
        <v>0</v>
      </c>
      <c r="W507" s="8">
        <f t="shared" ca="1" si="42"/>
        <v>0</v>
      </c>
      <c r="X507" s="8">
        <f t="shared" ca="1" si="42"/>
        <v>0</v>
      </c>
      <c r="Y507" s="8">
        <f t="shared" ca="1" si="42"/>
        <v>0</v>
      </c>
      <c r="Z507" s="8">
        <f t="shared" ca="1" si="42"/>
        <v>0.1</v>
      </c>
      <c r="AA507">
        <f t="shared" ca="1" si="42"/>
        <v>0</v>
      </c>
      <c r="AB507">
        <f t="shared" ca="1" si="42"/>
        <v>40</v>
      </c>
      <c r="AC507" s="8">
        <f t="shared" ca="1" si="42"/>
        <v>0</v>
      </c>
      <c r="AD507" s="8">
        <f t="shared" ca="1" si="42"/>
        <v>0</v>
      </c>
      <c r="AE507">
        <f t="shared" ca="1" si="42"/>
        <v>0</v>
      </c>
      <c r="AF507">
        <f t="shared" ca="1" si="43"/>
        <v>0</v>
      </c>
      <c r="AG507">
        <f t="shared" ca="1" si="43"/>
        <v>0</v>
      </c>
      <c r="AH507" s="8">
        <f t="shared" ca="1" si="43"/>
        <v>0</v>
      </c>
      <c r="AI507">
        <f t="shared" ca="1" si="43"/>
        <v>0</v>
      </c>
      <c r="AJ507">
        <f t="shared" ca="1" si="43"/>
        <v>0</v>
      </c>
      <c r="AK507">
        <f t="shared" ca="1" si="43"/>
        <v>0</v>
      </c>
      <c r="AL507">
        <f t="shared" ca="1" si="43"/>
        <v>0</v>
      </c>
      <c r="AM507" s="8">
        <f t="shared" ca="1" si="43"/>
        <v>0</v>
      </c>
      <c r="AN507">
        <f t="shared" ca="1" si="43"/>
        <v>0</v>
      </c>
    </row>
    <row r="508" spans="1:40" x14ac:dyDescent="0.2">
      <c r="A508" t="s">
        <v>789</v>
      </c>
      <c r="G508">
        <v>4</v>
      </c>
      <c r="H508">
        <v>19</v>
      </c>
      <c r="I508">
        <v>19</v>
      </c>
      <c r="J508">
        <v>4</v>
      </c>
      <c r="K508">
        <v>6</v>
      </c>
      <c r="L508">
        <v>17</v>
      </c>
      <c r="M508">
        <v>12</v>
      </c>
      <c r="O508">
        <v>15</v>
      </c>
      <c r="V508" s="8"/>
      <c r="W508" s="8"/>
      <c r="X508" s="8"/>
      <c r="Y508" s="8"/>
      <c r="Z508" s="8"/>
      <c r="AB508" s="4">
        <v>30</v>
      </c>
      <c r="AC508" s="8"/>
      <c r="AD508" s="8"/>
      <c r="AF508" s="8"/>
      <c r="AG508" s="8"/>
      <c r="AH508" s="8"/>
      <c r="AL508" s="8"/>
      <c r="AM508" s="8"/>
      <c r="AN508" s="4">
        <v>30</v>
      </c>
    </row>
    <row r="509" spans="1:40" x14ac:dyDescent="0.2">
      <c r="A509" t="s">
        <v>790</v>
      </c>
      <c r="G509">
        <v>6</v>
      </c>
      <c r="H509">
        <v>30</v>
      </c>
      <c r="I509">
        <v>30</v>
      </c>
      <c r="J509">
        <v>7</v>
      </c>
      <c r="K509">
        <v>10</v>
      </c>
      <c r="L509">
        <v>26</v>
      </c>
      <c r="M509">
        <v>20</v>
      </c>
      <c r="O509">
        <v>15</v>
      </c>
      <c r="V509" s="8"/>
      <c r="W509" s="8"/>
      <c r="X509" s="8"/>
      <c r="Y509" s="8"/>
      <c r="Z509" s="8"/>
      <c r="AB509" s="4">
        <v>40</v>
      </c>
      <c r="AC509" s="8"/>
      <c r="AD509" s="8"/>
      <c r="AF509" s="8"/>
      <c r="AG509" s="8"/>
      <c r="AH509" s="8"/>
      <c r="AL509" s="8"/>
      <c r="AM509" s="8"/>
      <c r="AN509" s="4">
        <v>30</v>
      </c>
    </row>
    <row r="510" spans="1:40" x14ac:dyDescent="0.2">
      <c r="A510" t="s">
        <v>1702</v>
      </c>
      <c r="G510">
        <v>11</v>
      </c>
      <c r="H510">
        <v>35</v>
      </c>
      <c r="I510">
        <v>35</v>
      </c>
      <c r="J510">
        <v>12</v>
      </c>
      <c r="K510">
        <v>15</v>
      </c>
      <c r="L510">
        <v>31</v>
      </c>
      <c r="M510">
        <v>25</v>
      </c>
      <c r="N510">
        <v>38</v>
      </c>
      <c r="O510">
        <v>25</v>
      </c>
      <c r="V510" s="8"/>
      <c r="W510" s="8"/>
      <c r="X510" s="8"/>
      <c r="Y510" s="8"/>
      <c r="Z510" s="8"/>
      <c r="AB510" s="4">
        <v>40</v>
      </c>
      <c r="AC510" s="8"/>
      <c r="AD510" s="8"/>
      <c r="AF510" s="8"/>
      <c r="AG510" s="8"/>
      <c r="AH510" s="8"/>
      <c r="AL510" s="8"/>
      <c r="AM510" s="8"/>
      <c r="AN510" s="4">
        <v>32</v>
      </c>
    </row>
    <row r="511" spans="1:40" x14ac:dyDescent="0.2">
      <c r="A511" t="s">
        <v>1703</v>
      </c>
      <c r="G511">
        <v>16</v>
      </c>
      <c r="H511">
        <v>40</v>
      </c>
      <c r="I511">
        <v>40</v>
      </c>
      <c r="J511">
        <v>17</v>
      </c>
      <c r="K511">
        <v>20</v>
      </c>
      <c r="L511">
        <v>36</v>
      </c>
      <c r="M511">
        <v>30</v>
      </c>
      <c r="N511">
        <v>48</v>
      </c>
      <c r="O511">
        <v>35</v>
      </c>
      <c r="V511" s="8"/>
      <c r="W511" s="8"/>
      <c r="X511" s="8"/>
      <c r="Y511" s="8"/>
      <c r="Z511" s="8"/>
      <c r="AB511" s="4">
        <v>40</v>
      </c>
      <c r="AC511" s="8"/>
      <c r="AD511" s="8"/>
      <c r="AF511" s="8"/>
      <c r="AG511" s="8"/>
      <c r="AH511" s="8"/>
      <c r="AL511" s="8"/>
      <c r="AM511" s="8"/>
      <c r="AN511" s="4">
        <v>34</v>
      </c>
    </row>
    <row r="512" spans="1:40" x14ac:dyDescent="0.2">
      <c r="A512" t="s">
        <v>795</v>
      </c>
      <c r="G512">
        <v>7</v>
      </c>
      <c r="H512">
        <v>24</v>
      </c>
      <c r="I512">
        <v>28</v>
      </c>
      <c r="K512">
        <v>5</v>
      </c>
      <c r="L512">
        <v>22</v>
      </c>
      <c r="M512">
        <v>16</v>
      </c>
      <c r="N512">
        <v>15</v>
      </c>
      <c r="O512">
        <v>20</v>
      </c>
      <c r="V512" s="8"/>
      <c r="W512" s="8"/>
      <c r="X512" s="8"/>
      <c r="Y512" s="8"/>
      <c r="Z512" s="8"/>
      <c r="AB512" s="4">
        <v>40</v>
      </c>
      <c r="AC512" s="8"/>
      <c r="AD512" s="8"/>
      <c r="AE512" s="4">
        <v>3</v>
      </c>
      <c r="AF512" s="8"/>
      <c r="AG512" s="8"/>
      <c r="AH512" s="8"/>
      <c r="AL512" s="8"/>
      <c r="AM512" s="8"/>
    </row>
    <row r="513" spans="1:59" x14ac:dyDescent="0.2">
      <c r="A513" t="s">
        <v>796</v>
      </c>
      <c r="G513">
        <v>7</v>
      </c>
      <c r="H513">
        <v>24</v>
      </c>
      <c r="I513">
        <v>28</v>
      </c>
      <c r="K513">
        <v>5</v>
      </c>
      <c r="L513">
        <v>22</v>
      </c>
      <c r="M513">
        <v>16</v>
      </c>
      <c r="N513">
        <v>20</v>
      </c>
      <c r="O513">
        <v>5</v>
      </c>
      <c r="V513" s="8"/>
      <c r="W513" s="8"/>
      <c r="X513" s="8"/>
      <c r="Y513" s="8"/>
      <c r="Z513" s="8"/>
      <c r="AB513" s="4">
        <v>40</v>
      </c>
      <c r="AC513" s="8"/>
      <c r="AD513" s="8"/>
      <c r="AF513" s="8"/>
      <c r="AG513" s="8"/>
      <c r="AH513" s="8"/>
      <c r="AL513" s="8"/>
      <c r="AM513" s="8"/>
    </row>
    <row r="514" spans="1:59" x14ac:dyDescent="0.2">
      <c r="A514" s="3" t="s">
        <v>797</v>
      </c>
      <c r="B514" s="144"/>
      <c r="C514" s="144"/>
      <c r="D514" s="144"/>
      <c r="E514" s="144"/>
      <c r="F514" s="144"/>
      <c r="G514" s="144">
        <v>7</v>
      </c>
      <c r="H514" s="144">
        <v>24</v>
      </c>
      <c r="I514" s="144">
        <v>28</v>
      </c>
      <c r="J514" s="144"/>
      <c r="K514" s="144">
        <v>5</v>
      </c>
      <c r="L514" s="144">
        <v>22</v>
      </c>
      <c r="M514" s="144">
        <v>16</v>
      </c>
      <c r="N514" s="144">
        <v>20</v>
      </c>
      <c r="O514" s="144">
        <v>5</v>
      </c>
      <c r="P514" s="144"/>
      <c r="Q514" s="144"/>
      <c r="R514" s="144"/>
      <c r="S514" s="144"/>
      <c r="T514" s="144"/>
      <c r="U514" s="144"/>
      <c r="V514" s="177">
        <v>0.02</v>
      </c>
      <c r="W514" s="177"/>
      <c r="X514" s="177"/>
      <c r="Y514" s="177"/>
      <c r="Z514" s="177"/>
      <c r="AA514" s="177"/>
      <c r="AB514" s="178">
        <v>40</v>
      </c>
      <c r="AC514" s="177"/>
      <c r="AD514" s="177"/>
      <c r="AE514" s="144">
        <v>3</v>
      </c>
      <c r="AF514" s="178"/>
      <c r="AG514" s="177"/>
      <c r="AH514" s="177"/>
      <c r="AI514" s="178"/>
      <c r="AJ514" s="178"/>
      <c r="AK514" s="178"/>
      <c r="AL514" s="178"/>
      <c r="AM514" s="144"/>
      <c r="AN514" s="144"/>
      <c r="AO514" s="144"/>
      <c r="AP514" s="144"/>
      <c r="AQ514" s="144"/>
      <c r="AR514" s="144"/>
      <c r="AS514" s="144"/>
      <c r="AT514" s="144"/>
      <c r="AU514" s="144"/>
      <c r="AV514" s="144"/>
      <c r="AW514" s="144"/>
      <c r="AX514" s="144"/>
      <c r="AY514" s="144"/>
      <c r="AZ514" s="144"/>
      <c r="BA514" s="144"/>
      <c r="BB514" s="144"/>
      <c r="BC514" s="144"/>
      <c r="BD514" s="144"/>
      <c r="BE514" s="144"/>
      <c r="BF514" s="144"/>
      <c r="BG514" s="144"/>
    </row>
    <row r="517" spans="1:59" s="1" customFormat="1" x14ac:dyDescent="0.2">
      <c r="A517" s="1" t="s">
        <v>93</v>
      </c>
      <c r="B517" s="1" t="s">
        <v>72</v>
      </c>
      <c r="C517" s="1" t="s">
        <v>482</v>
      </c>
      <c r="D517" s="1" t="s">
        <v>483</v>
      </c>
      <c r="E517" s="1" t="s">
        <v>484</v>
      </c>
      <c r="F517" s="1" t="s">
        <v>492</v>
      </c>
      <c r="G517" s="1" t="s">
        <v>26</v>
      </c>
      <c r="H517" s="1" t="s">
        <v>27</v>
      </c>
      <c r="I517" s="1" t="s">
        <v>23</v>
      </c>
      <c r="J517" s="1" t="s">
        <v>25</v>
      </c>
      <c r="K517" s="1" t="s">
        <v>298</v>
      </c>
      <c r="L517" s="1" t="s">
        <v>299</v>
      </c>
      <c r="M517" s="1" t="s">
        <v>300</v>
      </c>
      <c r="N517" s="1" t="s">
        <v>74</v>
      </c>
      <c r="O517" s="1" t="s">
        <v>73</v>
      </c>
      <c r="P517" s="1" t="s">
        <v>375</v>
      </c>
      <c r="Q517" s="1" t="s">
        <v>553</v>
      </c>
      <c r="R517" s="1" t="s">
        <v>554</v>
      </c>
      <c r="S517" s="1" t="s">
        <v>555</v>
      </c>
      <c r="T517" s="213" t="s">
        <v>556</v>
      </c>
      <c r="U517" s="213" t="s">
        <v>557</v>
      </c>
      <c r="V517" s="1" t="s">
        <v>75</v>
      </c>
      <c r="W517" s="1" t="s">
        <v>76</v>
      </c>
      <c r="X517" s="1" t="s">
        <v>77</v>
      </c>
      <c r="Y517" s="1" t="s">
        <v>480</v>
      </c>
      <c r="Z517" s="1" t="s">
        <v>80</v>
      </c>
      <c r="AA517" s="1" t="s">
        <v>481</v>
      </c>
      <c r="AB517" s="1" t="s">
        <v>28</v>
      </c>
      <c r="AC517" s="1" t="s">
        <v>78</v>
      </c>
      <c r="AD517" s="1" t="s">
        <v>79</v>
      </c>
      <c r="AE517" s="213" t="s">
        <v>82</v>
      </c>
      <c r="AF517" s="1" t="s">
        <v>81</v>
      </c>
      <c r="AG517" s="1" t="s">
        <v>102</v>
      </c>
      <c r="AH517" s="1" t="s">
        <v>103</v>
      </c>
      <c r="AI517" s="213" t="s">
        <v>452</v>
      </c>
      <c r="AJ517" s="213" t="s">
        <v>453</v>
      </c>
      <c r="AK517" s="213" t="s">
        <v>440</v>
      </c>
      <c r="AL517" s="1" t="s">
        <v>349</v>
      </c>
      <c r="AM517" s="1" t="s">
        <v>524</v>
      </c>
      <c r="AN517" s="213" t="s">
        <v>109</v>
      </c>
    </row>
    <row r="518" spans="1:59" x14ac:dyDescent="0.2">
      <c r="A518" s="3" t="s">
        <v>245</v>
      </c>
      <c r="V518" s="8"/>
      <c r="W518" s="8"/>
      <c r="X518" s="8"/>
      <c r="Y518" s="8"/>
      <c r="Z518" s="8"/>
      <c r="AA518" s="8"/>
      <c r="AB518" s="4"/>
      <c r="AC518" s="8"/>
      <c r="AD518" s="8"/>
      <c r="AE518"/>
      <c r="AF518" s="4"/>
      <c r="AG518" s="4"/>
      <c r="AH518" s="8"/>
      <c r="AI518" s="8"/>
      <c r="AJ518" s="8"/>
      <c r="AK518" s="8"/>
      <c r="AL518" s="8"/>
      <c r="AN518"/>
    </row>
    <row r="519" spans="1:59" x14ac:dyDescent="0.2">
      <c r="A519" s="3" t="s">
        <v>1214</v>
      </c>
      <c r="N519">
        <v>5</v>
      </c>
      <c r="O519">
        <v>15</v>
      </c>
      <c r="Q519">
        <v>5</v>
      </c>
      <c r="R519">
        <v>15</v>
      </c>
      <c r="S519">
        <v>5</v>
      </c>
      <c r="T519">
        <v>7</v>
      </c>
      <c r="V519" s="8"/>
      <c r="W519" s="8"/>
      <c r="X519" s="8"/>
      <c r="Y519" s="8"/>
      <c r="Z519" s="8"/>
      <c r="AA519" s="8"/>
      <c r="AB519" s="4"/>
      <c r="AC519" s="8"/>
      <c r="AD519" s="8"/>
      <c r="AE519"/>
      <c r="AF519" s="4"/>
      <c r="AG519" s="4"/>
      <c r="AH519" s="8"/>
      <c r="AI519" s="8"/>
      <c r="AJ519" s="8"/>
      <c r="AK519" s="8"/>
      <c r="AL519" s="8"/>
      <c r="AN519"/>
    </row>
    <row r="520" spans="1:59" x14ac:dyDescent="0.2">
      <c r="A520" s="3" t="s">
        <v>1215</v>
      </c>
      <c r="G520">
        <v>6</v>
      </c>
      <c r="H520">
        <v>6</v>
      </c>
      <c r="J520">
        <v>6</v>
      </c>
      <c r="V520" s="8"/>
      <c r="W520" s="8"/>
      <c r="X520" s="8"/>
      <c r="Y520" s="8"/>
      <c r="Z520" s="8"/>
      <c r="AA520" s="8"/>
      <c r="AB520" s="4"/>
      <c r="AC520" s="8"/>
      <c r="AD520" s="8"/>
      <c r="AE520">
        <v>3</v>
      </c>
      <c r="AF520" s="4"/>
      <c r="AG520" s="4"/>
      <c r="AH520" s="8"/>
      <c r="AI520" s="8"/>
      <c r="AJ520" s="8"/>
      <c r="AK520" s="8"/>
      <c r="AL520" s="8"/>
      <c r="AN520"/>
    </row>
    <row r="521" spans="1:59" x14ac:dyDescent="0.2">
      <c r="A521" t="s">
        <v>1216</v>
      </c>
      <c r="N521">
        <v>6</v>
      </c>
      <c r="Q521">
        <v>6</v>
      </c>
      <c r="V521" s="8"/>
      <c r="W521" s="8"/>
      <c r="X521" s="8"/>
      <c r="Y521" s="8"/>
      <c r="Z521" s="8"/>
      <c r="AA521" s="8"/>
      <c r="AB521" s="4"/>
      <c r="AC521" s="8"/>
      <c r="AD521" s="8"/>
      <c r="AF521" s="8"/>
      <c r="AG521" s="8"/>
      <c r="AH521" s="8"/>
      <c r="AL521" s="8"/>
      <c r="AM521" s="8"/>
    </row>
    <row r="522" spans="1:59" x14ac:dyDescent="0.2">
      <c r="A522" t="s">
        <v>1218</v>
      </c>
      <c r="N522">
        <v>7</v>
      </c>
      <c r="O522">
        <v>7</v>
      </c>
      <c r="V522" s="8"/>
      <c r="W522" s="8"/>
      <c r="X522" s="8"/>
      <c r="Y522" s="8"/>
      <c r="Z522" s="8"/>
      <c r="AA522" s="8"/>
      <c r="AB522" s="4"/>
      <c r="AC522" s="8">
        <v>0.05</v>
      </c>
      <c r="AD522" s="8"/>
      <c r="AF522" s="8"/>
      <c r="AG522" s="8"/>
      <c r="AH522" s="8"/>
      <c r="AL522" s="8"/>
      <c r="AM522" s="8"/>
    </row>
    <row r="523" spans="1:59" x14ac:dyDescent="0.2">
      <c r="A523" t="s">
        <v>1217</v>
      </c>
      <c r="V523" s="8"/>
      <c r="W523" s="8"/>
      <c r="X523" s="8"/>
      <c r="Y523" s="8"/>
      <c r="Z523" s="8"/>
      <c r="AB523" s="4">
        <v>10</v>
      </c>
      <c r="AC523" s="8"/>
      <c r="AD523" s="8"/>
      <c r="AF523" s="8"/>
      <c r="AG523" s="8"/>
      <c r="AH523" s="8"/>
      <c r="AL523" s="8"/>
      <c r="AM523" s="8"/>
    </row>
    <row r="524" spans="1:59" x14ac:dyDescent="0.2">
      <c r="A524" t="s">
        <v>1219</v>
      </c>
      <c r="N524">
        <v>10</v>
      </c>
      <c r="Q524">
        <v>15</v>
      </c>
      <c r="V524" s="8"/>
      <c r="W524" s="8"/>
      <c r="X524" s="8"/>
      <c r="Y524" s="8"/>
      <c r="Z524" s="8"/>
      <c r="AB524" s="4"/>
      <c r="AC524" s="8"/>
      <c r="AD524" s="8"/>
      <c r="AF524" s="8"/>
      <c r="AG524" s="8"/>
      <c r="AH524" s="8"/>
      <c r="AL524" s="8"/>
      <c r="AM524" s="8"/>
    </row>
    <row r="525" spans="1:59" x14ac:dyDescent="0.2">
      <c r="A525" t="s">
        <v>1220</v>
      </c>
      <c r="N525">
        <v>11</v>
      </c>
      <c r="Q525">
        <v>16</v>
      </c>
      <c r="V525" s="8"/>
      <c r="W525" s="8"/>
      <c r="X525" s="8"/>
      <c r="Y525" s="8"/>
      <c r="Z525" s="8"/>
      <c r="AB525" s="4"/>
      <c r="AC525" s="8"/>
      <c r="AD525" s="8"/>
      <c r="AF525" s="8"/>
      <c r="AG525" s="8"/>
      <c r="AH525" s="8"/>
      <c r="AL525" s="8"/>
      <c r="AM525" s="8"/>
    </row>
    <row r="526" spans="1:59" x14ac:dyDescent="0.2">
      <c r="A526" t="s">
        <v>1221</v>
      </c>
      <c r="G526">
        <v>6</v>
      </c>
      <c r="N526">
        <v>3</v>
      </c>
      <c r="V526" s="8"/>
      <c r="W526" s="8"/>
      <c r="X526" s="8"/>
      <c r="Y526" s="8"/>
      <c r="Z526" s="8"/>
      <c r="AB526" s="4"/>
      <c r="AC526" s="8"/>
      <c r="AD526" s="8"/>
      <c r="AF526" s="8"/>
      <c r="AG526" s="8"/>
      <c r="AH526" s="8"/>
      <c r="AL526" s="8"/>
      <c r="AM526" s="8"/>
    </row>
    <row r="527" spans="1:59" x14ac:dyDescent="0.2">
      <c r="A527" t="s">
        <v>1222</v>
      </c>
      <c r="N527">
        <v>7</v>
      </c>
      <c r="V527" s="8"/>
      <c r="W527" s="8"/>
      <c r="X527" s="8"/>
      <c r="Y527" s="8"/>
      <c r="Z527" s="8"/>
      <c r="AB527" s="4"/>
      <c r="AC527" s="8"/>
      <c r="AD527" s="8"/>
      <c r="AE527" s="4">
        <v>5</v>
      </c>
      <c r="AF527" s="8"/>
      <c r="AG527" s="8"/>
      <c r="AH527" s="8"/>
      <c r="AL527" s="8"/>
      <c r="AM527" s="8"/>
    </row>
    <row r="528" spans="1:59" x14ac:dyDescent="0.2">
      <c r="A528" t="s">
        <v>1223</v>
      </c>
      <c r="N528">
        <v>10</v>
      </c>
      <c r="V528" s="8"/>
      <c r="W528" s="8"/>
      <c r="X528" s="8"/>
      <c r="Y528" s="8"/>
      <c r="Z528" s="8"/>
      <c r="AB528" s="4"/>
      <c r="AC528" s="8"/>
      <c r="AD528" s="8"/>
      <c r="AE528" s="4">
        <v>6</v>
      </c>
      <c r="AF528" s="8"/>
      <c r="AG528" s="8"/>
      <c r="AH528" s="8"/>
      <c r="AL528" s="8"/>
      <c r="AM528" s="8"/>
    </row>
    <row r="529" spans="1:63" s="144" customFormat="1" x14ac:dyDescent="0.2">
      <c r="A529" t="s">
        <v>1224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>
        <v>14</v>
      </c>
      <c r="P529"/>
      <c r="Q529"/>
      <c r="R529"/>
      <c r="S529"/>
      <c r="T529"/>
      <c r="U529"/>
      <c r="V529" s="8"/>
      <c r="W529" s="8"/>
      <c r="X529" s="8"/>
      <c r="Y529" s="8"/>
      <c r="Z529" s="8"/>
      <c r="AA529" s="8"/>
      <c r="AB529" s="4"/>
      <c r="AC529" s="8"/>
      <c r="AD529" s="8"/>
      <c r="AE529"/>
      <c r="AF529" s="8"/>
      <c r="AG529" s="4"/>
      <c r="AH529" s="8"/>
      <c r="AI529" s="4"/>
      <c r="AJ529" s="4"/>
      <c r="AK529" s="4"/>
      <c r="AL529" s="8"/>
      <c r="AM529" s="8"/>
      <c r="AN529" s="4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</row>
    <row r="530" spans="1:63" x14ac:dyDescent="0.2">
      <c r="A530" t="s">
        <v>1225</v>
      </c>
      <c r="N530">
        <v>4</v>
      </c>
      <c r="V530" s="8"/>
      <c r="W530" s="8"/>
      <c r="X530" s="8"/>
      <c r="Y530" s="8"/>
      <c r="Z530" s="8"/>
      <c r="AB530" s="4"/>
      <c r="AC530" s="8"/>
      <c r="AD530" s="8"/>
      <c r="AE530" s="4">
        <v>1</v>
      </c>
      <c r="AF530" s="8"/>
      <c r="AG530" s="8"/>
      <c r="AH530" s="8"/>
      <c r="AL530" s="8"/>
      <c r="AM530" s="8"/>
    </row>
    <row r="531" spans="1:63" x14ac:dyDescent="0.2">
      <c r="A531" s="3" t="s">
        <v>1226</v>
      </c>
      <c r="B531" s="144"/>
      <c r="C531" s="144"/>
      <c r="D531" s="144"/>
      <c r="E531" s="144"/>
      <c r="F531" s="144"/>
      <c r="G531" s="144"/>
      <c r="H531" s="144">
        <v>2</v>
      </c>
      <c r="I531" s="144"/>
      <c r="J531" s="144"/>
      <c r="K531" s="144"/>
      <c r="L531" s="144"/>
      <c r="M531" s="144"/>
      <c r="N531" s="144">
        <v>7</v>
      </c>
      <c r="O531" s="144"/>
      <c r="P531" s="144"/>
      <c r="Q531" s="144"/>
      <c r="R531" s="144"/>
      <c r="S531" s="144"/>
      <c r="T531" s="144"/>
      <c r="U531" s="144"/>
      <c r="V531" s="177"/>
      <c r="W531" s="177"/>
      <c r="X531" s="177"/>
      <c r="Y531" s="177"/>
      <c r="Z531" s="177"/>
      <c r="AA531" s="177"/>
      <c r="AB531" s="178"/>
      <c r="AC531" s="177"/>
      <c r="AD531" s="177"/>
      <c r="AE531" s="144"/>
      <c r="AF531" s="178"/>
      <c r="AG531" s="177"/>
      <c r="AH531" s="177"/>
      <c r="AI531" s="178"/>
      <c r="AJ531" s="178"/>
      <c r="AK531" s="178"/>
      <c r="AL531" s="178"/>
      <c r="AM531" s="144"/>
      <c r="AN531" s="144"/>
      <c r="AO531" s="144"/>
      <c r="AP531" s="144"/>
      <c r="AQ531" s="144"/>
      <c r="AR531" s="144"/>
      <c r="AS531" s="144"/>
      <c r="AT531" s="144"/>
      <c r="AU531" s="144"/>
      <c r="AV531" s="144"/>
      <c r="AW531" s="144"/>
      <c r="AX531" s="144"/>
      <c r="AY531" s="144"/>
      <c r="AZ531" s="144"/>
      <c r="BA531" s="144"/>
      <c r="BB531" s="144"/>
      <c r="BC531" s="144"/>
      <c r="BD531" s="144"/>
      <c r="BE531" s="144"/>
      <c r="BF531" s="144"/>
      <c r="BG531" s="144"/>
      <c r="BH531" s="144"/>
      <c r="BI531" s="144"/>
      <c r="BJ531" s="144"/>
      <c r="BK531" s="144"/>
    </row>
    <row r="532" spans="1:63" x14ac:dyDescent="0.2">
      <c r="A532" s="3" t="s">
        <v>1230</v>
      </c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3">
        <v>7</v>
      </c>
      <c r="O532" s="144"/>
      <c r="P532" s="144"/>
      <c r="Q532" s="144"/>
      <c r="R532" s="144"/>
      <c r="S532" s="144">
        <v>7</v>
      </c>
      <c r="T532" s="144"/>
      <c r="U532" s="144"/>
      <c r="V532" s="177"/>
      <c r="W532" s="177"/>
      <c r="X532" s="177"/>
      <c r="Y532" s="177"/>
      <c r="Z532" s="177"/>
      <c r="AA532" s="177"/>
      <c r="AB532" s="178"/>
      <c r="AC532" s="177"/>
      <c r="AD532" s="177"/>
      <c r="AE532" s="144"/>
      <c r="AF532" s="178"/>
      <c r="AG532" s="177"/>
      <c r="AH532" s="177"/>
      <c r="AI532" s="178"/>
      <c r="AJ532" s="178"/>
      <c r="AK532" s="178"/>
      <c r="AL532" s="178"/>
      <c r="AM532" s="144"/>
      <c r="AN532" s="144"/>
      <c r="AO532" s="144"/>
      <c r="AP532" s="144"/>
      <c r="AQ532" s="144"/>
      <c r="AR532" s="144"/>
      <c r="AS532" s="144"/>
      <c r="AT532" s="144"/>
      <c r="AU532" s="144"/>
      <c r="AV532" s="144"/>
      <c r="AW532" s="144"/>
      <c r="AX532" s="144"/>
      <c r="AY532" s="144"/>
      <c r="AZ532" s="144"/>
      <c r="BA532" s="144"/>
      <c r="BB532" s="144"/>
      <c r="BC532" s="144"/>
      <c r="BD532" s="144"/>
      <c r="BE532" s="144"/>
      <c r="BF532" s="144"/>
      <c r="BG532" s="144"/>
      <c r="BH532" s="144"/>
      <c r="BI532" s="144"/>
      <c r="BJ532" s="144"/>
      <c r="BK532" s="144"/>
    </row>
    <row r="533" spans="1:63" x14ac:dyDescent="0.2">
      <c r="A533" s="3" t="s">
        <v>1231</v>
      </c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3"/>
      <c r="O533" s="144"/>
      <c r="P533" s="144"/>
      <c r="Q533" s="144"/>
      <c r="R533" s="144"/>
      <c r="S533" s="144"/>
      <c r="T533" s="144"/>
      <c r="U533" s="144"/>
      <c r="V533" s="177"/>
      <c r="W533" s="177">
        <v>0.02</v>
      </c>
      <c r="X533" s="177"/>
      <c r="Y533" s="177"/>
      <c r="Z533" s="177"/>
      <c r="AA533" s="177"/>
      <c r="AB533" s="178"/>
      <c r="AC533" s="177">
        <v>0.01</v>
      </c>
      <c r="AD533" s="177"/>
      <c r="AE533" s="144"/>
      <c r="AF533" s="178"/>
      <c r="AG533" s="177"/>
      <c r="AH533" s="177"/>
      <c r="AI533" s="178"/>
      <c r="AJ533" s="178"/>
      <c r="AK533" s="178"/>
      <c r="AL533" s="178"/>
      <c r="AM533" s="144"/>
      <c r="AN533" s="144"/>
      <c r="AO533" s="144"/>
      <c r="AP533" s="144"/>
      <c r="AQ533" s="144"/>
      <c r="AR533" s="144"/>
      <c r="AS533" s="144"/>
      <c r="AT533" s="144"/>
      <c r="AU533" s="144"/>
      <c r="AV533" s="144"/>
      <c r="AW533" s="144"/>
      <c r="AX533" s="144"/>
      <c r="AY533" s="144"/>
      <c r="AZ533" s="144"/>
      <c r="BA533" s="144"/>
      <c r="BB533" s="144"/>
      <c r="BC533" s="144"/>
      <c r="BD533" s="144"/>
      <c r="BE533" s="144"/>
      <c r="BF533" s="144"/>
      <c r="BG533" s="144"/>
      <c r="BH533" s="144"/>
      <c r="BI533" s="144"/>
      <c r="BJ533" s="144"/>
      <c r="BK533" s="144"/>
    </row>
    <row r="534" spans="1:63" x14ac:dyDescent="0.2">
      <c r="A534" t="s">
        <v>1227</v>
      </c>
      <c r="G534">
        <v>-4</v>
      </c>
      <c r="H534">
        <v>-4</v>
      </c>
      <c r="V534" s="8"/>
      <c r="W534" s="8"/>
      <c r="X534" s="8"/>
      <c r="Y534" s="8"/>
      <c r="Z534" s="8"/>
      <c r="AB534" s="4"/>
      <c r="AC534" s="8"/>
      <c r="AD534" s="8"/>
      <c r="AE534" s="4">
        <v>4</v>
      </c>
      <c r="AF534" s="8"/>
      <c r="AG534" s="8"/>
      <c r="AH534" s="8"/>
      <c r="AL534" s="8"/>
      <c r="AM534" s="8"/>
    </row>
    <row r="535" spans="1:63" x14ac:dyDescent="0.2">
      <c r="A535" s="3" t="s">
        <v>1228</v>
      </c>
      <c r="G535">
        <v>8</v>
      </c>
      <c r="V535" s="8"/>
      <c r="W535" s="8"/>
      <c r="X535" s="8"/>
      <c r="Y535" s="8"/>
      <c r="Z535" s="8"/>
      <c r="AA535" s="8"/>
      <c r="AB535" s="4"/>
      <c r="AC535" s="8"/>
      <c r="AD535" s="8"/>
      <c r="AE535"/>
      <c r="AF535" s="4"/>
      <c r="AG535" s="4"/>
      <c r="AH535" s="8"/>
      <c r="AL535" s="8"/>
      <c r="AN535"/>
      <c r="AP535" s="8"/>
    </row>
    <row r="536" spans="1:63" x14ac:dyDescent="0.2">
      <c r="A536" s="3" t="s">
        <v>1229</v>
      </c>
      <c r="G536">
        <v>9</v>
      </c>
      <c r="O536">
        <v>5</v>
      </c>
      <c r="V536" s="8"/>
      <c r="W536" s="8"/>
      <c r="X536" s="8"/>
      <c r="Y536" s="8"/>
      <c r="Z536" s="8"/>
      <c r="AA536" s="8"/>
      <c r="AB536" s="4"/>
      <c r="AC536" s="8"/>
      <c r="AD536" s="8"/>
      <c r="AE536"/>
      <c r="AF536" s="4"/>
      <c r="AG536" s="4"/>
      <c r="AH536" s="8"/>
      <c r="AL536" s="8"/>
      <c r="AN536"/>
      <c r="AP536" s="8"/>
    </row>
    <row r="537" spans="1:63" x14ac:dyDescent="0.2">
      <c r="A537" s="3" t="s">
        <v>1232</v>
      </c>
      <c r="V537" s="8"/>
      <c r="W537" s="8"/>
      <c r="X537" s="8"/>
      <c r="Y537" s="8"/>
      <c r="Z537" s="8"/>
      <c r="AA537" s="8"/>
      <c r="AB537" s="4"/>
      <c r="AC537" s="8"/>
      <c r="AD537" s="8"/>
      <c r="AE537"/>
      <c r="AF537" s="4">
        <v>5</v>
      </c>
      <c r="AG537" s="4"/>
      <c r="AH537" s="8">
        <v>0.03</v>
      </c>
      <c r="AL537" s="8"/>
      <c r="AN537"/>
      <c r="AP537" s="8"/>
    </row>
    <row r="538" spans="1:63" x14ac:dyDescent="0.2">
      <c r="A538" s="3" t="s">
        <v>1233</v>
      </c>
      <c r="N538">
        <v>5</v>
      </c>
      <c r="V538" s="8"/>
      <c r="W538" s="8"/>
      <c r="X538" s="8"/>
      <c r="Y538" s="8"/>
      <c r="Z538" s="8"/>
      <c r="AA538" s="8"/>
      <c r="AB538" s="4"/>
      <c r="AC538" s="8"/>
      <c r="AD538" s="8"/>
      <c r="AE538"/>
      <c r="AF538" s="4">
        <v>5</v>
      </c>
      <c r="AG538" s="4"/>
      <c r="AH538" s="8">
        <v>0.03</v>
      </c>
      <c r="AL538" s="8"/>
      <c r="AN538"/>
      <c r="AP538" s="8"/>
    </row>
    <row r="539" spans="1:63" x14ac:dyDescent="0.2">
      <c r="A539" t="s">
        <v>1234</v>
      </c>
      <c r="O539">
        <v>5</v>
      </c>
      <c r="V539" s="8"/>
      <c r="W539" s="8"/>
      <c r="X539" s="8"/>
      <c r="Y539" s="8"/>
      <c r="Z539" s="8"/>
      <c r="AA539" s="8"/>
      <c r="AB539" s="4"/>
      <c r="AC539" s="8"/>
      <c r="AD539" s="8"/>
      <c r="AE539" s="4">
        <v>5</v>
      </c>
      <c r="AF539" s="4"/>
      <c r="AG539" s="4"/>
      <c r="AH539" s="8"/>
      <c r="AI539" s="8"/>
      <c r="AJ539" s="8"/>
      <c r="AK539" s="8"/>
      <c r="AL539" s="8"/>
      <c r="AM539" s="8"/>
    </row>
    <row r="540" spans="1:63" x14ac:dyDescent="0.2">
      <c r="A540" t="s">
        <v>1777</v>
      </c>
      <c r="N540">
        <v>5</v>
      </c>
      <c r="O540">
        <v>5</v>
      </c>
      <c r="V540" s="8"/>
      <c r="W540" s="8"/>
      <c r="X540" s="8"/>
      <c r="Y540" s="8"/>
      <c r="Z540" s="8"/>
      <c r="AA540" s="8"/>
      <c r="AB540" s="4"/>
      <c r="AC540" s="8"/>
      <c r="AD540" s="8"/>
      <c r="AE540" s="4">
        <v>3</v>
      </c>
      <c r="AF540" s="4"/>
      <c r="AG540" s="4"/>
      <c r="AH540" s="8"/>
      <c r="AI540" s="8"/>
      <c r="AJ540" s="8"/>
      <c r="AK540" s="8"/>
      <c r="AL540" s="8"/>
      <c r="AM540" s="8"/>
    </row>
    <row r="541" spans="1:63" x14ac:dyDescent="0.2">
      <c r="A541" t="s">
        <v>1778</v>
      </c>
      <c r="N541">
        <v>8</v>
      </c>
      <c r="O541">
        <v>8</v>
      </c>
      <c r="V541" s="8"/>
      <c r="W541" s="8"/>
      <c r="X541" s="8"/>
      <c r="Y541" s="8"/>
      <c r="Z541" s="8"/>
      <c r="AA541" s="8"/>
      <c r="AB541" s="4"/>
      <c r="AC541" s="8"/>
      <c r="AD541" s="8"/>
      <c r="AE541" s="4">
        <v>5</v>
      </c>
      <c r="AF541" s="4"/>
      <c r="AG541" s="4"/>
      <c r="AH541" s="8"/>
      <c r="AI541" s="8"/>
      <c r="AJ541" s="8"/>
      <c r="AK541" s="8"/>
      <c r="AL541" s="8"/>
      <c r="AM541" s="8"/>
    </row>
    <row r="542" spans="1:63" x14ac:dyDescent="0.2">
      <c r="A542" t="s">
        <v>1235</v>
      </c>
      <c r="N542">
        <v>6</v>
      </c>
      <c r="V542" s="8"/>
      <c r="W542" s="8"/>
      <c r="X542" s="8"/>
      <c r="Y542" s="8"/>
      <c r="Z542" s="8"/>
      <c r="AA542" s="8"/>
      <c r="AB542" s="4"/>
      <c r="AC542" s="8"/>
      <c r="AD542" s="8"/>
      <c r="AE542" s="4">
        <v>2</v>
      </c>
      <c r="AF542" s="4"/>
      <c r="AG542" s="4"/>
      <c r="AH542" s="8"/>
      <c r="AI542" s="8"/>
      <c r="AJ542" s="8"/>
      <c r="AK542" s="8"/>
      <c r="AL542" s="8"/>
      <c r="AM542" s="8"/>
    </row>
    <row r="543" spans="1:63" x14ac:dyDescent="0.2">
      <c r="A543" t="s">
        <v>1720</v>
      </c>
      <c r="G543">
        <v>10</v>
      </c>
      <c r="H543">
        <v>10</v>
      </c>
      <c r="I543">
        <v>10</v>
      </c>
      <c r="V543" s="8"/>
      <c r="W543" s="8"/>
      <c r="X543" s="8">
        <v>0.03</v>
      </c>
      <c r="Y543" s="8"/>
      <c r="Z543" s="8"/>
      <c r="AA543" s="8"/>
      <c r="AB543" s="4"/>
      <c r="AC543" s="8"/>
      <c r="AD543" s="8"/>
      <c r="AF543" s="4"/>
      <c r="AG543" s="4"/>
      <c r="AH543" s="8"/>
      <c r="AI543" s="8"/>
      <c r="AJ543" s="8"/>
      <c r="AK543" s="8"/>
      <c r="AL543" s="8"/>
      <c r="AM543" s="8"/>
    </row>
    <row r="544" spans="1:63" x14ac:dyDescent="0.2">
      <c r="A544" t="s">
        <v>1723</v>
      </c>
      <c r="O544">
        <v>15</v>
      </c>
      <c r="V544" s="8"/>
      <c r="W544" s="8"/>
      <c r="X544" s="8"/>
      <c r="Y544" s="8"/>
      <c r="Z544" s="8"/>
      <c r="AA544" s="8"/>
      <c r="AB544" s="4"/>
      <c r="AC544" s="8"/>
      <c r="AD544" s="8"/>
      <c r="AF544" s="4"/>
      <c r="AG544" s="4"/>
      <c r="AH544" s="8"/>
      <c r="AI544" s="8"/>
      <c r="AJ544" s="8"/>
      <c r="AK544" s="8"/>
      <c r="AL544" s="8"/>
      <c r="AM544" s="8"/>
    </row>
    <row r="545" spans="1:42" x14ac:dyDescent="0.2">
      <c r="A545" s="3" t="s">
        <v>1236</v>
      </c>
      <c r="N545">
        <v>7</v>
      </c>
      <c r="V545" s="8"/>
      <c r="W545" s="8"/>
      <c r="X545" s="8"/>
      <c r="Y545" s="8"/>
      <c r="Z545" s="8"/>
      <c r="AA545" s="8"/>
      <c r="AB545" s="4"/>
      <c r="AC545" s="8"/>
      <c r="AD545" s="8"/>
      <c r="AE545"/>
      <c r="AF545" s="4"/>
      <c r="AG545" s="4"/>
      <c r="AH545" s="8"/>
      <c r="AL545" s="8"/>
      <c r="AN545"/>
      <c r="AP545" s="8"/>
    </row>
    <row r="546" spans="1:42" x14ac:dyDescent="0.2">
      <c r="A546" s="3" t="s">
        <v>1237</v>
      </c>
      <c r="V546" s="8">
        <v>0.01</v>
      </c>
      <c r="W546" s="8"/>
      <c r="X546" s="8"/>
      <c r="Y546" s="8"/>
      <c r="Z546" s="8"/>
      <c r="AA546" s="8"/>
      <c r="AB546" s="4"/>
      <c r="AC546" s="8"/>
      <c r="AD546" s="8"/>
      <c r="AE546">
        <v>4</v>
      </c>
      <c r="AF546" s="4"/>
      <c r="AG546" s="4"/>
      <c r="AH546" s="8"/>
      <c r="AL546" s="8"/>
      <c r="AN546"/>
      <c r="AP546" s="8"/>
    </row>
    <row r="547" spans="1:42" x14ac:dyDescent="0.2">
      <c r="A547" s="3" t="s">
        <v>1238</v>
      </c>
      <c r="G547">
        <v>3</v>
      </c>
      <c r="H547">
        <v>3</v>
      </c>
      <c r="I547">
        <v>3</v>
      </c>
      <c r="J547">
        <v>3</v>
      </c>
      <c r="V547" s="8">
        <v>0.01</v>
      </c>
      <c r="W547" s="8"/>
      <c r="X547" s="8"/>
      <c r="Y547" s="8"/>
      <c r="Z547" s="8"/>
      <c r="AA547" s="8"/>
      <c r="AB547" s="4"/>
      <c r="AC547" s="8"/>
      <c r="AD547" s="8"/>
      <c r="AE547">
        <v>5</v>
      </c>
      <c r="AF547" s="4"/>
      <c r="AG547" s="4"/>
      <c r="AH547" s="8"/>
      <c r="AL547" s="8"/>
      <c r="AN547"/>
      <c r="AP547" s="8"/>
    </row>
    <row r="548" spans="1:42" x14ac:dyDescent="0.2">
      <c r="A548" t="s">
        <v>1239</v>
      </c>
      <c r="G548">
        <v>5</v>
      </c>
      <c r="H548">
        <v>5</v>
      </c>
      <c r="V548" s="8"/>
      <c r="W548" s="8"/>
      <c r="X548" s="8"/>
      <c r="Y548" s="8"/>
      <c r="Z548" s="8"/>
      <c r="AB548" s="4"/>
      <c r="AC548" s="8"/>
      <c r="AD548" s="8"/>
      <c r="AE548" s="4">
        <v>5</v>
      </c>
      <c r="AF548" s="8"/>
      <c r="AG548" s="8"/>
      <c r="AH548" s="8"/>
      <c r="AL548" s="8"/>
      <c r="AM548" s="8"/>
    </row>
    <row r="549" spans="1:42" x14ac:dyDescent="0.2">
      <c r="A549" s="3" t="s">
        <v>1240</v>
      </c>
      <c r="H549">
        <v>8</v>
      </c>
      <c r="V549" s="8"/>
      <c r="W549" s="8"/>
      <c r="X549" s="8"/>
      <c r="Y549" s="8"/>
      <c r="Z549" s="8"/>
      <c r="AA549" s="8"/>
      <c r="AB549" s="4"/>
      <c r="AC549" s="8"/>
      <c r="AD549" s="8"/>
      <c r="AE549"/>
      <c r="AF549" s="4"/>
      <c r="AG549" s="4"/>
      <c r="AH549" s="8"/>
      <c r="AL549" s="8"/>
      <c r="AN549"/>
      <c r="AP549" s="8"/>
    </row>
    <row r="550" spans="1:42" x14ac:dyDescent="0.2">
      <c r="A550" s="3" t="s">
        <v>1241</v>
      </c>
      <c r="H550">
        <v>9</v>
      </c>
      <c r="N550">
        <v>5</v>
      </c>
      <c r="V550" s="8"/>
      <c r="W550" s="8"/>
      <c r="X550" s="8"/>
      <c r="Y550" s="8"/>
      <c r="Z550" s="8"/>
      <c r="AA550" s="8"/>
      <c r="AB550" s="4"/>
      <c r="AC550" s="8"/>
      <c r="AD550" s="8"/>
      <c r="AE550"/>
      <c r="AF550" s="4"/>
      <c r="AG550" s="4"/>
      <c r="AH550" s="8"/>
      <c r="AL550" s="8"/>
      <c r="AN550"/>
      <c r="AP550" s="8"/>
    </row>
    <row r="551" spans="1:42" x14ac:dyDescent="0.2">
      <c r="A551" s="3" t="s">
        <v>1776</v>
      </c>
      <c r="G551">
        <v>10</v>
      </c>
      <c r="H551">
        <v>10</v>
      </c>
      <c r="I551">
        <v>10</v>
      </c>
      <c r="J551">
        <v>10</v>
      </c>
      <c r="O551">
        <v>20</v>
      </c>
      <c r="R551">
        <v>20</v>
      </c>
      <c r="V551" s="8"/>
      <c r="W551" s="8"/>
      <c r="X551" s="8"/>
      <c r="Y551" s="8"/>
      <c r="Z551" s="8"/>
      <c r="AA551" s="8"/>
      <c r="AB551" s="4"/>
      <c r="AC551" s="8"/>
      <c r="AD551" s="8"/>
      <c r="AE551"/>
      <c r="AF551" s="4"/>
      <c r="AG551" s="4"/>
      <c r="AH551" s="8"/>
      <c r="AL551" s="8"/>
      <c r="AN551"/>
      <c r="AP551" s="8"/>
    </row>
    <row r="552" spans="1:42" x14ac:dyDescent="0.2">
      <c r="A552" s="3" t="s">
        <v>1242</v>
      </c>
      <c r="G552">
        <v>6</v>
      </c>
      <c r="L552">
        <v>6</v>
      </c>
      <c r="V552" s="8"/>
      <c r="W552" s="8"/>
      <c r="X552" s="8"/>
      <c r="Y552" s="8"/>
      <c r="Z552" s="8"/>
      <c r="AA552" s="8"/>
      <c r="AB552" s="4"/>
      <c r="AC552" s="8"/>
      <c r="AD552" s="8"/>
      <c r="AE552"/>
      <c r="AF552" s="4"/>
      <c r="AG552" s="4"/>
      <c r="AH552" s="8"/>
      <c r="AL552" s="8"/>
      <c r="AN552"/>
      <c r="AP552" s="8"/>
    </row>
    <row r="553" spans="1:42" x14ac:dyDescent="0.2">
      <c r="A553" s="3" t="s">
        <v>1243</v>
      </c>
      <c r="G553">
        <v>6</v>
      </c>
      <c r="L553">
        <v>6</v>
      </c>
      <c r="N553">
        <v>7</v>
      </c>
      <c r="V553" s="8"/>
      <c r="W553" s="8"/>
      <c r="X553" s="8"/>
      <c r="Y553" s="8"/>
      <c r="Z553" s="8"/>
      <c r="AA553" s="8"/>
      <c r="AB553" s="4"/>
      <c r="AC553" s="8"/>
      <c r="AD553" s="8"/>
      <c r="AE553"/>
      <c r="AF553" s="4"/>
      <c r="AG553" s="4"/>
      <c r="AH553" s="8"/>
      <c r="AL553" s="8"/>
      <c r="AN553"/>
      <c r="AP553" s="8"/>
    </row>
    <row r="554" spans="1:42" x14ac:dyDescent="0.2">
      <c r="A554" s="3" t="s">
        <v>1244</v>
      </c>
      <c r="G554">
        <v>7</v>
      </c>
      <c r="O554">
        <v>15</v>
      </c>
      <c r="V554" s="8"/>
      <c r="W554" s="8"/>
      <c r="X554" s="8"/>
      <c r="Y554" s="8"/>
      <c r="Z554" s="8"/>
      <c r="AA554" s="8"/>
      <c r="AB554" s="4"/>
      <c r="AC554" s="8"/>
      <c r="AD554" s="8"/>
      <c r="AE554"/>
      <c r="AF554" s="4"/>
      <c r="AG554" s="4"/>
      <c r="AH554" s="8"/>
      <c r="AL554" s="8"/>
      <c r="AN554"/>
      <c r="AP554" s="8"/>
    </row>
    <row r="555" spans="1:42" x14ac:dyDescent="0.2">
      <c r="A555" t="s">
        <v>1245</v>
      </c>
      <c r="G555">
        <v>3</v>
      </c>
      <c r="V555" s="8">
        <v>0.01</v>
      </c>
      <c r="W555" s="8"/>
      <c r="X555" s="8"/>
      <c r="Y555" s="8"/>
      <c r="Z555" s="8"/>
      <c r="AB555" s="4">
        <v>-20</v>
      </c>
      <c r="AC555" s="8"/>
      <c r="AD555" s="8"/>
      <c r="AF555" s="8"/>
      <c r="AG555" s="8"/>
      <c r="AH555" s="8"/>
      <c r="AL555" s="8"/>
      <c r="AM555" s="8"/>
    </row>
    <row r="556" spans="1:42" x14ac:dyDescent="0.2">
      <c r="A556" t="s">
        <v>1246</v>
      </c>
      <c r="N556">
        <v>5</v>
      </c>
      <c r="V556" s="8"/>
      <c r="W556" s="8"/>
      <c r="X556" s="8"/>
      <c r="Y556" s="8"/>
      <c r="Z556" s="8"/>
      <c r="AB556" s="4"/>
      <c r="AC556" s="8"/>
      <c r="AD556" s="8"/>
      <c r="AF556" s="8"/>
      <c r="AG556" s="8"/>
      <c r="AH556" s="8"/>
      <c r="AL556" s="8"/>
      <c r="AM556" s="8"/>
    </row>
    <row r="557" spans="1:42" x14ac:dyDescent="0.2">
      <c r="A557" t="s">
        <v>1247</v>
      </c>
      <c r="N557">
        <v>5</v>
      </c>
      <c r="V557" s="8"/>
      <c r="W557" s="8"/>
      <c r="X557" s="8"/>
      <c r="Y557" s="8"/>
      <c r="Z557" s="8"/>
      <c r="AB557" s="4"/>
      <c r="AC557" s="8"/>
      <c r="AD557" s="8"/>
      <c r="AF557" s="8"/>
      <c r="AG557" s="8"/>
      <c r="AH557" s="8"/>
      <c r="AL557" s="8"/>
      <c r="AM557" s="8"/>
    </row>
    <row r="558" spans="1:42" x14ac:dyDescent="0.2">
      <c r="A558" t="s">
        <v>1248</v>
      </c>
      <c r="G558">
        <v>5</v>
      </c>
      <c r="I558">
        <v>5</v>
      </c>
      <c r="K558">
        <v>5</v>
      </c>
      <c r="V558" s="8"/>
      <c r="W558" s="8"/>
      <c r="X558" s="8"/>
      <c r="Y558" s="8"/>
      <c r="Z558" s="8"/>
      <c r="AB558" s="4"/>
      <c r="AC558" s="8"/>
      <c r="AD558" s="8"/>
      <c r="AF558" s="8"/>
      <c r="AG558" s="8"/>
      <c r="AH558" s="8"/>
      <c r="AL558" s="8"/>
      <c r="AM558" s="8"/>
    </row>
    <row r="559" spans="1:42" x14ac:dyDescent="0.2">
      <c r="A559" t="s">
        <v>1249</v>
      </c>
      <c r="G559">
        <v>6</v>
      </c>
      <c r="O559">
        <v>3</v>
      </c>
      <c r="V559" s="8"/>
      <c r="W559" s="8"/>
      <c r="X559" s="8"/>
      <c r="Y559" s="8"/>
      <c r="Z559" s="8"/>
      <c r="AB559" s="4"/>
      <c r="AC559" s="8"/>
      <c r="AD559" s="8"/>
      <c r="AF559" s="8"/>
      <c r="AG559" s="8"/>
      <c r="AH559" s="8"/>
      <c r="AL559" s="8"/>
      <c r="AM559" s="8"/>
    </row>
    <row r="560" spans="1:42" x14ac:dyDescent="0.2">
      <c r="A560" t="s">
        <v>1868</v>
      </c>
      <c r="N560">
        <v>6</v>
      </c>
      <c r="O560">
        <v>6</v>
      </c>
      <c r="V560" s="8"/>
      <c r="W560" s="8"/>
      <c r="X560" s="8"/>
      <c r="Y560" s="8"/>
      <c r="Z560" s="8"/>
      <c r="AB560" s="4"/>
      <c r="AC560" s="8"/>
      <c r="AD560" s="8"/>
      <c r="AF560" s="8"/>
      <c r="AG560" s="8"/>
      <c r="AH560" s="8"/>
      <c r="AL560" s="8"/>
      <c r="AM560" s="8"/>
    </row>
    <row r="561" spans="1:62" x14ac:dyDescent="0.2">
      <c r="A561" t="s">
        <v>1252</v>
      </c>
      <c r="I561">
        <v>5</v>
      </c>
      <c r="N561">
        <v>7</v>
      </c>
      <c r="V561" s="8"/>
      <c r="W561" s="8"/>
      <c r="X561" s="8"/>
      <c r="Y561" s="8"/>
      <c r="Z561" s="8"/>
      <c r="AB561" s="4"/>
      <c r="AC561" s="8"/>
      <c r="AD561" s="8"/>
      <c r="AF561" s="8"/>
      <c r="AG561" s="8"/>
      <c r="AH561" s="8"/>
      <c r="AL561" s="8"/>
      <c r="AM561" s="8"/>
    </row>
    <row r="562" spans="1:62" x14ac:dyDescent="0.2">
      <c r="A562" s="3" t="s">
        <v>1250</v>
      </c>
      <c r="I562">
        <v>8</v>
      </c>
      <c r="V562" s="8"/>
      <c r="W562" s="8"/>
      <c r="X562" s="8"/>
      <c r="Y562" s="8"/>
      <c r="Z562" s="8"/>
      <c r="AA562" s="8"/>
      <c r="AB562" s="4"/>
      <c r="AC562" s="8"/>
      <c r="AD562" s="8"/>
      <c r="AE562"/>
      <c r="AF562" s="4"/>
      <c r="AG562" s="4"/>
      <c r="AH562" s="8"/>
      <c r="AL562" s="8"/>
      <c r="AN562"/>
      <c r="AP562" s="8"/>
    </row>
    <row r="563" spans="1:62" x14ac:dyDescent="0.2">
      <c r="A563" s="3" t="s">
        <v>1251</v>
      </c>
      <c r="I563">
        <v>9</v>
      </c>
      <c r="V563" s="8"/>
      <c r="W563" s="8"/>
      <c r="X563" s="8"/>
      <c r="Y563" s="8"/>
      <c r="Z563" s="8"/>
      <c r="AA563" s="8"/>
      <c r="AB563" s="4"/>
      <c r="AC563" s="8"/>
      <c r="AD563" s="8"/>
      <c r="AE563"/>
      <c r="AF563" s="4"/>
      <c r="AG563" s="4"/>
      <c r="AH563" s="8"/>
      <c r="AL563" s="8"/>
      <c r="AN563"/>
      <c r="AP563" s="8"/>
    </row>
    <row r="564" spans="1:62" x14ac:dyDescent="0.2">
      <c r="A564" t="s">
        <v>1253</v>
      </c>
      <c r="N564">
        <v>7</v>
      </c>
      <c r="V564" s="8"/>
      <c r="W564" s="8"/>
      <c r="X564" s="8"/>
      <c r="Y564" s="8"/>
      <c r="Z564" s="8"/>
      <c r="AB564" s="4"/>
      <c r="AC564" s="8"/>
      <c r="AD564" s="8"/>
      <c r="AF564" s="8"/>
      <c r="AG564" s="8"/>
      <c r="AH564" s="8"/>
      <c r="AL564" s="8"/>
      <c r="AM564" s="8"/>
    </row>
    <row r="565" spans="1:62" x14ac:dyDescent="0.2">
      <c r="A565" t="s">
        <v>1254</v>
      </c>
      <c r="J565">
        <v>-4</v>
      </c>
      <c r="O565">
        <v>8</v>
      </c>
      <c r="V565" s="8"/>
      <c r="W565" s="8"/>
      <c r="X565" s="8"/>
      <c r="Y565" s="8"/>
      <c r="Z565" s="8"/>
      <c r="AB565" s="4"/>
      <c r="AC565" s="8"/>
      <c r="AD565" s="8"/>
      <c r="AE565" s="4">
        <v>4</v>
      </c>
      <c r="AF565" s="8"/>
      <c r="AG565" s="8"/>
      <c r="AH565" s="8"/>
      <c r="AL565" s="8"/>
      <c r="AM565" s="8"/>
    </row>
    <row r="566" spans="1:62" x14ac:dyDescent="0.2">
      <c r="A566" t="s">
        <v>1255</v>
      </c>
      <c r="N566">
        <v>4</v>
      </c>
      <c r="O566">
        <v>4</v>
      </c>
      <c r="V566" s="8"/>
      <c r="W566" s="8"/>
      <c r="X566" s="8"/>
      <c r="Y566" s="8"/>
      <c r="Z566" s="8"/>
      <c r="AB566" s="4"/>
      <c r="AC566" s="8"/>
      <c r="AD566" s="8"/>
      <c r="AF566" s="8"/>
      <c r="AG566" s="8"/>
      <c r="AH566" s="8"/>
      <c r="AL566" s="8"/>
      <c r="AM566" s="8"/>
    </row>
    <row r="567" spans="1:62" x14ac:dyDescent="0.2">
      <c r="A567" t="s">
        <v>1256</v>
      </c>
      <c r="G567">
        <v>4</v>
      </c>
      <c r="H567">
        <v>4</v>
      </c>
      <c r="N567">
        <v>4</v>
      </c>
      <c r="O567">
        <v>4</v>
      </c>
      <c r="V567" s="8"/>
      <c r="W567" s="8"/>
      <c r="X567" s="8"/>
      <c r="Y567" s="8"/>
      <c r="Z567" s="8"/>
      <c r="AB567" s="4"/>
      <c r="AC567" s="8"/>
      <c r="AD567" s="8"/>
      <c r="AF567" s="8"/>
      <c r="AG567" s="8"/>
      <c r="AH567" s="8"/>
      <c r="AL567" s="8"/>
      <c r="AM567" s="8"/>
    </row>
    <row r="568" spans="1:62" x14ac:dyDescent="0.2">
      <c r="A568" t="s">
        <v>1257</v>
      </c>
      <c r="N568">
        <v>7</v>
      </c>
      <c r="V568" s="8"/>
      <c r="W568" s="8"/>
      <c r="X568" s="8"/>
      <c r="Y568" s="8"/>
      <c r="Z568" s="8"/>
      <c r="AB568" s="4"/>
      <c r="AC568" s="8"/>
      <c r="AD568" s="8"/>
      <c r="AF568" s="8"/>
      <c r="AG568" s="8"/>
      <c r="AH568" s="8"/>
      <c r="AL568" s="8"/>
      <c r="AM568" s="8"/>
    </row>
    <row r="569" spans="1:62" x14ac:dyDescent="0.2">
      <c r="A569" t="s">
        <v>1258</v>
      </c>
      <c r="N569">
        <v>10</v>
      </c>
      <c r="V569" s="8"/>
      <c r="W569" s="8"/>
      <c r="X569" s="8"/>
      <c r="Y569" s="8"/>
      <c r="Z569" s="8"/>
      <c r="AB569" s="4"/>
      <c r="AC569" s="8"/>
      <c r="AD569" s="8"/>
      <c r="AF569" s="8"/>
      <c r="AG569" s="8"/>
      <c r="AH569" s="8"/>
      <c r="AL569" s="8"/>
      <c r="AM569" s="8"/>
    </row>
    <row r="570" spans="1:62" x14ac:dyDescent="0.2">
      <c r="A570" s="3" t="s">
        <v>1259</v>
      </c>
      <c r="B570" s="144"/>
      <c r="C570" s="144"/>
      <c r="D570" s="144"/>
      <c r="E570" s="144"/>
      <c r="F570" s="144"/>
      <c r="G570" s="144">
        <v>2</v>
      </c>
      <c r="H570" s="144"/>
      <c r="I570" s="144"/>
      <c r="J570" s="144"/>
      <c r="K570" s="144"/>
      <c r="L570" s="144"/>
      <c r="M570" s="144"/>
      <c r="N570" s="144"/>
      <c r="O570" s="144">
        <v>10</v>
      </c>
      <c r="P570" s="144"/>
      <c r="Q570" s="144"/>
      <c r="R570" s="144"/>
      <c r="S570" s="144"/>
      <c r="T570" s="144"/>
      <c r="U570" s="144"/>
      <c r="V570" s="177"/>
      <c r="W570" s="177"/>
      <c r="X570" s="177"/>
      <c r="Y570" s="177"/>
      <c r="Z570" s="177"/>
      <c r="AA570" s="177"/>
      <c r="AB570" s="178"/>
      <c r="AC570" s="177"/>
      <c r="AD570" s="177"/>
      <c r="AE570" s="144"/>
      <c r="AF570" s="178"/>
      <c r="AG570" s="177"/>
      <c r="AH570" s="177"/>
      <c r="AI570" s="178"/>
      <c r="AJ570" s="178"/>
      <c r="AK570" s="178"/>
      <c r="AL570" s="178"/>
      <c r="AM570" s="144"/>
      <c r="AN570" s="144"/>
      <c r="AO570" s="144"/>
      <c r="AP570" s="144"/>
      <c r="AQ570" s="144"/>
      <c r="AR570" s="144"/>
      <c r="AS570" s="144"/>
      <c r="AT570" s="144"/>
      <c r="AU570" s="144"/>
      <c r="AV570" s="144"/>
      <c r="AW570" s="144"/>
      <c r="AX570" s="144"/>
      <c r="AY570" s="144"/>
      <c r="AZ570" s="144"/>
      <c r="BA570" s="144"/>
      <c r="BB570" s="144"/>
      <c r="BC570" s="144"/>
      <c r="BD570" s="144"/>
      <c r="BE570" s="144"/>
      <c r="BF570" s="144"/>
      <c r="BG570" s="144"/>
      <c r="BH570" s="144"/>
      <c r="BI570" s="144"/>
      <c r="BJ570" s="144"/>
    </row>
    <row r="571" spans="1:62" x14ac:dyDescent="0.2">
      <c r="A571" s="3" t="s">
        <v>1260</v>
      </c>
      <c r="N571">
        <v>7</v>
      </c>
      <c r="V571" s="8"/>
      <c r="W571" s="8"/>
      <c r="X571" s="8"/>
      <c r="Y571" s="8"/>
      <c r="Z571" s="8"/>
      <c r="AA571" s="8"/>
      <c r="AB571" s="4"/>
      <c r="AC571" s="8"/>
      <c r="AD571" s="8"/>
      <c r="AE571"/>
      <c r="AF571" s="4"/>
      <c r="AG571" s="4"/>
      <c r="AH571" s="8"/>
      <c r="AL571" s="8"/>
      <c r="AN571"/>
      <c r="AP571" s="8"/>
    </row>
    <row r="572" spans="1:62" x14ac:dyDescent="0.2">
      <c r="A572" s="3" t="s">
        <v>1261</v>
      </c>
      <c r="N572">
        <v>8</v>
      </c>
      <c r="V572" s="8"/>
      <c r="W572" s="8"/>
      <c r="X572" s="8"/>
      <c r="Y572" s="8"/>
      <c r="Z572" s="8"/>
      <c r="AA572" s="8"/>
      <c r="AB572" s="4"/>
      <c r="AC572" s="8"/>
      <c r="AD572" s="8"/>
      <c r="AE572"/>
      <c r="AF572" s="4"/>
      <c r="AG572" s="4"/>
      <c r="AH572" s="8"/>
      <c r="AL572" s="8"/>
      <c r="AN572"/>
      <c r="AP572" s="8"/>
    </row>
    <row r="575" spans="1:62" s="1" customFormat="1" x14ac:dyDescent="0.2">
      <c r="A575" s="1" t="s">
        <v>94</v>
      </c>
      <c r="B575" s="1" t="s">
        <v>72</v>
      </c>
      <c r="C575" s="1" t="s">
        <v>482</v>
      </c>
      <c r="D575" s="1" t="s">
        <v>483</v>
      </c>
      <c r="E575" s="1" t="s">
        <v>484</v>
      </c>
      <c r="F575" s="1" t="s">
        <v>492</v>
      </c>
      <c r="G575" s="1" t="s">
        <v>26</v>
      </c>
      <c r="H575" s="1" t="s">
        <v>27</v>
      </c>
      <c r="I575" s="1" t="s">
        <v>23</v>
      </c>
      <c r="J575" s="1" t="s">
        <v>25</v>
      </c>
      <c r="K575" s="1" t="s">
        <v>298</v>
      </c>
      <c r="L575" s="1" t="s">
        <v>299</v>
      </c>
      <c r="M575" s="1" t="s">
        <v>300</v>
      </c>
      <c r="N575" s="1" t="s">
        <v>74</v>
      </c>
      <c r="O575" s="1" t="s">
        <v>73</v>
      </c>
      <c r="P575" s="1" t="s">
        <v>375</v>
      </c>
      <c r="Q575" s="1" t="s">
        <v>553</v>
      </c>
      <c r="R575" s="1" t="s">
        <v>554</v>
      </c>
      <c r="S575" s="1" t="s">
        <v>555</v>
      </c>
      <c r="T575" s="213" t="s">
        <v>556</v>
      </c>
      <c r="U575" s="213" t="s">
        <v>557</v>
      </c>
      <c r="V575" s="1" t="s">
        <v>75</v>
      </c>
      <c r="W575" s="1" t="s">
        <v>76</v>
      </c>
      <c r="X575" s="1" t="s">
        <v>77</v>
      </c>
      <c r="Y575" s="1" t="s">
        <v>480</v>
      </c>
      <c r="Z575" s="1" t="s">
        <v>80</v>
      </c>
      <c r="AA575" s="1" t="s">
        <v>481</v>
      </c>
      <c r="AB575" s="1" t="s">
        <v>28</v>
      </c>
      <c r="AC575" s="1" t="s">
        <v>78</v>
      </c>
      <c r="AD575" s="1" t="s">
        <v>79</v>
      </c>
      <c r="AE575" s="213" t="s">
        <v>82</v>
      </c>
      <c r="AF575" s="1" t="s">
        <v>81</v>
      </c>
      <c r="AG575" s="1" t="s">
        <v>102</v>
      </c>
      <c r="AH575" s="1" t="s">
        <v>103</v>
      </c>
      <c r="AI575" s="213" t="s">
        <v>452</v>
      </c>
      <c r="AJ575" s="213" t="s">
        <v>453</v>
      </c>
      <c r="AK575" s="213" t="s">
        <v>440</v>
      </c>
      <c r="AL575" s="1" t="s">
        <v>349</v>
      </c>
      <c r="AM575" s="1" t="s">
        <v>524</v>
      </c>
      <c r="AN575" s="213" t="s">
        <v>109</v>
      </c>
    </row>
    <row r="576" spans="1:62" x14ac:dyDescent="0.2">
      <c r="A576" t="s">
        <v>245</v>
      </c>
      <c r="V576" s="8"/>
      <c r="W576" s="8"/>
      <c r="X576" s="8"/>
      <c r="Y576" s="8"/>
      <c r="Z576" s="8"/>
      <c r="AB576" s="4"/>
      <c r="AC576" s="8"/>
      <c r="AD576" s="8"/>
      <c r="AF576" s="8"/>
      <c r="AG576" s="8"/>
      <c r="AH576" s="8"/>
      <c r="AL576" s="8"/>
      <c r="AM576" s="8"/>
    </row>
    <row r="577" spans="1:43" x14ac:dyDescent="0.2">
      <c r="A577" t="s">
        <v>1262</v>
      </c>
      <c r="N577">
        <v>20</v>
      </c>
      <c r="V577" s="8"/>
      <c r="W577" s="8"/>
      <c r="X577" s="8"/>
      <c r="Y577" s="8"/>
      <c r="Z577" s="8"/>
      <c r="AB577" s="4"/>
      <c r="AC577" s="8"/>
      <c r="AD577" s="8"/>
      <c r="AF577" s="8"/>
      <c r="AG577" s="8"/>
      <c r="AH577" s="8"/>
      <c r="AL577" s="8"/>
      <c r="AM577" s="8"/>
    </row>
    <row r="578" spans="1:43" x14ac:dyDescent="0.2">
      <c r="A578" t="s">
        <v>1263</v>
      </c>
      <c r="H578">
        <v>6</v>
      </c>
      <c r="J578">
        <v>6</v>
      </c>
      <c r="N578">
        <v>8</v>
      </c>
      <c r="V578" s="8"/>
      <c r="W578" s="8"/>
      <c r="X578" s="8"/>
      <c r="Y578" s="8"/>
      <c r="Z578" s="8"/>
      <c r="AB578" s="4"/>
      <c r="AC578" s="8"/>
      <c r="AD578" s="8"/>
      <c r="AF578" s="8"/>
      <c r="AG578" s="8"/>
      <c r="AH578" s="8"/>
      <c r="AL578" s="8"/>
      <c r="AM578" s="8"/>
    </row>
    <row r="579" spans="1:43" x14ac:dyDescent="0.2">
      <c r="A579" t="s">
        <v>1264</v>
      </c>
      <c r="G579">
        <v>1</v>
      </c>
      <c r="O579">
        <v>10</v>
      </c>
      <c r="V579" s="8"/>
      <c r="W579" s="8"/>
      <c r="X579" s="8"/>
      <c r="Y579" s="8"/>
      <c r="Z579" s="8"/>
      <c r="AB579" s="4"/>
      <c r="AC579" s="8"/>
      <c r="AD579" s="8"/>
      <c r="AF579" s="8"/>
      <c r="AG579" s="8"/>
      <c r="AH579" s="8"/>
      <c r="AL579" s="8"/>
      <c r="AM579" s="8"/>
    </row>
    <row r="580" spans="1:43" x14ac:dyDescent="0.2">
      <c r="A580" t="s">
        <v>1265</v>
      </c>
      <c r="G580">
        <v>2</v>
      </c>
      <c r="O580">
        <v>15</v>
      </c>
      <c r="V580" s="8"/>
      <c r="W580" s="8"/>
      <c r="X580" s="8"/>
      <c r="Y580" s="8"/>
      <c r="Z580" s="8"/>
      <c r="AB580" s="4"/>
      <c r="AC580" s="8"/>
      <c r="AD580" s="8"/>
      <c r="AF580" s="8"/>
      <c r="AG580" s="8"/>
      <c r="AH580" s="8"/>
      <c r="AL580" s="8"/>
      <c r="AM580" s="8"/>
    </row>
    <row r="581" spans="1:43" x14ac:dyDescent="0.2">
      <c r="A581" t="s">
        <v>1266</v>
      </c>
      <c r="G581">
        <v>5</v>
      </c>
      <c r="V581" s="8">
        <v>0.04</v>
      </c>
      <c r="W581" s="8"/>
      <c r="X581" s="8"/>
      <c r="Y581" s="8"/>
      <c r="Z581" s="8"/>
      <c r="AB581" s="4"/>
      <c r="AC581" s="8"/>
      <c r="AD581" s="8"/>
      <c r="AF581" s="8"/>
      <c r="AG581" s="8"/>
      <c r="AH581" s="8"/>
      <c r="AL581" s="8"/>
      <c r="AM581" s="8"/>
    </row>
    <row r="582" spans="1:43" x14ac:dyDescent="0.2">
      <c r="A582" t="s">
        <v>1267</v>
      </c>
      <c r="G582">
        <v>5</v>
      </c>
      <c r="O582">
        <v>20</v>
      </c>
      <c r="V582" s="8">
        <v>0.04</v>
      </c>
      <c r="W582" s="8"/>
      <c r="X582" s="8"/>
      <c r="Y582" s="8"/>
      <c r="Z582" s="8"/>
      <c r="AB582" s="4"/>
      <c r="AC582" s="8"/>
      <c r="AD582" s="8"/>
      <c r="AF582" s="8"/>
      <c r="AG582" s="8"/>
      <c r="AH582" s="8"/>
      <c r="AL582" s="8"/>
      <c r="AM582" s="8"/>
    </row>
    <row r="583" spans="1:43" x14ac:dyDescent="0.2">
      <c r="A583" s="3" t="s">
        <v>1268</v>
      </c>
      <c r="O583">
        <v>12</v>
      </c>
      <c r="T583">
        <v>12</v>
      </c>
      <c r="V583" s="8"/>
      <c r="W583" s="8"/>
      <c r="X583" s="8"/>
      <c r="Y583" s="8"/>
      <c r="Z583" s="8"/>
      <c r="AA583" s="8"/>
      <c r="AB583" s="4"/>
      <c r="AC583" s="8"/>
      <c r="AD583" s="8"/>
      <c r="AE583"/>
      <c r="AF583" s="4"/>
      <c r="AG583" s="4"/>
      <c r="AH583" s="8"/>
      <c r="AI583" s="8"/>
      <c r="AJ583" s="8"/>
      <c r="AK583" s="8"/>
      <c r="AL583" s="8"/>
      <c r="AN583"/>
    </row>
    <row r="584" spans="1:43" x14ac:dyDescent="0.2">
      <c r="A584" t="s">
        <v>1269</v>
      </c>
      <c r="O584">
        <v>20</v>
      </c>
      <c r="V584" s="8">
        <v>0.03</v>
      </c>
      <c r="W584" s="8"/>
      <c r="X584" s="8"/>
      <c r="Y584" s="8"/>
      <c r="Z584" s="8"/>
      <c r="AB584" s="4"/>
      <c r="AC584" s="8"/>
      <c r="AD584" s="8"/>
      <c r="AF584" s="8"/>
      <c r="AG584" s="8"/>
      <c r="AH584" s="8"/>
      <c r="AL584" s="8"/>
      <c r="AM584" s="8"/>
      <c r="AQ584" s="8"/>
    </row>
    <row r="585" spans="1:43" x14ac:dyDescent="0.2">
      <c r="A585" t="s">
        <v>1270</v>
      </c>
      <c r="N585">
        <v>12</v>
      </c>
      <c r="O585">
        <v>12</v>
      </c>
      <c r="V585" s="8"/>
      <c r="W585" s="8"/>
      <c r="X585" s="8"/>
      <c r="Y585" s="8"/>
      <c r="Z585" s="8"/>
      <c r="AB585" s="4"/>
      <c r="AC585" s="8"/>
      <c r="AD585" s="8"/>
      <c r="AF585" s="8"/>
      <c r="AG585" s="8"/>
      <c r="AH585" s="8"/>
      <c r="AL585" s="8"/>
      <c r="AM585" s="8"/>
      <c r="AQ585" s="8"/>
    </row>
    <row r="586" spans="1:43" x14ac:dyDescent="0.2">
      <c r="A586" t="s">
        <v>1271</v>
      </c>
      <c r="O586">
        <v>20</v>
      </c>
      <c r="V586" s="8"/>
      <c r="W586" s="8">
        <v>0.02</v>
      </c>
      <c r="X586" s="8"/>
      <c r="Y586" s="8"/>
      <c r="Z586" s="8"/>
      <c r="AB586" s="4"/>
      <c r="AC586" s="8"/>
      <c r="AD586" s="8"/>
      <c r="AF586" s="8"/>
      <c r="AG586" s="8"/>
      <c r="AH586" s="8"/>
      <c r="AL586" s="8"/>
      <c r="AM586" s="8"/>
      <c r="AQ586" s="8"/>
    </row>
    <row r="587" spans="1:43" x14ac:dyDescent="0.2">
      <c r="A587" t="s">
        <v>1272</v>
      </c>
      <c r="V587" s="8"/>
      <c r="W587" s="8"/>
      <c r="X587" s="8"/>
      <c r="Y587" s="8"/>
      <c r="Z587" s="8"/>
      <c r="AB587" s="4"/>
      <c r="AC587" s="8"/>
      <c r="AD587" s="8"/>
      <c r="AF587" s="8"/>
      <c r="AG587" s="8"/>
      <c r="AH587" s="8"/>
      <c r="AL587" s="8"/>
      <c r="AM587" s="8"/>
      <c r="AQ587" s="8"/>
    </row>
    <row r="588" spans="1:43" x14ac:dyDescent="0.2">
      <c r="A588" t="str">
        <f>Augments!A67</f>
        <v>Brigantia's Mantle (DEX+Crit)</v>
      </c>
      <c r="B588">
        <f t="shared" ref="B588:K599" ca="1" si="44">IF(ISBLANK($A588),0,VLOOKUP($A588,INDIRECT(CONCATENATE("Aug",$A$575)),MATCH(B$1,AugStatHeader,0),0)
+VLOOKUP(LEFT($A588,FIND(" (",$A588,1)-1),INDIRECT("BaseAugArmor"),MATCH(B$1,StatHeader,0),0))</f>
        <v>0</v>
      </c>
      <c r="C588">
        <f t="shared" ca="1" si="44"/>
        <v>0</v>
      </c>
      <c r="D588">
        <f t="shared" ca="1" si="44"/>
        <v>0</v>
      </c>
      <c r="E588">
        <f t="shared" ca="1" si="44"/>
        <v>0</v>
      </c>
      <c r="F588">
        <f t="shared" ca="1" si="44"/>
        <v>0</v>
      </c>
      <c r="G588">
        <f t="shared" ca="1" si="44"/>
        <v>0</v>
      </c>
      <c r="H588">
        <f t="shared" ca="1" si="44"/>
        <v>30</v>
      </c>
      <c r="I588">
        <f t="shared" ca="1" si="44"/>
        <v>0</v>
      </c>
      <c r="J588">
        <f t="shared" ca="1" si="44"/>
        <v>0</v>
      </c>
      <c r="K588">
        <f t="shared" ca="1" si="44"/>
        <v>0</v>
      </c>
      <c r="L588">
        <f t="shared" ref="L588:U599" ca="1" si="45">IF(ISBLANK($A588),0,VLOOKUP($A588,INDIRECT(CONCATENATE("Aug",$A$575)),MATCH(L$1,AugStatHeader,0),0)
+VLOOKUP(LEFT($A588,FIND(" (",$A588,1)-1),INDIRECT("BaseAugArmor"),MATCH(L$1,StatHeader,0),0))</f>
        <v>0</v>
      </c>
      <c r="M588">
        <f t="shared" ca="1" si="45"/>
        <v>0</v>
      </c>
      <c r="N588">
        <f t="shared" ca="1" si="45"/>
        <v>20</v>
      </c>
      <c r="O588">
        <f t="shared" ca="1" si="45"/>
        <v>20</v>
      </c>
      <c r="P588" s="8">
        <f t="shared" ca="1" si="45"/>
        <v>0</v>
      </c>
      <c r="Q588">
        <f t="shared" ca="1" si="45"/>
        <v>0</v>
      </c>
      <c r="R588">
        <f t="shared" ca="1" si="45"/>
        <v>0</v>
      </c>
      <c r="S588">
        <f t="shared" ca="1" si="45"/>
        <v>0</v>
      </c>
      <c r="T588">
        <f t="shared" ca="1" si="45"/>
        <v>0</v>
      </c>
      <c r="U588">
        <f t="shared" ca="1" si="45"/>
        <v>0</v>
      </c>
      <c r="V588" s="8">
        <f t="shared" ref="V588:AE599" ca="1" si="46">IF(ISBLANK($A588),0,VLOOKUP($A588,INDIRECT(CONCATENATE("Aug",$A$575)),MATCH(V$1,AugStatHeader,0),0)
+VLOOKUP(LEFT($A588,FIND(" (",$A588,1)-1),INDIRECT("BaseAugArmor"),MATCH(V$1,StatHeader,0),0))</f>
        <v>0</v>
      </c>
      <c r="W588" s="8">
        <f t="shared" ca="1" si="46"/>
        <v>0</v>
      </c>
      <c r="X588" s="8">
        <f t="shared" ca="1" si="46"/>
        <v>0</v>
      </c>
      <c r="Y588" s="8">
        <f t="shared" ca="1" si="46"/>
        <v>0</v>
      </c>
      <c r="Z588" s="8">
        <f t="shared" ca="1" si="46"/>
        <v>0</v>
      </c>
      <c r="AA588">
        <f t="shared" ca="1" si="46"/>
        <v>0</v>
      </c>
      <c r="AB588">
        <f t="shared" ca="1" si="46"/>
        <v>0</v>
      </c>
      <c r="AC588" s="8">
        <f t="shared" ca="1" si="46"/>
        <v>0.1</v>
      </c>
      <c r="AD588" s="8">
        <f t="shared" ca="1" si="46"/>
        <v>0</v>
      </c>
      <c r="AE588">
        <f t="shared" ca="1" si="46"/>
        <v>0</v>
      </c>
      <c r="AF588">
        <f t="shared" ref="AF588:AN599" ca="1" si="47">IF(ISBLANK($A588),0,VLOOKUP($A588,INDIRECT(CONCATENATE("Aug",$A$575)),MATCH(AF$1,AugStatHeader,0),0)
+VLOOKUP(LEFT($A588,FIND(" (",$A588,1)-1),INDIRECT("BaseAugArmor"),MATCH(AF$1,StatHeader,0),0))</f>
        <v>0</v>
      </c>
      <c r="AG588">
        <f t="shared" ca="1" si="47"/>
        <v>0</v>
      </c>
      <c r="AH588" s="8">
        <f t="shared" ca="1" si="47"/>
        <v>0</v>
      </c>
      <c r="AI588">
        <f t="shared" ca="1" si="47"/>
        <v>0</v>
      </c>
      <c r="AJ588">
        <f t="shared" ca="1" si="47"/>
        <v>0</v>
      </c>
      <c r="AK588">
        <f t="shared" ca="1" si="47"/>
        <v>0</v>
      </c>
      <c r="AL588">
        <f t="shared" ca="1" si="47"/>
        <v>0</v>
      </c>
      <c r="AM588" s="8">
        <f t="shared" ca="1" si="47"/>
        <v>0</v>
      </c>
      <c r="AN588">
        <f t="shared" ca="1" si="47"/>
        <v>0</v>
      </c>
    </row>
    <row r="589" spans="1:43" x14ac:dyDescent="0.2">
      <c r="A589" t="str">
        <f>Augments!A68</f>
        <v>Brigantia's Mantle (DEX+DA)</v>
      </c>
      <c r="B589">
        <f t="shared" ca="1" si="44"/>
        <v>0</v>
      </c>
      <c r="C589">
        <f t="shared" ca="1" si="44"/>
        <v>0</v>
      </c>
      <c r="D589">
        <f t="shared" ca="1" si="44"/>
        <v>0</v>
      </c>
      <c r="E589">
        <f t="shared" ca="1" si="44"/>
        <v>0</v>
      </c>
      <c r="F589">
        <f t="shared" ca="1" si="44"/>
        <v>0</v>
      </c>
      <c r="G589">
        <f t="shared" ca="1" si="44"/>
        <v>0</v>
      </c>
      <c r="H589">
        <f t="shared" ca="1" si="44"/>
        <v>30</v>
      </c>
      <c r="I589">
        <f t="shared" ca="1" si="44"/>
        <v>0</v>
      </c>
      <c r="J589">
        <f t="shared" ca="1" si="44"/>
        <v>0</v>
      </c>
      <c r="K589">
        <f t="shared" ca="1" si="44"/>
        <v>0</v>
      </c>
      <c r="L589">
        <f t="shared" ca="1" si="45"/>
        <v>0</v>
      </c>
      <c r="M589">
        <f t="shared" ca="1" si="45"/>
        <v>0</v>
      </c>
      <c r="N589">
        <f t="shared" ca="1" si="45"/>
        <v>20</v>
      </c>
      <c r="O589">
        <f t="shared" ca="1" si="45"/>
        <v>20</v>
      </c>
      <c r="P589" s="8">
        <f t="shared" ca="1" si="45"/>
        <v>0</v>
      </c>
      <c r="Q589">
        <f t="shared" ca="1" si="45"/>
        <v>0</v>
      </c>
      <c r="R589">
        <f t="shared" ca="1" si="45"/>
        <v>0</v>
      </c>
      <c r="S589">
        <f t="shared" ca="1" si="45"/>
        <v>0</v>
      </c>
      <c r="T589">
        <f t="shared" ca="1" si="45"/>
        <v>0</v>
      </c>
      <c r="U589">
        <f t="shared" ca="1" si="45"/>
        <v>0</v>
      </c>
      <c r="V589" s="8">
        <f t="shared" ca="1" si="46"/>
        <v>0.1</v>
      </c>
      <c r="W589" s="8">
        <f t="shared" ca="1" si="46"/>
        <v>0</v>
      </c>
      <c r="X589" s="8">
        <f t="shared" ca="1" si="46"/>
        <v>0</v>
      </c>
      <c r="Y589" s="8">
        <f t="shared" ca="1" si="46"/>
        <v>0</v>
      </c>
      <c r="Z589" s="8">
        <f t="shared" ca="1" si="46"/>
        <v>0</v>
      </c>
      <c r="AA589">
        <f t="shared" ca="1" si="46"/>
        <v>0</v>
      </c>
      <c r="AB589">
        <f t="shared" ca="1" si="46"/>
        <v>0</v>
      </c>
      <c r="AC589" s="8">
        <f t="shared" ca="1" si="46"/>
        <v>0</v>
      </c>
      <c r="AD589" s="8">
        <f t="shared" ca="1" si="46"/>
        <v>0</v>
      </c>
      <c r="AE589">
        <f t="shared" ca="1" si="46"/>
        <v>0</v>
      </c>
      <c r="AF589">
        <f t="shared" ca="1" si="47"/>
        <v>0</v>
      </c>
      <c r="AG589">
        <f t="shared" ca="1" si="47"/>
        <v>0</v>
      </c>
      <c r="AH589" s="8">
        <f t="shared" ca="1" si="47"/>
        <v>0</v>
      </c>
      <c r="AI589">
        <f t="shared" ca="1" si="47"/>
        <v>0</v>
      </c>
      <c r="AJ589">
        <f t="shared" ca="1" si="47"/>
        <v>0</v>
      </c>
      <c r="AK589">
        <f t="shared" ca="1" si="47"/>
        <v>0</v>
      </c>
      <c r="AL589">
        <f t="shared" ca="1" si="47"/>
        <v>0</v>
      </c>
      <c r="AM589" s="8">
        <f t="shared" ca="1" si="47"/>
        <v>0</v>
      </c>
      <c r="AN589">
        <f t="shared" ca="1" si="47"/>
        <v>0</v>
      </c>
      <c r="AQ589" s="8"/>
    </row>
    <row r="590" spans="1:43" x14ac:dyDescent="0.2">
      <c r="A590" t="str">
        <f>Augments!A69</f>
        <v>Brigantia's Mantle (DEX+Haste)</v>
      </c>
      <c r="B590">
        <f t="shared" ca="1" si="44"/>
        <v>0</v>
      </c>
      <c r="C590">
        <f t="shared" ca="1" si="44"/>
        <v>0</v>
      </c>
      <c r="D590">
        <f t="shared" ca="1" si="44"/>
        <v>0</v>
      </c>
      <c r="E590">
        <f t="shared" ca="1" si="44"/>
        <v>0</v>
      </c>
      <c r="F590">
        <f t="shared" ca="1" si="44"/>
        <v>0</v>
      </c>
      <c r="G590">
        <f t="shared" ca="1" si="44"/>
        <v>0</v>
      </c>
      <c r="H590">
        <f t="shared" ca="1" si="44"/>
        <v>30</v>
      </c>
      <c r="I590">
        <f t="shared" ca="1" si="44"/>
        <v>0</v>
      </c>
      <c r="J590">
        <f t="shared" ca="1" si="44"/>
        <v>0</v>
      </c>
      <c r="K590">
        <f t="shared" ca="1" si="44"/>
        <v>0</v>
      </c>
      <c r="L590">
        <f t="shared" ca="1" si="45"/>
        <v>0</v>
      </c>
      <c r="M590">
        <f t="shared" ca="1" si="45"/>
        <v>0</v>
      </c>
      <c r="N590">
        <f t="shared" ca="1" si="45"/>
        <v>20</v>
      </c>
      <c r="O590">
        <f t="shared" ca="1" si="45"/>
        <v>20</v>
      </c>
      <c r="P590" s="8">
        <f t="shared" ca="1" si="45"/>
        <v>0</v>
      </c>
      <c r="Q590">
        <f t="shared" ca="1" si="45"/>
        <v>0</v>
      </c>
      <c r="R590">
        <f t="shared" ca="1" si="45"/>
        <v>0</v>
      </c>
      <c r="S590">
        <f t="shared" ca="1" si="45"/>
        <v>0</v>
      </c>
      <c r="T590">
        <f t="shared" ca="1" si="45"/>
        <v>0</v>
      </c>
      <c r="U590">
        <f t="shared" ca="1" si="45"/>
        <v>0</v>
      </c>
      <c r="V590" s="8">
        <f t="shared" ca="1" si="46"/>
        <v>0</v>
      </c>
      <c r="W590" s="8">
        <f t="shared" ca="1" si="46"/>
        <v>0</v>
      </c>
      <c r="X590" s="8">
        <f t="shared" ca="1" si="46"/>
        <v>0</v>
      </c>
      <c r="Y590" s="8">
        <f t="shared" ca="1" si="46"/>
        <v>0</v>
      </c>
      <c r="Z590" s="8">
        <f t="shared" ca="1" si="46"/>
        <v>0</v>
      </c>
      <c r="AA590">
        <f t="shared" ca="1" si="46"/>
        <v>0</v>
      </c>
      <c r="AB590">
        <f t="shared" ca="1" si="46"/>
        <v>102</v>
      </c>
      <c r="AC590" s="8">
        <f t="shared" ca="1" si="46"/>
        <v>0</v>
      </c>
      <c r="AD590" s="8">
        <f t="shared" ca="1" si="46"/>
        <v>0</v>
      </c>
      <c r="AE590">
        <f t="shared" ca="1" si="46"/>
        <v>0</v>
      </c>
      <c r="AF590">
        <f t="shared" ca="1" si="47"/>
        <v>0</v>
      </c>
      <c r="AG590">
        <f t="shared" ca="1" si="47"/>
        <v>0</v>
      </c>
      <c r="AH590" s="8">
        <f t="shared" ca="1" si="47"/>
        <v>0</v>
      </c>
      <c r="AI590">
        <f t="shared" ca="1" si="47"/>
        <v>0</v>
      </c>
      <c r="AJ590">
        <f t="shared" ca="1" si="47"/>
        <v>0</v>
      </c>
      <c r="AK590">
        <f t="shared" ca="1" si="47"/>
        <v>0</v>
      </c>
      <c r="AL590">
        <f t="shared" ca="1" si="47"/>
        <v>0</v>
      </c>
      <c r="AM590" s="8">
        <f t="shared" ca="1" si="47"/>
        <v>0</v>
      </c>
      <c r="AN590">
        <f t="shared" ca="1" si="47"/>
        <v>0</v>
      </c>
      <c r="AQ590" s="8"/>
    </row>
    <row r="591" spans="1:43" x14ac:dyDescent="0.2">
      <c r="A591" t="str">
        <f>Augments!A70</f>
        <v>Brigantia's Mantle (DEX+STP)</v>
      </c>
      <c r="B591">
        <f t="shared" ca="1" si="44"/>
        <v>0</v>
      </c>
      <c r="C591">
        <f t="shared" ca="1" si="44"/>
        <v>0</v>
      </c>
      <c r="D591">
        <f t="shared" ca="1" si="44"/>
        <v>0</v>
      </c>
      <c r="E591">
        <f t="shared" ca="1" si="44"/>
        <v>0</v>
      </c>
      <c r="F591">
        <f t="shared" ca="1" si="44"/>
        <v>0</v>
      </c>
      <c r="G591">
        <f t="shared" ca="1" si="44"/>
        <v>0</v>
      </c>
      <c r="H591">
        <f t="shared" ca="1" si="44"/>
        <v>30</v>
      </c>
      <c r="I591">
        <f t="shared" ca="1" si="44"/>
        <v>0</v>
      </c>
      <c r="J591">
        <f t="shared" ca="1" si="44"/>
        <v>0</v>
      </c>
      <c r="K591">
        <f t="shared" ca="1" si="44"/>
        <v>0</v>
      </c>
      <c r="L591">
        <f t="shared" ca="1" si="45"/>
        <v>0</v>
      </c>
      <c r="M591">
        <f t="shared" ca="1" si="45"/>
        <v>0</v>
      </c>
      <c r="N591">
        <f t="shared" ca="1" si="45"/>
        <v>20</v>
      </c>
      <c r="O591">
        <f t="shared" ca="1" si="45"/>
        <v>20</v>
      </c>
      <c r="P591" s="8">
        <f t="shared" ca="1" si="45"/>
        <v>0</v>
      </c>
      <c r="Q591">
        <f t="shared" ca="1" si="45"/>
        <v>0</v>
      </c>
      <c r="R591">
        <f t="shared" ca="1" si="45"/>
        <v>0</v>
      </c>
      <c r="S591">
        <f t="shared" ca="1" si="45"/>
        <v>0</v>
      </c>
      <c r="T591">
        <f t="shared" ca="1" si="45"/>
        <v>0</v>
      </c>
      <c r="U591">
        <f t="shared" ca="1" si="45"/>
        <v>0</v>
      </c>
      <c r="V591" s="8">
        <f t="shared" ca="1" si="46"/>
        <v>0</v>
      </c>
      <c r="W591" s="8">
        <f t="shared" ca="1" si="46"/>
        <v>0</v>
      </c>
      <c r="X591" s="8">
        <f t="shared" ca="1" si="46"/>
        <v>0</v>
      </c>
      <c r="Y591" s="8">
        <f t="shared" ca="1" si="46"/>
        <v>0</v>
      </c>
      <c r="Z591" s="8">
        <f t="shared" ca="1" si="46"/>
        <v>0</v>
      </c>
      <c r="AA591">
        <f t="shared" ca="1" si="46"/>
        <v>0</v>
      </c>
      <c r="AB591">
        <f t="shared" ca="1" si="46"/>
        <v>0</v>
      </c>
      <c r="AC591" s="8">
        <f t="shared" ca="1" si="46"/>
        <v>0</v>
      </c>
      <c r="AD591" s="8">
        <f t="shared" ca="1" si="46"/>
        <v>0</v>
      </c>
      <c r="AE591">
        <f t="shared" ca="1" si="46"/>
        <v>10</v>
      </c>
      <c r="AF591">
        <f t="shared" ca="1" si="47"/>
        <v>0</v>
      </c>
      <c r="AG591">
        <f t="shared" ca="1" si="47"/>
        <v>0</v>
      </c>
      <c r="AH591" s="8">
        <f t="shared" ca="1" si="47"/>
        <v>0</v>
      </c>
      <c r="AI591">
        <f t="shared" ca="1" si="47"/>
        <v>0</v>
      </c>
      <c r="AJ591">
        <f t="shared" ca="1" si="47"/>
        <v>0</v>
      </c>
      <c r="AK591">
        <f t="shared" ca="1" si="47"/>
        <v>0</v>
      </c>
      <c r="AL591">
        <f t="shared" ca="1" si="47"/>
        <v>0</v>
      </c>
      <c r="AM591" s="8">
        <f t="shared" ca="1" si="47"/>
        <v>0</v>
      </c>
      <c r="AN591">
        <f t="shared" ca="1" si="47"/>
        <v>0</v>
      </c>
      <c r="AQ591" s="8"/>
    </row>
    <row r="592" spans="1:43" x14ac:dyDescent="0.2">
      <c r="A592" t="str">
        <f>Augments!A71</f>
        <v>Brigantia's Mantle (DEX+WSD)</v>
      </c>
      <c r="B592">
        <f t="shared" ca="1" si="44"/>
        <v>0</v>
      </c>
      <c r="C592">
        <f t="shared" ca="1" si="44"/>
        <v>0</v>
      </c>
      <c r="D592">
        <f t="shared" ca="1" si="44"/>
        <v>0</v>
      </c>
      <c r="E592">
        <f t="shared" ca="1" si="44"/>
        <v>0</v>
      </c>
      <c r="F592">
        <f t="shared" ca="1" si="44"/>
        <v>0</v>
      </c>
      <c r="G592">
        <f t="shared" ca="1" si="44"/>
        <v>0</v>
      </c>
      <c r="H592">
        <f t="shared" ca="1" si="44"/>
        <v>30</v>
      </c>
      <c r="I592">
        <f t="shared" ca="1" si="44"/>
        <v>0</v>
      </c>
      <c r="J592">
        <f t="shared" ca="1" si="44"/>
        <v>0</v>
      </c>
      <c r="K592">
        <f t="shared" ca="1" si="44"/>
        <v>0</v>
      </c>
      <c r="L592">
        <f t="shared" ca="1" si="45"/>
        <v>0</v>
      </c>
      <c r="M592">
        <f t="shared" ca="1" si="45"/>
        <v>0</v>
      </c>
      <c r="N592">
        <f t="shared" ca="1" si="45"/>
        <v>20</v>
      </c>
      <c r="O592">
        <f t="shared" ca="1" si="45"/>
        <v>20</v>
      </c>
      <c r="P592" s="8">
        <f t="shared" ca="1" si="45"/>
        <v>0</v>
      </c>
      <c r="Q592">
        <f t="shared" ca="1" si="45"/>
        <v>0</v>
      </c>
      <c r="R592">
        <f t="shared" ca="1" si="45"/>
        <v>0</v>
      </c>
      <c r="S592">
        <f t="shared" ca="1" si="45"/>
        <v>0</v>
      </c>
      <c r="T592">
        <f t="shared" ca="1" si="45"/>
        <v>0</v>
      </c>
      <c r="U592">
        <f t="shared" ca="1" si="45"/>
        <v>0</v>
      </c>
      <c r="V592" s="8">
        <f t="shared" ca="1" si="46"/>
        <v>0</v>
      </c>
      <c r="W592" s="8">
        <f t="shared" ca="1" si="46"/>
        <v>0</v>
      </c>
      <c r="X592" s="8">
        <f t="shared" ca="1" si="46"/>
        <v>0</v>
      </c>
      <c r="Y592" s="8">
        <f t="shared" ca="1" si="46"/>
        <v>0</v>
      </c>
      <c r="Z592" s="8">
        <f t="shared" ca="1" si="46"/>
        <v>0</v>
      </c>
      <c r="AA592">
        <f t="shared" ca="1" si="46"/>
        <v>0</v>
      </c>
      <c r="AB592">
        <f t="shared" ca="1" si="46"/>
        <v>0</v>
      </c>
      <c r="AC592" s="8">
        <f t="shared" ca="1" si="46"/>
        <v>0</v>
      </c>
      <c r="AD592" s="8">
        <f t="shared" ca="1" si="46"/>
        <v>0</v>
      </c>
      <c r="AE592">
        <f t="shared" ca="1" si="46"/>
        <v>0</v>
      </c>
      <c r="AF592">
        <f t="shared" ca="1" si="47"/>
        <v>0</v>
      </c>
      <c r="AG592">
        <f t="shared" ca="1" si="47"/>
        <v>0</v>
      </c>
      <c r="AH592" s="8">
        <f t="shared" ca="1" si="47"/>
        <v>0.1</v>
      </c>
      <c r="AI592">
        <f t="shared" ca="1" si="47"/>
        <v>0</v>
      </c>
      <c r="AJ592">
        <f t="shared" ca="1" si="47"/>
        <v>0</v>
      </c>
      <c r="AK592">
        <f t="shared" ca="1" si="47"/>
        <v>0</v>
      </c>
      <c r="AL592">
        <f t="shared" ca="1" si="47"/>
        <v>0</v>
      </c>
      <c r="AM592" s="8">
        <f t="shared" ca="1" si="47"/>
        <v>0</v>
      </c>
      <c r="AN592">
        <f t="shared" ca="1" si="47"/>
        <v>0</v>
      </c>
      <c r="AQ592" s="8"/>
    </row>
    <row r="593" spans="1:43" x14ac:dyDescent="0.2">
      <c r="A593" t="str">
        <f>Augments!A72</f>
        <v>Brigantia's Mantle (STR+Crit)</v>
      </c>
      <c r="B593">
        <f t="shared" ca="1" si="44"/>
        <v>0</v>
      </c>
      <c r="C593">
        <f t="shared" ca="1" si="44"/>
        <v>0</v>
      </c>
      <c r="D593">
        <f t="shared" ca="1" si="44"/>
        <v>0</v>
      </c>
      <c r="E593">
        <f t="shared" ca="1" si="44"/>
        <v>0</v>
      </c>
      <c r="F593">
        <f t="shared" ca="1" si="44"/>
        <v>0</v>
      </c>
      <c r="G593">
        <f t="shared" ca="1" si="44"/>
        <v>30</v>
      </c>
      <c r="H593">
        <f t="shared" ca="1" si="44"/>
        <v>0</v>
      </c>
      <c r="I593">
        <f t="shared" ca="1" si="44"/>
        <v>0</v>
      </c>
      <c r="J593">
        <f t="shared" ca="1" si="44"/>
        <v>0</v>
      </c>
      <c r="K593">
        <f t="shared" ca="1" si="44"/>
        <v>0</v>
      </c>
      <c r="L593">
        <f t="shared" ca="1" si="45"/>
        <v>0</v>
      </c>
      <c r="M593">
        <f t="shared" ca="1" si="45"/>
        <v>0</v>
      </c>
      <c r="N593">
        <f t="shared" ca="1" si="45"/>
        <v>20</v>
      </c>
      <c r="O593">
        <f t="shared" ca="1" si="45"/>
        <v>20</v>
      </c>
      <c r="P593" s="8">
        <f t="shared" ca="1" si="45"/>
        <v>0</v>
      </c>
      <c r="Q593">
        <f t="shared" ca="1" si="45"/>
        <v>0</v>
      </c>
      <c r="R593">
        <f t="shared" ca="1" si="45"/>
        <v>0</v>
      </c>
      <c r="S593">
        <f t="shared" ca="1" si="45"/>
        <v>0</v>
      </c>
      <c r="T593">
        <f t="shared" ca="1" si="45"/>
        <v>0</v>
      </c>
      <c r="U593">
        <f t="shared" ca="1" si="45"/>
        <v>0</v>
      </c>
      <c r="V593" s="8">
        <f t="shared" ca="1" si="46"/>
        <v>0</v>
      </c>
      <c r="W593" s="8">
        <f t="shared" ca="1" si="46"/>
        <v>0</v>
      </c>
      <c r="X593" s="8">
        <f t="shared" ca="1" si="46"/>
        <v>0</v>
      </c>
      <c r="Y593" s="8">
        <f t="shared" ca="1" si="46"/>
        <v>0</v>
      </c>
      <c r="Z593" s="8">
        <f t="shared" ca="1" si="46"/>
        <v>0</v>
      </c>
      <c r="AA593">
        <f t="shared" ca="1" si="46"/>
        <v>0</v>
      </c>
      <c r="AB593">
        <f t="shared" ca="1" si="46"/>
        <v>0</v>
      </c>
      <c r="AC593" s="8">
        <f t="shared" ca="1" si="46"/>
        <v>0.1</v>
      </c>
      <c r="AD593" s="8">
        <f t="shared" ca="1" si="46"/>
        <v>0</v>
      </c>
      <c r="AE593">
        <f t="shared" ca="1" si="46"/>
        <v>0</v>
      </c>
      <c r="AF593">
        <f t="shared" ca="1" si="47"/>
        <v>0</v>
      </c>
      <c r="AG593">
        <f t="shared" ca="1" si="47"/>
        <v>0</v>
      </c>
      <c r="AH593" s="8">
        <f t="shared" ca="1" si="47"/>
        <v>0</v>
      </c>
      <c r="AI593">
        <f t="shared" ca="1" si="47"/>
        <v>0</v>
      </c>
      <c r="AJ593">
        <f t="shared" ca="1" si="47"/>
        <v>0</v>
      </c>
      <c r="AK593">
        <f t="shared" ca="1" si="47"/>
        <v>0</v>
      </c>
      <c r="AL593">
        <f t="shared" ca="1" si="47"/>
        <v>0</v>
      </c>
      <c r="AM593" s="8">
        <f t="shared" ca="1" si="47"/>
        <v>0</v>
      </c>
      <c r="AN593">
        <f t="shared" ca="1" si="47"/>
        <v>0</v>
      </c>
      <c r="AQ593" s="8"/>
    </row>
    <row r="594" spans="1:43" x14ac:dyDescent="0.2">
      <c r="A594" t="str">
        <f>Augments!A73</f>
        <v>Brigantia's Mantle (STR+DA)</v>
      </c>
      <c r="B594">
        <f t="shared" ca="1" si="44"/>
        <v>0</v>
      </c>
      <c r="C594">
        <f t="shared" ca="1" si="44"/>
        <v>0</v>
      </c>
      <c r="D594">
        <f t="shared" ca="1" si="44"/>
        <v>0</v>
      </c>
      <c r="E594">
        <f t="shared" ca="1" si="44"/>
        <v>0</v>
      </c>
      <c r="F594">
        <f t="shared" ca="1" si="44"/>
        <v>0</v>
      </c>
      <c r="G594">
        <f t="shared" ca="1" si="44"/>
        <v>30</v>
      </c>
      <c r="H594">
        <f t="shared" ca="1" si="44"/>
        <v>0</v>
      </c>
      <c r="I594">
        <f t="shared" ca="1" si="44"/>
        <v>0</v>
      </c>
      <c r="J594">
        <f t="shared" ca="1" si="44"/>
        <v>0</v>
      </c>
      <c r="K594">
        <f t="shared" ca="1" si="44"/>
        <v>0</v>
      </c>
      <c r="L594">
        <f t="shared" ca="1" si="45"/>
        <v>0</v>
      </c>
      <c r="M594">
        <f t="shared" ca="1" si="45"/>
        <v>0</v>
      </c>
      <c r="N594">
        <f t="shared" ca="1" si="45"/>
        <v>20</v>
      </c>
      <c r="O594">
        <f t="shared" ca="1" si="45"/>
        <v>20</v>
      </c>
      <c r="P594" s="8">
        <f t="shared" ca="1" si="45"/>
        <v>0</v>
      </c>
      <c r="Q594">
        <f t="shared" ca="1" si="45"/>
        <v>0</v>
      </c>
      <c r="R594">
        <f t="shared" ca="1" si="45"/>
        <v>0</v>
      </c>
      <c r="S594">
        <f t="shared" ca="1" si="45"/>
        <v>0</v>
      </c>
      <c r="T594">
        <f t="shared" ca="1" si="45"/>
        <v>0</v>
      </c>
      <c r="U594">
        <f t="shared" ca="1" si="45"/>
        <v>0</v>
      </c>
      <c r="V594" s="8">
        <f t="shared" ca="1" si="46"/>
        <v>0.1</v>
      </c>
      <c r="W594" s="8">
        <f t="shared" ca="1" si="46"/>
        <v>0</v>
      </c>
      <c r="X594" s="8">
        <f t="shared" ca="1" si="46"/>
        <v>0</v>
      </c>
      <c r="Y594" s="8">
        <f t="shared" ca="1" si="46"/>
        <v>0</v>
      </c>
      <c r="Z594" s="8">
        <f t="shared" ca="1" si="46"/>
        <v>0</v>
      </c>
      <c r="AA594">
        <f t="shared" ca="1" si="46"/>
        <v>0</v>
      </c>
      <c r="AB594">
        <f t="shared" ca="1" si="46"/>
        <v>0</v>
      </c>
      <c r="AC594" s="8">
        <f t="shared" ca="1" si="46"/>
        <v>0</v>
      </c>
      <c r="AD594" s="8">
        <f t="shared" ca="1" si="46"/>
        <v>0</v>
      </c>
      <c r="AE594">
        <f t="shared" ca="1" si="46"/>
        <v>0</v>
      </c>
      <c r="AF594">
        <f t="shared" ca="1" si="47"/>
        <v>0</v>
      </c>
      <c r="AG594">
        <f t="shared" ca="1" si="47"/>
        <v>0</v>
      </c>
      <c r="AH594" s="8">
        <f t="shared" ca="1" si="47"/>
        <v>0</v>
      </c>
      <c r="AI594">
        <f t="shared" ca="1" si="47"/>
        <v>0</v>
      </c>
      <c r="AJ594">
        <f t="shared" ca="1" si="47"/>
        <v>0</v>
      </c>
      <c r="AK594">
        <f t="shared" ca="1" si="47"/>
        <v>0</v>
      </c>
      <c r="AL594">
        <f t="shared" ca="1" si="47"/>
        <v>0</v>
      </c>
      <c r="AM594" s="8">
        <f t="shared" ca="1" si="47"/>
        <v>0</v>
      </c>
      <c r="AN594">
        <f t="shared" ca="1" si="47"/>
        <v>0</v>
      </c>
      <c r="AQ594" s="8"/>
    </row>
    <row r="595" spans="1:43" x14ac:dyDescent="0.2">
      <c r="A595" t="str">
        <f>Augments!A74</f>
        <v>Brigantia's Mantle (STR+Haste)</v>
      </c>
      <c r="B595">
        <f t="shared" ca="1" si="44"/>
        <v>0</v>
      </c>
      <c r="C595">
        <f t="shared" ca="1" si="44"/>
        <v>0</v>
      </c>
      <c r="D595">
        <f t="shared" ca="1" si="44"/>
        <v>0</v>
      </c>
      <c r="E595">
        <f t="shared" ca="1" si="44"/>
        <v>0</v>
      </c>
      <c r="F595">
        <f t="shared" ca="1" si="44"/>
        <v>0</v>
      </c>
      <c r="G595">
        <f t="shared" ca="1" si="44"/>
        <v>30</v>
      </c>
      <c r="H595">
        <f t="shared" ca="1" si="44"/>
        <v>0</v>
      </c>
      <c r="I595">
        <f t="shared" ca="1" si="44"/>
        <v>0</v>
      </c>
      <c r="J595">
        <f t="shared" ca="1" si="44"/>
        <v>0</v>
      </c>
      <c r="K595">
        <f t="shared" ca="1" si="44"/>
        <v>0</v>
      </c>
      <c r="L595">
        <f t="shared" ca="1" si="45"/>
        <v>0</v>
      </c>
      <c r="M595">
        <f t="shared" ca="1" si="45"/>
        <v>0</v>
      </c>
      <c r="N595">
        <f t="shared" ca="1" si="45"/>
        <v>20</v>
      </c>
      <c r="O595">
        <f t="shared" ca="1" si="45"/>
        <v>20</v>
      </c>
      <c r="P595" s="8">
        <f t="shared" ca="1" si="45"/>
        <v>0</v>
      </c>
      <c r="Q595">
        <f t="shared" ca="1" si="45"/>
        <v>0</v>
      </c>
      <c r="R595">
        <f t="shared" ca="1" si="45"/>
        <v>0</v>
      </c>
      <c r="S595">
        <f t="shared" ca="1" si="45"/>
        <v>0</v>
      </c>
      <c r="T595">
        <f t="shared" ca="1" si="45"/>
        <v>0</v>
      </c>
      <c r="U595">
        <f t="shared" ca="1" si="45"/>
        <v>0</v>
      </c>
      <c r="V595" s="8">
        <f t="shared" ca="1" si="46"/>
        <v>0</v>
      </c>
      <c r="W595" s="8">
        <f t="shared" ca="1" si="46"/>
        <v>0</v>
      </c>
      <c r="X595" s="8">
        <f t="shared" ca="1" si="46"/>
        <v>0</v>
      </c>
      <c r="Y595" s="8">
        <f t="shared" ca="1" si="46"/>
        <v>0</v>
      </c>
      <c r="Z595" s="8">
        <f t="shared" ca="1" si="46"/>
        <v>0</v>
      </c>
      <c r="AA595">
        <f t="shared" ca="1" si="46"/>
        <v>0</v>
      </c>
      <c r="AB595">
        <f t="shared" ca="1" si="46"/>
        <v>102</v>
      </c>
      <c r="AC595" s="8">
        <f t="shared" ca="1" si="46"/>
        <v>0</v>
      </c>
      <c r="AD595" s="8">
        <f t="shared" ca="1" si="46"/>
        <v>0</v>
      </c>
      <c r="AE595">
        <f t="shared" ca="1" si="46"/>
        <v>0</v>
      </c>
      <c r="AF595">
        <f t="shared" ca="1" si="47"/>
        <v>0</v>
      </c>
      <c r="AG595">
        <f t="shared" ca="1" si="47"/>
        <v>0</v>
      </c>
      <c r="AH595" s="8">
        <f t="shared" ca="1" si="47"/>
        <v>0</v>
      </c>
      <c r="AI595">
        <f t="shared" ca="1" si="47"/>
        <v>0</v>
      </c>
      <c r="AJ595">
        <f t="shared" ca="1" si="47"/>
        <v>0</v>
      </c>
      <c r="AK595">
        <f t="shared" ca="1" si="47"/>
        <v>0</v>
      </c>
      <c r="AL595">
        <f t="shared" ca="1" si="47"/>
        <v>0</v>
      </c>
      <c r="AM595" s="8">
        <f t="shared" ca="1" si="47"/>
        <v>0</v>
      </c>
      <c r="AN595">
        <f t="shared" ca="1" si="47"/>
        <v>0</v>
      </c>
      <c r="AQ595" s="8"/>
    </row>
    <row r="596" spans="1:43" x14ac:dyDescent="0.2">
      <c r="A596" t="str">
        <f>Augments!A75</f>
        <v>Brigantia's Mantle (STR+STP)</v>
      </c>
      <c r="B596">
        <f t="shared" ca="1" si="44"/>
        <v>0</v>
      </c>
      <c r="C596">
        <f t="shared" ca="1" si="44"/>
        <v>0</v>
      </c>
      <c r="D596">
        <f t="shared" ca="1" si="44"/>
        <v>0</v>
      </c>
      <c r="E596">
        <f t="shared" ca="1" si="44"/>
        <v>0</v>
      </c>
      <c r="F596">
        <f t="shared" ca="1" si="44"/>
        <v>0</v>
      </c>
      <c r="G596">
        <f t="shared" ca="1" si="44"/>
        <v>30</v>
      </c>
      <c r="H596">
        <f t="shared" ca="1" si="44"/>
        <v>0</v>
      </c>
      <c r="I596">
        <f t="shared" ca="1" si="44"/>
        <v>0</v>
      </c>
      <c r="J596">
        <f t="shared" ca="1" si="44"/>
        <v>0</v>
      </c>
      <c r="K596">
        <f t="shared" ca="1" si="44"/>
        <v>0</v>
      </c>
      <c r="L596">
        <f t="shared" ca="1" si="45"/>
        <v>0</v>
      </c>
      <c r="M596">
        <f t="shared" ca="1" si="45"/>
        <v>0</v>
      </c>
      <c r="N596">
        <f t="shared" ca="1" si="45"/>
        <v>20</v>
      </c>
      <c r="O596">
        <f t="shared" ca="1" si="45"/>
        <v>20</v>
      </c>
      <c r="P596" s="8">
        <f t="shared" ca="1" si="45"/>
        <v>0</v>
      </c>
      <c r="Q596">
        <f t="shared" ca="1" si="45"/>
        <v>0</v>
      </c>
      <c r="R596">
        <f t="shared" ca="1" si="45"/>
        <v>0</v>
      </c>
      <c r="S596">
        <f t="shared" ca="1" si="45"/>
        <v>0</v>
      </c>
      <c r="T596">
        <f t="shared" ca="1" si="45"/>
        <v>0</v>
      </c>
      <c r="U596">
        <f t="shared" ca="1" si="45"/>
        <v>0</v>
      </c>
      <c r="V596" s="8">
        <f t="shared" ca="1" si="46"/>
        <v>0</v>
      </c>
      <c r="W596" s="8">
        <f t="shared" ca="1" si="46"/>
        <v>0</v>
      </c>
      <c r="X596" s="8">
        <f t="shared" ca="1" si="46"/>
        <v>0</v>
      </c>
      <c r="Y596" s="8">
        <f t="shared" ca="1" si="46"/>
        <v>0</v>
      </c>
      <c r="Z596" s="8">
        <f t="shared" ca="1" si="46"/>
        <v>0</v>
      </c>
      <c r="AA596">
        <f t="shared" ca="1" si="46"/>
        <v>0</v>
      </c>
      <c r="AB596">
        <f t="shared" ca="1" si="46"/>
        <v>0</v>
      </c>
      <c r="AC596" s="8">
        <f t="shared" ca="1" si="46"/>
        <v>0</v>
      </c>
      <c r="AD596" s="8">
        <f t="shared" ca="1" si="46"/>
        <v>0</v>
      </c>
      <c r="AE596">
        <f t="shared" ca="1" si="46"/>
        <v>10</v>
      </c>
      <c r="AF596">
        <f t="shared" ca="1" si="47"/>
        <v>0</v>
      </c>
      <c r="AG596">
        <f t="shared" ca="1" si="47"/>
        <v>0</v>
      </c>
      <c r="AH596" s="8">
        <f t="shared" ca="1" si="47"/>
        <v>0</v>
      </c>
      <c r="AI596">
        <f t="shared" ca="1" si="47"/>
        <v>0</v>
      </c>
      <c r="AJ596">
        <f t="shared" ca="1" si="47"/>
        <v>0</v>
      </c>
      <c r="AK596">
        <f t="shared" ca="1" si="47"/>
        <v>0</v>
      </c>
      <c r="AL596">
        <f t="shared" ca="1" si="47"/>
        <v>0</v>
      </c>
      <c r="AM596" s="8">
        <f t="shared" ca="1" si="47"/>
        <v>0</v>
      </c>
      <c r="AN596">
        <f t="shared" ca="1" si="47"/>
        <v>0</v>
      </c>
      <c r="AQ596" s="8"/>
    </row>
    <row r="597" spans="1:43" x14ac:dyDescent="0.2">
      <c r="A597" t="str">
        <f>Augments!A76</f>
        <v>Brigantia's Mantle (STR+WSD)</v>
      </c>
      <c r="B597">
        <f t="shared" ca="1" si="44"/>
        <v>0</v>
      </c>
      <c r="C597">
        <f t="shared" ca="1" si="44"/>
        <v>0</v>
      </c>
      <c r="D597">
        <f t="shared" ca="1" si="44"/>
        <v>0</v>
      </c>
      <c r="E597">
        <f t="shared" ca="1" si="44"/>
        <v>0</v>
      </c>
      <c r="F597">
        <f t="shared" ca="1" si="44"/>
        <v>0</v>
      </c>
      <c r="G597">
        <f t="shared" ca="1" si="44"/>
        <v>30</v>
      </c>
      <c r="H597">
        <f t="shared" ca="1" si="44"/>
        <v>0</v>
      </c>
      <c r="I597">
        <f t="shared" ca="1" si="44"/>
        <v>0</v>
      </c>
      <c r="J597">
        <f t="shared" ca="1" si="44"/>
        <v>0</v>
      </c>
      <c r="K597">
        <f t="shared" ca="1" si="44"/>
        <v>0</v>
      </c>
      <c r="L597">
        <f t="shared" ca="1" si="45"/>
        <v>0</v>
      </c>
      <c r="M597">
        <f t="shared" ca="1" si="45"/>
        <v>0</v>
      </c>
      <c r="N597">
        <f t="shared" ca="1" si="45"/>
        <v>20</v>
      </c>
      <c r="O597">
        <f t="shared" ca="1" si="45"/>
        <v>20</v>
      </c>
      <c r="P597" s="8">
        <f t="shared" ca="1" si="45"/>
        <v>0</v>
      </c>
      <c r="Q597">
        <f t="shared" ca="1" si="45"/>
        <v>0</v>
      </c>
      <c r="R597">
        <f t="shared" ca="1" si="45"/>
        <v>0</v>
      </c>
      <c r="S597">
        <f t="shared" ca="1" si="45"/>
        <v>0</v>
      </c>
      <c r="T597">
        <f t="shared" ca="1" si="45"/>
        <v>0</v>
      </c>
      <c r="U597">
        <f t="shared" ca="1" si="45"/>
        <v>0</v>
      </c>
      <c r="V597" s="8">
        <f t="shared" ca="1" si="46"/>
        <v>0</v>
      </c>
      <c r="W597" s="8">
        <f t="shared" ca="1" si="46"/>
        <v>0</v>
      </c>
      <c r="X597" s="8">
        <f t="shared" ca="1" si="46"/>
        <v>0</v>
      </c>
      <c r="Y597" s="8">
        <f t="shared" ca="1" si="46"/>
        <v>0</v>
      </c>
      <c r="Z597" s="8">
        <f t="shared" ca="1" si="46"/>
        <v>0</v>
      </c>
      <c r="AA597">
        <f t="shared" ca="1" si="46"/>
        <v>0</v>
      </c>
      <c r="AB597">
        <f t="shared" ca="1" si="46"/>
        <v>0</v>
      </c>
      <c r="AC597" s="8">
        <f t="shared" ca="1" si="46"/>
        <v>0</v>
      </c>
      <c r="AD597" s="8">
        <f t="shared" ca="1" si="46"/>
        <v>0</v>
      </c>
      <c r="AE597">
        <f t="shared" ca="1" si="46"/>
        <v>0</v>
      </c>
      <c r="AF597">
        <f t="shared" ca="1" si="47"/>
        <v>0</v>
      </c>
      <c r="AG597">
        <f t="shared" ca="1" si="47"/>
        <v>0</v>
      </c>
      <c r="AH597" s="8">
        <f t="shared" ca="1" si="47"/>
        <v>0.1</v>
      </c>
      <c r="AI597">
        <f t="shared" ca="1" si="47"/>
        <v>0</v>
      </c>
      <c r="AJ597">
        <f t="shared" ca="1" si="47"/>
        <v>0</v>
      </c>
      <c r="AK597">
        <f t="shared" ca="1" si="47"/>
        <v>0</v>
      </c>
      <c r="AL597">
        <f t="shared" ca="1" si="47"/>
        <v>0</v>
      </c>
      <c r="AM597" s="8">
        <f t="shared" ca="1" si="47"/>
        <v>0</v>
      </c>
      <c r="AN597">
        <f t="shared" ca="1" si="47"/>
        <v>0</v>
      </c>
      <c r="AQ597" s="8"/>
    </row>
    <row r="598" spans="1:43" x14ac:dyDescent="0.2">
      <c r="A598" t="str">
        <f>Augments!A77</f>
        <v>Brigantia's Mantle (Custom 1)</v>
      </c>
      <c r="B598">
        <f t="shared" ca="1" si="44"/>
        <v>0</v>
      </c>
      <c r="C598">
        <f t="shared" ca="1" si="44"/>
        <v>0</v>
      </c>
      <c r="D598">
        <f t="shared" ca="1" si="44"/>
        <v>0</v>
      </c>
      <c r="E598">
        <f t="shared" ca="1" si="44"/>
        <v>0</v>
      </c>
      <c r="F598">
        <f t="shared" ca="1" si="44"/>
        <v>0</v>
      </c>
      <c r="G598">
        <f t="shared" ca="1" si="44"/>
        <v>0</v>
      </c>
      <c r="H598">
        <f t="shared" ca="1" si="44"/>
        <v>0</v>
      </c>
      <c r="I598">
        <f t="shared" ca="1" si="44"/>
        <v>0</v>
      </c>
      <c r="J598">
        <f t="shared" ca="1" si="44"/>
        <v>0</v>
      </c>
      <c r="K598">
        <f t="shared" ca="1" si="44"/>
        <v>0</v>
      </c>
      <c r="L598">
        <f t="shared" ca="1" si="45"/>
        <v>0</v>
      </c>
      <c r="M598">
        <f t="shared" ca="1" si="45"/>
        <v>0</v>
      </c>
      <c r="N598">
        <f t="shared" ca="1" si="45"/>
        <v>0</v>
      </c>
      <c r="O598">
        <f t="shared" ca="1" si="45"/>
        <v>0</v>
      </c>
      <c r="P598" s="8">
        <f t="shared" ca="1" si="45"/>
        <v>0</v>
      </c>
      <c r="Q598">
        <f t="shared" ca="1" si="45"/>
        <v>0</v>
      </c>
      <c r="R598">
        <f t="shared" ca="1" si="45"/>
        <v>0</v>
      </c>
      <c r="S598">
        <f t="shared" ca="1" si="45"/>
        <v>0</v>
      </c>
      <c r="T598">
        <f t="shared" ca="1" si="45"/>
        <v>0</v>
      </c>
      <c r="U598">
        <f t="shared" ca="1" si="45"/>
        <v>0</v>
      </c>
      <c r="V598" s="8">
        <f t="shared" ca="1" si="46"/>
        <v>0</v>
      </c>
      <c r="W598" s="8">
        <f t="shared" ca="1" si="46"/>
        <v>0</v>
      </c>
      <c r="X598" s="8">
        <f t="shared" ca="1" si="46"/>
        <v>0</v>
      </c>
      <c r="Y598" s="8">
        <f t="shared" ca="1" si="46"/>
        <v>0</v>
      </c>
      <c r="Z598" s="8">
        <f t="shared" ca="1" si="46"/>
        <v>0</v>
      </c>
      <c r="AA598">
        <f t="shared" ca="1" si="46"/>
        <v>0</v>
      </c>
      <c r="AB598">
        <f t="shared" ca="1" si="46"/>
        <v>0</v>
      </c>
      <c r="AC598" s="8">
        <f t="shared" ca="1" si="46"/>
        <v>0</v>
      </c>
      <c r="AD598" s="8">
        <f t="shared" ca="1" si="46"/>
        <v>0</v>
      </c>
      <c r="AE598">
        <f t="shared" ca="1" si="46"/>
        <v>0</v>
      </c>
      <c r="AF598">
        <f t="shared" ca="1" si="47"/>
        <v>0</v>
      </c>
      <c r="AG598">
        <f t="shared" ca="1" si="47"/>
        <v>0</v>
      </c>
      <c r="AH598" s="8">
        <f t="shared" ca="1" si="47"/>
        <v>0</v>
      </c>
      <c r="AI598">
        <f t="shared" ca="1" si="47"/>
        <v>0</v>
      </c>
      <c r="AJ598">
        <f t="shared" ca="1" si="47"/>
        <v>0</v>
      </c>
      <c r="AK598">
        <f t="shared" ca="1" si="47"/>
        <v>0</v>
      </c>
      <c r="AL598">
        <f t="shared" ca="1" si="47"/>
        <v>0</v>
      </c>
      <c r="AM598" s="8">
        <f t="shared" ca="1" si="47"/>
        <v>0</v>
      </c>
      <c r="AN598">
        <f t="shared" ca="1" si="47"/>
        <v>0</v>
      </c>
      <c r="AQ598" s="8"/>
    </row>
    <row r="599" spans="1:43" x14ac:dyDescent="0.2">
      <c r="A599" t="str">
        <f>Augments!A78</f>
        <v>Brigantia's Mantle (Custom 2)</v>
      </c>
      <c r="B599">
        <f t="shared" ca="1" si="44"/>
        <v>0</v>
      </c>
      <c r="C599">
        <f t="shared" ca="1" si="44"/>
        <v>0</v>
      </c>
      <c r="D599">
        <f t="shared" ca="1" si="44"/>
        <v>0</v>
      </c>
      <c r="E599">
        <f t="shared" ca="1" si="44"/>
        <v>0</v>
      </c>
      <c r="F599">
        <f t="shared" ca="1" si="44"/>
        <v>0</v>
      </c>
      <c r="G599">
        <f t="shared" ca="1" si="44"/>
        <v>0</v>
      </c>
      <c r="H599">
        <f t="shared" ca="1" si="44"/>
        <v>0</v>
      </c>
      <c r="I599">
        <f t="shared" ca="1" si="44"/>
        <v>0</v>
      </c>
      <c r="J599">
        <f t="shared" ca="1" si="44"/>
        <v>0</v>
      </c>
      <c r="K599">
        <f t="shared" ca="1" si="44"/>
        <v>0</v>
      </c>
      <c r="L599">
        <f t="shared" ca="1" si="45"/>
        <v>0</v>
      </c>
      <c r="M599">
        <f t="shared" ca="1" si="45"/>
        <v>0</v>
      </c>
      <c r="N599">
        <f t="shared" ca="1" si="45"/>
        <v>0</v>
      </c>
      <c r="O599">
        <f t="shared" ca="1" si="45"/>
        <v>0</v>
      </c>
      <c r="P599" s="8">
        <f t="shared" ca="1" si="45"/>
        <v>0</v>
      </c>
      <c r="Q599">
        <f t="shared" ca="1" si="45"/>
        <v>0</v>
      </c>
      <c r="R599">
        <f t="shared" ca="1" si="45"/>
        <v>0</v>
      </c>
      <c r="S599">
        <f t="shared" ca="1" si="45"/>
        <v>0</v>
      </c>
      <c r="T599">
        <f t="shared" ca="1" si="45"/>
        <v>0</v>
      </c>
      <c r="U599">
        <f t="shared" ca="1" si="45"/>
        <v>0</v>
      </c>
      <c r="V599" s="8">
        <f t="shared" ca="1" si="46"/>
        <v>0</v>
      </c>
      <c r="W599" s="8">
        <f t="shared" ca="1" si="46"/>
        <v>0</v>
      </c>
      <c r="X599" s="8">
        <f t="shared" ca="1" si="46"/>
        <v>0</v>
      </c>
      <c r="Y599" s="8">
        <f t="shared" ca="1" si="46"/>
        <v>0</v>
      </c>
      <c r="Z599" s="8">
        <f t="shared" ca="1" si="46"/>
        <v>0</v>
      </c>
      <c r="AA599">
        <f t="shared" ca="1" si="46"/>
        <v>0</v>
      </c>
      <c r="AB599">
        <f t="shared" ca="1" si="46"/>
        <v>0</v>
      </c>
      <c r="AC599" s="8">
        <f t="shared" ca="1" si="46"/>
        <v>0</v>
      </c>
      <c r="AD599" s="8">
        <f t="shared" ca="1" si="46"/>
        <v>0</v>
      </c>
      <c r="AE599">
        <f t="shared" ca="1" si="46"/>
        <v>0</v>
      </c>
      <c r="AF599">
        <f t="shared" ca="1" si="47"/>
        <v>0</v>
      </c>
      <c r="AG599">
        <f t="shared" ca="1" si="47"/>
        <v>0</v>
      </c>
      <c r="AH599" s="8">
        <f t="shared" ca="1" si="47"/>
        <v>0</v>
      </c>
      <c r="AI599">
        <f t="shared" ca="1" si="47"/>
        <v>0</v>
      </c>
      <c r="AJ599">
        <f t="shared" ca="1" si="47"/>
        <v>0</v>
      </c>
      <c r="AK599">
        <f t="shared" ca="1" si="47"/>
        <v>0</v>
      </c>
      <c r="AL599">
        <f t="shared" ca="1" si="47"/>
        <v>0</v>
      </c>
      <c r="AM599" s="8">
        <f t="shared" ca="1" si="47"/>
        <v>0</v>
      </c>
      <c r="AN599">
        <f t="shared" ca="1" si="47"/>
        <v>0</v>
      </c>
      <c r="AQ599" s="8"/>
    </row>
    <row r="600" spans="1:43" x14ac:dyDescent="0.2">
      <c r="A600" t="s">
        <v>1273</v>
      </c>
      <c r="G600">
        <v>8</v>
      </c>
      <c r="O600">
        <v>10</v>
      </c>
      <c r="V600" s="8"/>
      <c r="W600" s="8"/>
      <c r="X600" s="8"/>
      <c r="Y600" s="8"/>
      <c r="Z600" s="8"/>
      <c r="AA600" s="8"/>
      <c r="AB600" s="4"/>
      <c r="AC600" s="8"/>
      <c r="AD600" s="8"/>
      <c r="AE600"/>
      <c r="AF600" s="4"/>
      <c r="AG600" s="4"/>
      <c r="AH600" s="8"/>
      <c r="AL600" s="8"/>
      <c r="AM600" s="8"/>
      <c r="AQ600" s="8"/>
    </row>
    <row r="601" spans="1:43" x14ac:dyDescent="0.2">
      <c r="A601" t="s">
        <v>1274</v>
      </c>
      <c r="G601">
        <v>3</v>
      </c>
      <c r="O601">
        <v>12</v>
      </c>
      <c r="V601" s="8"/>
      <c r="W601" s="8"/>
      <c r="X601" s="8"/>
      <c r="Y601" s="8"/>
      <c r="Z601" s="8"/>
      <c r="AB601" s="4"/>
      <c r="AC601" s="8"/>
      <c r="AD601" s="8"/>
      <c r="AF601" s="8"/>
      <c r="AG601" s="8"/>
      <c r="AH601" s="8"/>
      <c r="AL601" s="8"/>
      <c r="AM601" s="8"/>
      <c r="AQ601" s="8"/>
    </row>
    <row r="602" spans="1:43" x14ac:dyDescent="0.2">
      <c r="A602" t="s">
        <v>1275</v>
      </c>
      <c r="G602">
        <v>4</v>
      </c>
      <c r="O602">
        <v>15</v>
      </c>
      <c r="V602" s="8"/>
      <c r="W602" s="8"/>
      <c r="X602" s="8"/>
      <c r="Y602" s="8"/>
      <c r="Z602" s="8"/>
      <c r="AB602" s="4"/>
      <c r="AC602" s="8"/>
      <c r="AD602" s="8"/>
      <c r="AF602" s="8"/>
      <c r="AG602" s="8"/>
      <c r="AH602" s="8"/>
      <c r="AL602" s="8"/>
      <c r="AM602" s="8"/>
      <c r="AQ602" s="8"/>
    </row>
    <row r="603" spans="1:43" x14ac:dyDescent="0.2">
      <c r="A603" t="s">
        <v>1276</v>
      </c>
      <c r="G603">
        <v>4</v>
      </c>
      <c r="H603">
        <v>4</v>
      </c>
      <c r="N603">
        <v>5</v>
      </c>
      <c r="V603" s="8"/>
      <c r="W603" s="8"/>
      <c r="X603" s="8"/>
      <c r="Y603" s="8"/>
      <c r="Z603" s="8"/>
      <c r="AB603" s="4"/>
      <c r="AC603" s="8"/>
      <c r="AD603" s="8"/>
      <c r="AF603" s="8"/>
      <c r="AG603" s="8"/>
      <c r="AH603" s="8"/>
      <c r="AL603" s="8"/>
      <c r="AM603" s="8"/>
    </row>
    <row r="604" spans="1:43" x14ac:dyDescent="0.2">
      <c r="A604" t="s">
        <v>1277</v>
      </c>
      <c r="N604">
        <v>13</v>
      </c>
      <c r="O604">
        <v>13</v>
      </c>
      <c r="V604" s="8"/>
      <c r="W604" s="8"/>
      <c r="X604" s="8"/>
      <c r="Y604" s="8"/>
      <c r="Z604" s="8"/>
      <c r="AB604" s="4"/>
      <c r="AC604" s="8"/>
      <c r="AD604" s="8"/>
      <c r="AF604" s="8"/>
      <c r="AG604" s="8"/>
      <c r="AH604" s="8"/>
      <c r="AL604" s="8"/>
      <c r="AM604" s="8"/>
    </row>
    <row r="605" spans="1:43" x14ac:dyDescent="0.2">
      <c r="A605" t="s">
        <v>1278</v>
      </c>
      <c r="I605">
        <v>7</v>
      </c>
      <c r="V605" s="8"/>
      <c r="W605" s="8"/>
      <c r="X605" s="8"/>
      <c r="Y605" s="8"/>
      <c r="Z605" s="8"/>
      <c r="AB605" s="4"/>
      <c r="AC605" s="8"/>
      <c r="AD605" s="8"/>
      <c r="AF605" s="8"/>
      <c r="AG605" s="8"/>
      <c r="AH605" s="8"/>
      <c r="AL605" s="8"/>
      <c r="AM605" s="8"/>
    </row>
    <row r="606" spans="1:43" x14ac:dyDescent="0.2">
      <c r="A606" t="s">
        <v>1279</v>
      </c>
      <c r="N606">
        <v>20</v>
      </c>
      <c r="V606" s="8"/>
      <c r="W606" s="8"/>
      <c r="X606" s="8"/>
      <c r="Y606" s="8"/>
      <c r="Z606" s="8"/>
      <c r="AB606" s="4"/>
      <c r="AC606" s="8"/>
      <c r="AD606" s="8"/>
      <c r="AE606" s="4">
        <v>3</v>
      </c>
      <c r="AF606" s="8"/>
      <c r="AG606" s="8"/>
      <c r="AH606" s="8"/>
      <c r="AL606" s="8"/>
      <c r="AM606" s="8"/>
    </row>
    <row r="607" spans="1:43" x14ac:dyDescent="0.2">
      <c r="A607" t="s">
        <v>1280</v>
      </c>
      <c r="H607">
        <v>3</v>
      </c>
      <c r="J607">
        <v>3</v>
      </c>
      <c r="N607">
        <v>10</v>
      </c>
      <c r="V607" s="8"/>
      <c r="W607" s="8"/>
      <c r="X607" s="8"/>
      <c r="Y607" s="8"/>
      <c r="Z607" s="8"/>
      <c r="AB607" s="4"/>
      <c r="AC607" s="8"/>
      <c r="AD607" s="8"/>
      <c r="AF607" s="8"/>
      <c r="AG607" s="8"/>
      <c r="AH607" s="8"/>
      <c r="AL607" s="8"/>
      <c r="AM607" s="8"/>
    </row>
    <row r="608" spans="1:43" x14ac:dyDescent="0.2">
      <c r="A608" t="s">
        <v>1281</v>
      </c>
      <c r="G608">
        <v>3</v>
      </c>
      <c r="O608">
        <v>15</v>
      </c>
      <c r="V608" s="8"/>
      <c r="W608" s="8"/>
      <c r="X608" s="8"/>
      <c r="Y608" s="8"/>
      <c r="Z608" s="8"/>
      <c r="AB608" s="4"/>
      <c r="AC608" s="8"/>
      <c r="AD608" s="8"/>
      <c r="AF608" s="8"/>
      <c r="AG608" s="8"/>
      <c r="AH608" s="8"/>
      <c r="AL608" s="8"/>
      <c r="AM608" s="8"/>
    </row>
    <row r="609" spans="1:39" x14ac:dyDescent="0.2">
      <c r="A609" t="s">
        <v>1282</v>
      </c>
      <c r="H609">
        <v>7</v>
      </c>
      <c r="N609">
        <v>20</v>
      </c>
      <c r="V609" s="8"/>
      <c r="W609" s="8"/>
      <c r="X609" s="8"/>
      <c r="Y609" s="8"/>
      <c r="Z609" s="8"/>
      <c r="AB609" s="4">
        <v>10</v>
      </c>
      <c r="AC609" s="8"/>
      <c r="AD609" s="8"/>
      <c r="AF609" s="8"/>
      <c r="AG609" s="8"/>
      <c r="AH609" s="8"/>
      <c r="AL609" s="8"/>
      <c r="AM609" s="8"/>
    </row>
    <row r="610" spans="1:39" x14ac:dyDescent="0.2">
      <c r="A610" t="s">
        <v>1283</v>
      </c>
      <c r="H610">
        <v>1</v>
      </c>
      <c r="N610">
        <v>20</v>
      </c>
      <c r="V610" s="8"/>
      <c r="W610" s="8"/>
      <c r="X610" s="8"/>
      <c r="Y610" s="8"/>
      <c r="Z610" s="8"/>
      <c r="AB610" s="4">
        <v>10</v>
      </c>
      <c r="AC610" s="8"/>
      <c r="AD610" s="8"/>
      <c r="AF610" s="8"/>
      <c r="AG610" s="8"/>
      <c r="AH610" s="8"/>
      <c r="AL610" s="8"/>
      <c r="AM610" s="8"/>
    </row>
    <row r="611" spans="1:39" x14ac:dyDescent="0.2">
      <c r="A611" t="s">
        <v>1284</v>
      </c>
      <c r="H611">
        <v>7</v>
      </c>
      <c r="N611">
        <v>21</v>
      </c>
      <c r="V611" s="8"/>
      <c r="W611" s="8"/>
      <c r="X611" s="8"/>
      <c r="Y611" s="8"/>
      <c r="Z611" s="8"/>
      <c r="AB611" s="4">
        <v>20</v>
      </c>
      <c r="AC611" s="8"/>
      <c r="AD611" s="8"/>
      <c r="AF611" s="8"/>
      <c r="AG611" s="8"/>
      <c r="AH611" s="8"/>
      <c r="AL611" s="8"/>
      <c r="AM611" s="8"/>
    </row>
    <row r="612" spans="1:39" x14ac:dyDescent="0.2">
      <c r="A612" t="s">
        <v>1285</v>
      </c>
      <c r="H612">
        <v>1</v>
      </c>
      <c r="N612">
        <v>21</v>
      </c>
      <c r="V612" s="8"/>
      <c r="W612" s="8"/>
      <c r="X612" s="8"/>
      <c r="Y612" s="8"/>
      <c r="Z612" s="8"/>
      <c r="AB612" s="4">
        <v>20</v>
      </c>
      <c r="AC612" s="8"/>
      <c r="AD612" s="8"/>
      <c r="AF612" s="8"/>
      <c r="AG612" s="8"/>
      <c r="AH612" s="8"/>
      <c r="AL612" s="8"/>
      <c r="AM612" s="8"/>
    </row>
    <row r="613" spans="1:39" x14ac:dyDescent="0.2">
      <c r="A613" t="s">
        <v>1287</v>
      </c>
      <c r="N613">
        <v>3</v>
      </c>
      <c r="V613" s="8"/>
      <c r="W613" s="8"/>
      <c r="X613" s="8"/>
      <c r="Y613" s="8"/>
      <c r="Z613" s="8"/>
      <c r="AB613" s="4"/>
      <c r="AC613" s="8"/>
      <c r="AD613" s="8"/>
      <c r="AF613" s="8"/>
      <c r="AG613" s="8"/>
      <c r="AH613" s="8"/>
      <c r="AL613" s="8"/>
      <c r="AM613" s="8"/>
    </row>
    <row r="614" spans="1:39" x14ac:dyDescent="0.2">
      <c r="A614" t="s">
        <v>1286</v>
      </c>
      <c r="I614">
        <v>8</v>
      </c>
      <c r="V614" s="8"/>
      <c r="W614" s="8"/>
      <c r="X614" s="8"/>
      <c r="Y614" s="8"/>
      <c r="Z614" s="8"/>
      <c r="AA614" s="8"/>
      <c r="AB614" s="4"/>
      <c r="AC614" s="8"/>
      <c r="AD614" s="8"/>
      <c r="AE614"/>
      <c r="AF614" s="4"/>
      <c r="AG614" s="4"/>
      <c r="AH614" s="8"/>
      <c r="AL614" s="8"/>
      <c r="AM614" s="8"/>
    </row>
    <row r="615" spans="1:39" x14ac:dyDescent="0.2">
      <c r="A615" t="s">
        <v>1288</v>
      </c>
      <c r="H615">
        <v>8</v>
      </c>
      <c r="N615">
        <v>10</v>
      </c>
      <c r="V615" s="8"/>
      <c r="W615" s="8"/>
      <c r="X615" s="8"/>
      <c r="Y615" s="8"/>
      <c r="Z615" s="8"/>
      <c r="AA615" s="8"/>
      <c r="AB615" s="4"/>
      <c r="AC615" s="8"/>
      <c r="AD615" s="8"/>
      <c r="AE615"/>
      <c r="AF615" s="4"/>
      <c r="AG615" s="4"/>
      <c r="AH615" s="8"/>
      <c r="AL615" s="8"/>
      <c r="AM615" s="8"/>
    </row>
    <row r="616" spans="1:39" x14ac:dyDescent="0.2">
      <c r="A616" t="s">
        <v>1289</v>
      </c>
      <c r="G616">
        <v>6</v>
      </c>
      <c r="H616">
        <v>4</v>
      </c>
      <c r="I616">
        <v>6</v>
      </c>
      <c r="J616">
        <v>4</v>
      </c>
      <c r="K616">
        <v>4</v>
      </c>
      <c r="L616">
        <v>4</v>
      </c>
      <c r="M616">
        <v>4</v>
      </c>
      <c r="O616">
        <v>15</v>
      </c>
      <c r="V616" s="8"/>
      <c r="W616" s="8"/>
      <c r="X616" s="8"/>
      <c r="Y616" s="8"/>
      <c r="Z616" s="8"/>
      <c r="AA616" s="8"/>
      <c r="AB616" s="4"/>
      <c r="AC616" s="8"/>
      <c r="AD616" s="8"/>
      <c r="AE616">
        <v>2</v>
      </c>
      <c r="AF616" s="4"/>
      <c r="AG616" s="4"/>
      <c r="AH616" s="8"/>
      <c r="AL616" s="8"/>
      <c r="AM616" s="8"/>
    </row>
    <row r="617" spans="1:39" x14ac:dyDescent="0.2">
      <c r="A617" t="s">
        <v>1290</v>
      </c>
      <c r="N617">
        <v>5</v>
      </c>
      <c r="V617" s="8"/>
      <c r="W617" s="8"/>
      <c r="X617" s="8"/>
      <c r="Y617" s="8"/>
      <c r="Z617" s="8"/>
      <c r="AB617" s="4">
        <v>10</v>
      </c>
      <c r="AC617" s="8"/>
      <c r="AD617" s="8"/>
      <c r="AF617" s="8"/>
      <c r="AG617" s="8"/>
      <c r="AH617" s="8"/>
      <c r="AL617" s="8"/>
      <c r="AM617" s="8"/>
    </row>
    <row r="618" spans="1:39" x14ac:dyDescent="0.2">
      <c r="A618" t="s">
        <v>1291</v>
      </c>
      <c r="N618">
        <v>15</v>
      </c>
      <c r="O618">
        <v>5</v>
      </c>
      <c r="V618" s="8">
        <v>0.03</v>
      </c>
      <c r="W618" s="8"/>
      <c r="X618" s="8"/>
      <c r="Y618" s="8"/>
      <c r="Z618" s="8"/>
      <c r="AB618" s="4"/>
      <c r="AC618" s="8"/>
      <c r="AD618" s="8"/>
      <c r="AF618" s="8"/>
      <c r="AG618" s="8"/>
      <c r="AH618" s="8"/>
      <c r="AL618" s="8"/>
      <c r="AM618" s="8"/>
    </row>
    <row r="619" spans="1:39" x14ac:dyDescent="0.2">
      <c r="A619" t="s">
        <v>1292</v>
      </c>
      <c r="G619">
        <v>5</v>
      </c>
      <c r="J619">
        <v>5</v>
      </c>
      <c r="N619">
        <v>15</v>
      </c>
      <c r="V619" s="8"/>
      <c r="W619" s="8"/>
      <c r="X619" s="8"/>
      <c r="Y619" s="8"/>
      <c r="Z619" s="8"/>
      <c r="AB619" s="4"/>
      <c r="AC619" s="8"/>
      <c r="AD619" s="8"/>
      <c r="AE619" s="4">
        <v>4</v>
      </c>
      <c r="AF619" s="8"/>
      <c r="AG619" s="8"/>
      <c r="AH619" s="8"/>
      <c r="AL619" s="8"/>
      <c r="AM619" s="8"/>
    </row>
    <row r="620" spans="1:39" x14ac:dyDescent="0.2">
      <c r="A620" s="3" t="s">
        <v>1293</v>
      </c>
      <c r="N620">
        <v>12</v>
      </c>
      <c r="O620">
        <v>12</v>
      </c>
      <c r="Q620">
        <v>12</v>
      </c>
      <c r="R620">
        <v>12</v>
      </c>
      <c r="V620" s="8"/>
      <c r="W620" s="8"/>
      <c r="X620" s="8"/>
      <c r="Y620" s="8"/>
      <c r="Z620" s="8"/>
      <c r="AA620" s="8"/>
      <c r="AB620" s="4"/>
      <c r="AC620" s="8"/>
      <c r="AD620" s="8"/>
      <c r="AE620"/>
      <c r="AF620" s="8"/>
      <c r="AG620" s="8"/>
      <c r="AH620" s="8"/>
      <c r="AL620" s="4"/>
      <c r="AM620" s="8"/>
    </row>
    <row r="621" spans="1:39" x14ac:dyDescent="0.2">
      <c r="A621" s="3" t="s">
        <v>1294</v>
      </c>
      <c r="G621">
        <v>5</v>
      </c>
      <c r="O621">
        <v>25</v>
      </c>
      <c r="V621" s="8"/>
      <c r="W621" s="8"/>
      <c r="X621" s="8"/>
      <c r="Y621" s="8"/>
      <c r="Z621" s="8"/>
      <c r="AA621" s="8"/>
      <c r="AB621" s="4"/>
      <c r="AC621" s="8"/>
      <c r="AD621" s="8"/>
      <c r="AE621"/>
      <c r="AF621" s="8"/>
      <c r="AG621" s="8"/>
      <c r="AH621" s="8"/>
      <c r="AL621" s="4"/>
      <c r="AM621" s="8"/>
    </row>
    <row r="622" spans="1:39" x14ac:dyDescent="0.2">
      <c r="A622" s="3" t="s">
        <v>1295</v>
      </c>
      <c r="N622">
        <v>9</v>
      </c>
      <c r="V622" s="8"/>
      <c r="W622" s="8"/>
      <c r="X622" s="8"/>
      <c r="Y622" s="8"/>
      <c r="Z622" s="8"/>
      <c r="AA622" s="8"/>
      <c r="AB622" s="4"/>
      <c r="AC622" s="8"/>
      <c r="AD622" s="8"/>
      <c r="AE622"/>
      <c r="AF622" s="8"/>
      <c r="AG622" s="8"/>
      <c r="AH622" s="8"/>
      <c r="AL622" s="4"/>
      <c r="AM622" s="8"/>
    </row>
    <row r="623" spans="1:39" x14ac:dyDescent="0.2">
      <c r="A623" s="3" t="s">
        <v>1296</v>
      </c>
      <c r="N623">
        <v>10</v>
      </c>
      <c r="V623" s="8"/>
      <c r="W623" s="8"/>
      <c r="X623" s="8"/>
      <c r="Y623" s="8"/>
      <c r="Z623" s="8"/>
      <c r="AA623" s="8"/>
      <c r="AB623" s="4"/>
      <c r="AC623" s="8"/>
      <c r="AD623" s="8"/>
      <c r="AE623"/>
      <c r="AF623" s="8"/>
      <c r="AG623" s="8"/>
      <c r="AH623" s="8"/>
      <c r="AL623" s="4"/>
      <c r="AM623" s="8"/>
    </row>
    <row r="624" spans="1:39" x14ac:dyDescent="0.2">
      <c r="A624" t="s">
        <v>1298</v>
      </c>
      <c r="O624">
        <v>17</v>
      </c>
      <c r="V624" s="8"/>
      <c r="W624" s="8"/>
      <c r="X624" s="8"/>
      <c r="Y624" s="8"/>
      <c r="Z624" s="8"/>
      <c r="AB624" s="4"/>
      <c r="AC624" s="8">
        <v>0.05</v>
      </c>
      <c r="AD624" s="8"/>
      <c r="AF624" s="8"/>
      <c r="AG624" s="8"/>
      <c r="AH624" s="8"/>
      <c r="AL624" s="8"/>
      <c r="AM624" s="8"/>
    </row>
    <row r="625" spans="1:42" x14ac:dyDescent="0.2">
      <c r="A625" s="3" t="s">
        <v>1297</v>
      </c>
      <c r="N625">
        <v>10</v>
      </c>
      <c r="V625" s="8">
        <v>0.03</v>
      </c>
      <c r="W625" s="8"/>
      <c r="X625" s="8"/>
      <c r="Y625" s="8"/>
      <c r="Z625" s="8"/>
      <c r="AA625" s="8"/>
      <c r="AB625" s="4"/>
      <c r="AC625" s="8"/>
      <c r="AD625" s="8"/>
      <c r="AE625"/>
      <c r="AF625" s="8"/>
      <c r="AG625" s="8"/>
      <c r="AH625" s="8"/>
      <c r="AL625" s="4"/>
      <c r="AM625" s="8"/>
    </row>
    <row r="626" spans="1:42" x14ac:dyDescent="0.2">
      <c r="A626" s="3" t="s">
        <v>1299</v>
      </c>
      <c r="N626">
        <v>15</v>
      </c>
      <c r="V626" s="8"/>
      <c r="W626" s="8"/>
      <c r="X626" s="8"/>
      <c r="Y626" s="8"/>
      <c r="Z626" s="8"/>
      <c r="AA626" s="8"/>
      <c r="AB626" s="4"/>
      <c r="AC626" s="8"/>
      <c r="AD626" s="8"/>
      <c r="AE626"/>
      <c r="AF626" s="8"/>
      <c r="AG626" s="8"/>
      <c r="AH626" s="8"/>
      <c r="AL626" s="4"/>
      <c r="AM626" s="8"/>
    </row>
    <row r="627" spans="1:42" x14ac:dyDescent="0.2">
      <c r="A627" t="s">
        <v>1302</v>
      </c>
      <c r="O627">
        <v>-15</v>
      </c>
      <c r="V627" s="8"/>
      <c r="W627" s="8"/>
      <c r="X627" s="8"/>
      <c r="Y627" s="8"/>
      <c r="Z627" s="8"/>
      <c r="AB627" s="4"/>
      <c r="AC627" s="8"/>
      <c r="AD627" s="8"/>
      <c r="AE627" s="4">
        <v>6</v>
      </c>
      <c r="AF627" s="8"/>
      <c r="AG627" s="8"/>
      <c r="AH627" s="8"/>
      <c r="AL627" s="8"/>
      <c r="AM627" s="8"/>
    </row>
    <row r="628" spans="1:42" x14ac:dyDescent="0.2">
      <c r="A628" t="s">
        <v>1300</v>
      </c>
      <c r="G628">
        <v>4</v>
      </c>
      <c r="H628">
        <v>4</v>
      </c>
      <c r="I628">
        <v>4</v>
      </c>
      <c r="J628">
        <v>4</v>
      </c>
      <c r="K628">
        <v>4</v>
      </c>
      <c r="L628">
        <v>4</v>
      </c>
      <c r="M628">
        <v>4</v>
      </c>
      <c r="V628" s="8"/>
      <c r="W628" s="8"/>
      <c r="X628" s="8"/>
      <c r="Y628" s="8"/>
      <c r="Z628" s="8"/>
      <c r="AB628" s="4"/>
      <c r="AC628" s="8"/>
      <c r="AD628" s="8"/>
      <c r="AF628" s="8"/>
      <c r="AG628" s="8"/>
      <c r="AH628" s="8"/>
      <c r="AL628" s="8"/>
      <c r="AM628" s="8"/>
    </row>
    <row r="629" spans="1:42" x14ac:dyDescent="0.2">
      <c r="A629" s="3" t="s">
        <v>1301</v>
      </c>
      <c r="G629">
        <v>10</v>
      </c>
      <c r="H629">
        <v>10</v>
      </c>
      <c r="I629">
        <v>10</v>
      </c>
      <c r="J629">
        <v>10</v>
      </c>
      <c r="K629">
        <v>10</v>
      </c>
      <c r="L629">
        <v>10</v>
      </c>
      <c r="M629">
        <v>10</v>
      </c>
      <c r="V629" s="8"/>
      <c r="W629" s="8"/>
      <c r="X629" s="8"/>
      <c r="Y629" s="8"/>
      <c r="Z629" s="8"/>
      <c r="AA629" s="8"/>
      <c r="AB629" s="4"/>
      <c r="AC629" s="8"/>
      <c r="AD629" s="8"/>
      <c r="AE629"/>
      <c r="AF629" s="4"/>
      <c r="AG629" s="4"/>
      <c r="AH629" s="8"/>
      <c r="AL629" s="8"/>
      <c r="AN629"/>
      <c r="AP629" s="8"/>
    </row>
    <row r="630" spans="1:42" x14ac:dyDescent="0.2">
      <c r="A630" t="s">
        <v>1303</v>
      </c>
      <c r="I630">
        <v>8</v>
      </c>
      <c r="N630">
        <v>20</v>
      </c>
      <c r="O630">
        <v>20</v>
      </c>
      <c r="V630" s="8"/>
      <c r="W630" s="8"/>
      <c r="X630" s="8"/>
      <c r="Y630" s="8"/>
      <c r="Z630" s="8"/>
      <c r="AB630" s="4"/>
      <c r="AC630" s="8"/>
      <c r="AD630" s="8"/>
      <c r="AF630" s="8"/>
      <c r="AG630" s="8"/>
      <c r="AH630" s="8"/>
      <c r="AL630" s="8"/>
      <c r="AM630" s="8"/>
    </row>
    <row r="631" spans="1:42" x14ac:dyDescent="0.2">
      <c r="A631" t="s">
        <v>1304</v>
      </c>
      <c r="G631">
        <v>5</v>
      </c>
      <c r="I631">
        <v>8</v>
      </c>
      <c r="N631">
        <v>20</v>
      </c>
      <c r="O631">
        <v>20</v>
      </c>
      <c r="V631" s="8"/>
      <c r="W631" s="8"/>
      <c r="X631" s="8"/>
      <c r="Y631" s="8"/>
      <c r="Z631" s="8"/>
      <c r="AB631" s="4"/>
      <c r="AC631" s="8"/>
      <c r="AD631" s="8"/>
      <c r="AF631" s="8"/>
      <c r="AG631" s="8"/>
      <c r="AH631" s="8">
        <v>0.05</v>
      </c>
      <c r="AL631" s="8"/>
      <c r="AM631" s="8"/>
    </row>
    <row r="632" spans="1:42" x14ac:dyDescent="0.2">
      <c r="A632" t="s">
        <v>1305</v>
      </c>
      <c r="O632">
        <v>20</v>
      </c>
      <c r="V632" s="8"/>
      <c r="W632" s="8"/>
      <c r="X632" s="8"/>
      <c r="Y632" s="8"/>
      <c r="Z632" s="8"/>
      <c r="AB632" s="4"/>
      <c r="AC632" s="8"/>
      <c r="AD632" s="8"/>
      <c r="AF632" s="8"/>
      <c r="AG632" s="8"/>
      <c r="AH632" s="8"/>
      <c r="AL632" s="8"/>
      <c r="AM632" s="8"/>
    </row>
    <row r="633" spans="1:42" x14ac:dyDescent="0.2">
      <c r="A633" s="3" t="s">
        <v>1306</v>
      </c>
      <c r="B633" s="144"/>
      <c r="C633" s="144"/>
      <c r="D633" s="144"/>
      <c r="E633" s="144"/>
      <c r="F633" s="144"/>
      <c r="G633" s="144"/>
      <c r="H633" s="144"/>
      <c r="I633" s="144"/>
      <c r="J633" s="144">
        <v>5</v>
      </c>
      <c r="K633" s="144"/>
      <c r="L633" s="144"/>
      <c r="M633" s="144"/>
      <c r="N633" s="144"/>
      <c r="O633" s="144">
        <v>25</v>
      </c>
      <c r="V633" s="177"/>
      <c r="W633" s="177"/>
      <c r="X633" s="177"/>
      <c r="Y633" s="177"/>
      <c r="Z633" s="177"/>
      <c r="AA633" s="177">
        <v>0.02</v>
      </c>
      <c r="AB633" s="178"/>
      <c r="AC633" s="177"/>
      <c r="AD633" s="177"/>
      <c r="AE633"/>
      <c r="AF633" s="177"/>
      <c r="AG633" s="178"/>
      <c r="AH633" s="177"/>
      <c r="AI633" s="178"/>
      <c r="AJ633" s="178"/>
      <c r="AK633" s="178"/>
      <c r="AL633" s="177"/>
      <c r="AN633"/>
    </row>
    <row r="634" spans="1:42" x14ac:dyDescent="0.2">
      <c r="A634" t="s">
        <v>1307</v>
      </c>
      <c r="O634">
        <v>35</v>
      </c>
      <c r="V634" s="8"/>
      <c r="W634" s="8"/>
      <c r="X634" s="8"/>
      <c r="Y634" s="8"/>
      <c r="Z634" s="8"/>
      <c r="AA634" s="8"/>
      <c r="AB634" s="4"/>
      <c r="AC634" s="8"/>
      <c r="AD634" s="8"/>
      <c r="AF634" s="8"/>
      <c r="AG634" s="8"/>
      <c r="AH634" s="8"/>
      <c r="AL634" s="8"/>
      <c r="AM634" s="8"/>
    </row>
    <row r="635" spans="1:42" x14ac:dyDescent="0.2">
      <c r="A635" t="s">
        <v>1308</v>
      </c>
      <c r="N635">
        <v>10</v>
      </c>
      <c r="O635">
        <v>35</v>
      </c>
      <c r="V635" s="8"/>
      <c r="W635" s="8"/>
      <c r="X635" s="8"/>
      <c r="Y635" s="8"/>
      <c r="Z635" s="8"/>
      <c r="AA635" s="8"/>
      <c r="AB635" s="4"/>
      <c r="AC635" s="8"/>
      <c r="AD635" s="8"/>
      <c r="AF635" s="8"/>
      <c r="AG635" s="8"/>
      <c r="AH635" s="8"/>
      <c r="AL635" s="8"/>
      <c r="AM635" s="8"/>
    </row>
    <row r="636" spans="1:42" x14ac:dyDescent="0.2">
      <c r="A636" t="s">
        <v>1309</v>
      </c>
      <c r="N636">
        <v>5</v>
      </c>
      <c r="V636" s="8"/>
      <c r="W636" s="8"/>
      <c r="X636" s="8"/>
      <c r="Y636" s="8"/>
      <c r="Z636" s="8"/>
      <c r="AB636" s="4"/>
      <c r="AC636" s="8"/>
      <c r="AD636" s="8"/>
      <c r="AF636" s="8"/>
      <c r="AG636" s="8"/>
      <c r="AH636" s="8"/>
      <c r="AL636" s="8"/>
      <c r="AM636" s="8"/>
    </row>
    <row r="637" spans="1:42" x14ac:dyDescent="0.2">
      <c r="AB637" s="4"/>
      <c r="AC637" s="8"/>
      <c r="AD637" s="8"/>
      <c r="AF637" s="8"/>
      <c r="AG637" s="8"/>
      <c r="AH637" s="8"/>
      <c r="AL637" s="8"/>
      <c r="AM637" s="8"/>
    </row>
    <row r="639" spans="1:42" s="1" customFormat="1" x14ac:dyDescent="0.2">
      <c r="A639" s="1" t="s">
        <v>95</v>
      </c>
      <c r="B639" s="1" t="s">
        <v>72</v>
      </c>
      <c r="C639" s="1" t="s">
        <v>482</v>
      </c>
      <c r="D639" s="1" t="s">
        <v>483</v>
      </c>
      <c r="E639" s="1" t="s">
        <v>484</v>
      </c>
      <c r="F639" s="1" t="s">
        <v>492</v>
      </c>
      <c r="G639" s="1" t="s">
        <v>26</v>
      </c>
      <c r="H639" s="1" t="s">
        <v>27</v>
      </c>
      <c r="I639" s="1" t="s">
        <v>23</v>
      </c>
      <c r="J639" s="1" t="s">
        <v>25</v>
      </c>
      <c r="K639" s="1" t="s">
        <v>298</v>
      </c>
      <c r="L639" s="1" t="s">
        <v>299</v>
      </c>
      <c r="M639" s="1" t="s">
        <v>300</v>
      </c>
      <c r="N639" s="1" t="s">
        <v>74</v>
      </c>
      <c r="O639" s="1" t="s">
        <v>73</v>
      </c>
      <c r="P639" s="1" t="s">
        <v>375</v>
      </c>
      <c r="Q639" s="1" t="s">
        <v>553</v>
      </c>
      <c r="R639" s="1" t="s">
        <v>554</v>
      </c>
      <c r="S639" s="1" t="s">
        <v>555</v>
      </c>
      <c r="T639" s="213" t="s">
        <v>556</v>
      </c>
      <c r="U639" s="213" t="s">
        <v>557</v>
      </c>
      <c r="V639" s="1" t="s">
        <v>75</v>
      </c>
      <c r="W639" s="1" t="s">
        <v>76</v>
      </c>
      <c r="X639" s="1" t="s">
        <v>77</v>
      </c>
      <c r="Y639" s="1" t="s">
        <v>480</v>
      </c>
      <c r="Z639" s="1" t="s">
        <v>80</v>
      </c>
      <c r="AA639" s="1" t="s">
        <v>481</v>
      </c>
      <c r="AB639" s="1" t="s">
        <v>28</v>
      </c>
      <c r="AC639" s="1" t="s">
        <v>78</v>
      </c>
      <c r="AD639" s="1" t="s">
        <v>79</v>
      </c>
      <c r="AE639" s="213" t="s">
        <v>82</v>
      </c>
      <c r="AF639" s="1" t="s">
        <v>81</v>
      </c>
      <c r="AG639" s="1" t="s">
        <v>102</v>
      </c>
      <c r="AH639" s="1" t="s">
        <v>103</v>
      </c>
      <c r="AI639" s="213" t="s">
        <v>452</v>
      </c>
      <c r="AJ639" s="213" t="s">
        <v>453</v>
      </c>
      <c r="AK639" s="213" t="s">
        <v>440</v>
      </c>
      <c r="AL639" s="1" t="s">
        <v>349</v>
      </c>
      <c r="AM639" s="1" t="s">
        <v>524</v>
      </c>
      <c r="AN639" s="213" t="s">
        <v>109</v>
      </c>
    </row>
    <row r="640" spans="1:42" s="1" customFormat="1" x14ac:dyDescent="0.2">
      <c r="A640" s="3" t="s">
        <v>245</v>
      </c>
      <c r="T640" s="213"/>
      <c r="U640" s="213"/>
      <c r="AE640" s="213"/>
      <c r="AI640" s="213"/>
      <c r="AJ640" s="213"/>
      <c r="AK640" s="213"/>
      <c r="AN640" s="213"/>
    </row>
    <row r="641" spans="1:39" x14ac:dyDescent="0.2">
      <c r="A641" t="s">
        <v>1100</v>
      </c>
      <c r="V641" s="8"/>
      <c r="W641" s="8"/>
      <c r="X641" s="8"/>
      <c r="Y641" s="8"/>
      <c r="Z641" s="8"/>
      <c r="AB641" s="4">
        <v>71</v>
      </c>
      <c r="AC641" s="8"/>
      <c r="AD641" s="8"/>
      <c r="AF641" s="8"/>
      <c r="AG641" s="8"/>
      <c r="AH641" s="8"/>
      <c r="AL641" s="8"/>
      <c r="AM641" s="8"/>
    </row>
    <row r="642" spans="1:39" x14ac:dyDescent="0.2">
      <c r="A642" t="s">
        <v>1099</v>
      </c>
      <c r="N642">
        <v>15</v>
      </c>
      <c r="O642">
        <v>15</v>
      </c>
      <c r="V642" s="8">
        <v>0.01</v>
      </c>
      <c r="W642" s="8"/>
      <c r="X642" s="8"/>
      <c r="Y642" s="8"/>
      <c r="Z642" s="8"/>
      <c r="AB642" s="4"/>
      <c r="AC642" s="8"/>
      <c r="AD642" s="8"/>
      <c r="AF642" s="8"/>
      <c r="AG642" s="8"/>
      <c r="AH642" s="8"/>
      <c r="AL642" s="8"/>
      <c r="AM642" s="8"/>
    </row>
    <row r="643" spans="1:39" x14ac:dyDescent="0.2">
      <c r="A643" t="s">
        <v>1097</v>
      </c>
      <c r="G643">
        <v>8</v>
      </c>
      <c r="H643">
        <v>-8</v>
      </c>
      <c r="V643" s="8"/>
      <c r="W643" s="8"/>
      <c r="X643" s="8"/>
      <c r="Y643" s="8"/>
      <c r="Z643" s="8"/>
      <c r="AB643" s="4"/>
      <c r="AC643" s="8"/>
      <c r="AD643" s="8"/>
      <c r="AF643" s="8"/>
      <c r="AG643" s="8"/>
      <c r="AH643" s="8"/>
      <c r="AL643" s="8"/>
      <c r="AM643" s="8"/>
    </row>
    <row r="644" spans="1:39" x14ac:dyDescent="0.2">
      <c r="A644" t="s">
        <v>1098</v>
      </c>
      <c r="G644">
        <v>9</v>
      </c>
      <c r="H644">
        <v>-7</v>
      </c>
      <c r="V644" s="8"/>
      <c r="W644" s="8"/>
      <c r="X644" s="8"/>
      <c r="Y644" s="8"/>
      <c r="Z644" s="8"/>
      <c r="AB644" s="4"/>
      <c r="AC644" s="8"/>
      <c r="AD644" s="8"/>
      <c r="AF644" s="8"/>
      <c r="AG644" s="8"/>
      <c r="AH644" s="8"/>
      <c r="AL644" s="8"/>
      <c r="AM644" s="8"/>
    </row>
    <row r="645" spans="1:39" x14ac:dyDescent="0.2">
      <c r="A645" t="s">
        <v>1101</v>
      </c>
      <c r="V645" s="8"/>
      <c r="W645" s="8"/>
      <c r="X645" s="8"/>
      <c r="Y645" s="8"/>
      <c r="Z645" s="8"/>
      <c r="AB645" s="4">
        <v>71</v>
      </c>
      <c r="AC645" s="8"/>
      <c r="AD645" s="8"/>
      <c r="AF645" s="8"/>
      <c r="AG645" s="8"/>
      <c r="AH645" s="8"/>
      <c r="AL645" s="8"/>
      <c r="AM645" s="8"/>
    </row>
    <row r="646" spans="1:39" x14ac:dyDescent="0.2">
      <c r="A646" t="s">
        <v>1084</v>
      </c>
      <c r="G646">
        <v>6</v>
      </c>
      <c r="I646">
        <v>6</v>
      </c>
      <c r="O646">
        <v>15</v>
      </c>
      <c r="V646" s="8"/>
      <c r="W646" s="8"/>
      <c r="X646" s="8"/>
      <c r="Y646" s="8"/>
      <c r="Z646" s="8"/>
      <c r="AB646" s="4"/>
      <c r="AC646" s="8"/>
      <c r="AD646" s="8"/>
      <c r="AF646" s="8"/>
      <c r="AG646" s="8"/>
      <c r="AH646" s="8"/>
      <c r="AL646" s="8"/>
      <c r="AM646" s="8"/>
    </row>
    <row r="647" spans="1:39" x14ac:dyDescent="0.2">
      <c r="A647" t="s">
        <v>1083</v>
      </c>
      <c r="G647">
        <v>6</v>
      </c>
      <c r="I647">
        <v>6</v>
      </c>
      <c r="N647">
        <v>10</v>
      </c>
      <c r="O647">
        <v>15</v>
      </c>
      <c r="V647" s="8"/>
      <c r="W647" s="8"/>
      <c r="X647" s="8"/>
      <c r="Y647" s="8"/>
      <c r="Z647" s="8"/>
      <c r="AB647" s="4"/>
      <c r="AC647" s="8"/>
      <c r="AD647" s="8"/>
      <c r="AF647" s="8"/>
      <c r="AG647" s="8"/>
      <c r="AH647" s="8"/>
      <c r="AL647" s="8"/>
      <c r="AM647" s="8"/>
    </row>
    <row r="648" spans="1:39" x14ac:dyDescent="0.2">
      <c r="A648" t="s">
        <v>1085</v>
      </c>
      <c r="V648" s="8">
        <v>0.04</v>
      </c>
      <c r="W648" s="8"/>
      <c r="X648" s="8"/>
      <c r="Y648" s="8"/>
      <c r="Z648" s="8"/>
      <c r="AA648" s="8"/>
      <c r="AB648" s="4">
        <v>51</v>
      </c>
      <c r="AC648" s="8"/>
      <c r="AD648" s="8"/>
      <c r="AE648"/>
      <c r="AF648" s="8"/>
      <c r="AG648" s="4"/>
      <c r="AH648" s="8"/>
      <c r="AL648" s="8"/>
      <c r="AM648" s="8"/>
    </row>
    <row r="649" spans="1:39" x14ac:dyDescent="0.2">
      <c r="A649" t="s">
        <v>1315</v>
      </c>
      <c r="H649">
        <v>7</v>
      </c>
      <c r="V649" s="8"/>
      <c r="W649" s="8"/>
      <c r="X649" s="8"/>
      <c r="Y649" s="8"/>
      <c r="Z649" s="8"/>
      <c r="AA649" s="8"/>
      <c r="AB649" s="4"/>
      <c r="AC649" s="8"/>
      <c r="AD649" s="8"/>
      <c r="AE649"/>
      <c r="AF649" s="8"/>
      <c r="AG649" s="4"/>
      <c r="AH649" s="8"/>
      <c r="AL649" s="8"/>
      <c r="AM649" s="8"/>
    </row>
    <row r="650" spans="1:39" x14ac:dyDescent="0.2">
      <c r="A650" t="s">
        <v>1314</v>
      </c>
      <c r="H650">
        <v>7</v>
      </c>
      <c r="V650" s="8"/>
      <c r="W650" s="8">
        <v>0.02</v>
      </c>
      <c r="X650" s="8"/>
      <c r="Y650" s="8"/>
      <c r="Z650" s="8"/>
      <c r="AA650" s="8"/>
      <c r="AB650" s="4"/>
      <c r="AC650" s="8"/>
      <c r="AD650" s="8"/>
      <c r="AE650"/>
      <c r="AF650" s="8"/>
      <c r="AG650" s="4"/>
      <c r="AH650" s="8"/>
      <c r="AL650" s="8"/>
      <c r="AM650" s="8"/>
    </row>
    <row r="651" spans="1:39" x14ac:dyDescent="0.2">
      <c r="A651" t="s">
        <v>1086</v>
      </c>
      <c r="G651">
        <v>7</v>
      </c>
      <c r="I651">
        <v>5</v>
      </c>
      <c r="V651" s="8"/>
      <c r="W651" s="8"/>
      <c r="X651" s="8"/>
      <c r="Y651" s="8"/>
      <c r="Z651" s="8"/>
      <c r="AA651" s="8"/>
      <c r="AB651" s="4">
        <v>51</v>
      </c>
      <c r="AC651" s="8"/>
      <c r="AD651" s="8"/>
      <c r="AE651"/>
      <c r="AF651" s="8"/>
      <c r="AG651" s="4"/>
      <c r="AH651" s="8"/>
      <c r="AL651" s="8"/>
      <c r="AM651" s="8"/>
    </row>
    <row r="652" spans="1:39" x14ac:dyDescent="0.2">
      <c r="A652" t="s">
        <v>1088</v>
      </c>
      <c r="G652">
        <v>3</v>
      </c>
      <c r="N652">
        <v>10</v>
      </c>
      <c r="V652" s="8"/>
      <c r="W652" s="8"/>
      <c r="X652" s="8"/>
      <c r="Y652" s="8"/>
      <c r="Z652" s="8"/>
      <c r="AA652" s="8"/>
      <c r="AB652" s="4">
        <v>51</v>
      </c>
      <c r="AC652" s="8"/>
      <c r="AD652" s="8"/>
      <c r="AE652"/>
      <c r="AF652" s="8"/>
      <c r="AG652" s="4"/>
      <c r="AH652" s="8"/>
      <c r="AL652" s="8"/>
      <c r="AM652" s="8"/>
    </row>
    <row r="653" spans="1:39" x14ac:dyDescent="0.2">
      <c r="A653" t="s">
        <v>1089</v>
      </c>
      <c r="G653">
        <v>4</v>
      </c>
      <c r="N653">
        <v>11</v>
      </c>
      <c r="V653" s="8"/>
      <c r="W653" s="8"/>
      <c r="X653" s="8"/>
      <c r="Y653" s="8"/>
      <c r="Z653" s="8"/>
      <c r="AA653" s="8"/>
      <c r="AB653" s="4">
        <v>61</v>
      </c>
      <c r="AC653" s="8"/>
      <c r="AD653" s="8"/>
      <c r="AE653"/>
      <c r="AF653" s="8"/>
      <c r="AG653" s="4"/>
      <c r="AH653" s="8"/>
      <c r="AL653" s="8"/>
      <c r="AM653" s="8"/>
    </row>
    <row r="654" spans="1:39" x14ac:dyDescent="0.2">
      <c r="A654" t="s">
        <v>1090</v>
      </c>
      <c r="N654">
        <v>15</v>
      </c>
      <c r="O654">
        <v>15</v>
      </c>
      <c r="Q654">
        <v>15</v>
      </c>
      <c r="R654">
        <v>15</v>
      </c>
      <c r="S654">
        <v>7</v>
      </c>
      <c r="T654">
        <v>7</v>
      </c>
      <c r="V654" s="8"/>
      <c r="W654" s="8"/>
      <c r="X654" s="8"/>
      <c r="Y654" s="8"/>
      <c r="Z654" s="8"/>
      <c r="AA654" s="8"/>
      <c r="AB654" s="4"/>
      <c r="AC654" s="8"/>
      <c r="AD654" s="8"/>
      <c r="AE654"/>
      <c r="AF654" s="8"/>
      <c r="AG654" s="4"/>
      <c r="AH654" s="8"/>
      <c r="AL654" s="8"/>
      <c r="AM654" s="8"/>
    </row>
    <row r="655" spans="1:39" x14ac:dyDescent="0.2">
      <c r="A655" t="s">
        <v>1087</v>
      </c>
      <c r="N655">
        <v>10</v>
      </c>
      <c r="V655" s="8"/>
      <c r="W655" s="8"/>
      <c r="X655" s="8"/>
      <c r="Y655" s="8"/>
      <c r="Z655" s="8"/>
      <c r="AB655" s="4"/>
      <c r="AC655" s="8"/>
      <c r="AD655" s="8"/>
      <c r="AF655" s="8"/>
      <c r="AG655" s="8"/>
      <c r="AH655" s="8"/>
      <c r="AI655" s="4">
        <v>100</v>
      </c>
      <c r="AL655" s="8">
        <v>7.0000000000000007E-2</v>
      </c>
      <c r="AM655" s="8"/>
    </row>
    <row r="656" spans="1:39" x14ac:dyDescent="0.2">
      <c r="A656" t="s">
        <v>1365</v>
      </c>
      <c r="N656">
        <v>10</v>
      </c>
      <c r="V656" s="8"/>
      <c r="W656" s="8"/>
      <c r="X656" s="8"/>
      <c r="Y656" s="8"/>
      <c r="Z656" s="8"/>
      <c r="AB656" s="4"/>
      <c r="AC656" s="8"/>
      <c r="AD656" s="8"/>
      <c r="AF656" s="8"/>
      <c r="AG656" s="8"/>
      <c r="AH656" s="8"/>
      <c r="AI656" s="4">
        <v>100</v>
      </c>
      <c r="AL656" s="8">
        <v>7.0000000000000007E-2</v>
      </c>
      <c r="AM656" s="8"/>
    </row>
    <row r="657" spans="1:39" x14ac:dyDescent="0.2">
      <c r="A657" s="3" t="s">
        <v>1092</v>
      </c>
      <c r="N657">
        <v>10</v>
      </c>
      <c r="O657">
        <v>10</v>
      </c>
      <c r="V657" s="8"/>
      <c r="W657" s="8"/>
      <c r="X657" s="8"/>
      <c r="Y657" s="8"/>
      <c r="Z657" s="8"/>
      <c r="AA657" s="8"/>
      <c r="AB657" s="4"/>
      <c r="AC657" s="8"/>
      <c r="AD657" s="8"/>
      <c r="AE657"/>
      <c r="AF657" s="8"/>
      <c r="AG657" s="8"/>
      <c r="AH657" s="8"/>
      <c r="AL657" s="4"/>
      <c r="AM657" s="8"/>
    </row>
    <row r="658" spans="1:39" x14ac:dyDescent="0.2">
      <c r="A658" s="3" t="s">
        <v>1091</v>
      </c>
      <c r="N658">
        <v>10</v>
      </c>
      <c r="O658">
        <v>10</v>
      </c>
      <c r="V658" s="8">
        <v>0.05</v>
      </c>
      <c r="W658" s="8"/>
      <c r="X658" s="8"/>
      <c r="Y658" s="8"/>
      <c r="Z658" s="8"/>
      <c r="AA658" s="8"/>
      <c r="AB658" s="4"/>
      <c r="AC658" s="8"/>
      <c r="AD658" s="8"/>
      <c r="AE658"/>
      <c r="AF658" s="8"/>
      <c r="AG658" s="8"/>
      <c r="AH658" s="8"/>
      <c r="AL658" s="4"/>
      <c r="AM658" s="8"/>
    </row>
    <row r="659" spans="1:39" x14ac:dyDescent="0.2">
      <c r="A659" t="s">
        <v>1093</v>
      </c>
      <c r="V659" s="8"/>
      <c r="W659" s="8"/>
      <c r="X659" s="8"/>
      <c r="Y659" s="8"/>
      <c r="Z659" s="8"/>
      <c r="AB659" s="4">
        <v>50</v>
      </c>
      <c r="AC659" s="8"/>
      <c r="AD659" s="8"/>
      <c r="AE659" s="4">
        <v>5</v>
      </c>
      <c r="AF659" s="8"/>
      <c r="AG659" s="8"/>
      <c r="AH659" s="8"/>
      <c r="AL659" s="8"/>
      <c r="AM659" s="8"/>
    </row>
    <row r="660" spans="1:39" x14ac:dyDescent="0.2">
      <c r="A660" t="s">
        <v>1094</v>
      </c>
      <c r="G660">
        <v>5</v>
      </c>
      <c r="H660">
        <v>5</v>
      </c>
      <c r="N660">
        <v>10</v>
      </c>
      <c r="O660">
        <v>20</v>
      </c>
      <c r="V660" s="8">
        <v>0.02</v>
      </c>
      <c r="W660" s="8"/>
      <c r="X660" s="8"/>
      <c r="Y660" s="8"/>
      <c r="Z660" s="8"/>
      <c r="AB660" s="4"/>
      <c r="AC660" s="8"/>
      <c r="AD660" s="8"/>
      <c r="AF660" s="8"/>
      <c r="AG660" s="8"/>
      <c r="AH660" s="8"/>
      <c r="AL660" s="8"/>
      <c r="AM660" s="8"/>
    </row>
    <row r="661" spans="1:39" x14ac:dyDescent="0.2">
      <c r="A661" t="s">
        <v>1104</v>
      </c>
      <c r="N661">
        <v>12</v>
      </c>
      <c r="V661" s="8">
        <v>0.08</v>
      </c>
      <c r="W661" s="8"/>
      <c r="X661" s="8"/>
      <c r="Y661" s="8"/>
      <c r="Z661" s="8"/>
      <c r="AB661" s="4">
        <v>71</v>
      </c>
      <c r="AC661" s="8"/>
      <c r="AD661" s="8"/>
      <c r="AF661" s="8"/>
      <c r="AG661" s="8"/>
      <c r="AH661" s="8"/>
      <c r="AL661" s="8"/>
      <c r="AM661" s="8"/>
    </row>
    <row r="662" spans="1:39" x14ac:dyDescent="0.2">
      <c r="A662" t="s">
        <v>1105</v>
      </c>
      <c r="N662">
        <v>17</v>
      </c>
      <c r="V662" s="8">
        <v>0.09</v>
      </c>
      <c r="W662" s="8"/>
      <c r="X662" s="8"/>
      <c r="Y662" s="8"/>
      <c r="Z662" s="8"/>
      <c r="AB662" s="4">
        <v>81</v>
      </c>
      <c r="AC662" s="8"/>
      <c r="AD662" s="8"/>
      <c r="AF662" s="8"/>
      <c r="AG662" s="8"/>
      <c r="AH662" s="8"/>
      <c r="AL662" s="8"/>
      <c r="AM662" s="8"/>
    </row>
    <row r="663" spans="1:39" x14ac:dyDescent="0.2">
      <c r="A663" t="s">
        <v>1095</v>
      </c>
      <c r="O663">
        <v>5</v>
      </c>
      <c r="V663" s="8"/>
      <c r="W663" s="8"/>
      <c r="X663" s="8"/>
      <c r="Y663" s="8"/>
      <c r="Z663" s="8"/>
      <c r="AB663" s="4">
        <v>61</v>
      </c>
      <c r="AC663" s="8"/>
      <c r="AD663" s="8"/>
      <c r="AE663" s="4">
        <v>3</v>
      </c>
      <c r="AF663" s="8"/>
      <c r="AG663" s="8"/>
      <c r="AH663" s="8"/>
      <c r="AL663" s="8"/>
      <c r="AM663" s="8"/>
    </row>
    <row r="664" spans="1:39" x14ac:dyDescent="0.2">
      <c r="A664" t="s">
        <v>1106</v>
      </c>
      <c r="N664">
        <v>13</v>
      </c>
      <c r="V664" s="8">
        <v>0.02</v>
      </c>
      <c r="W664" s="8"/>
      <c r="X664" s="8"/>
      <c r="Y664" s="8"/>
      <c r="Z664" s="8"/>
      <c r="AB664" s="4"/>
      <c r="AC664" s="8"/>
      <c r="AD664" s="8"/>
      <c r="AE664" s="4">
        <v>5</v>
      </c>
      <c r="AF664" s="8"/>
      <c r="AG664" s="8"/>
      <c r="AH664" s="8"/>
      <c r="AL664" s="8"/>
      <c r="AM664" s="8"/>
    </row>
    <row r="665" spans="1:39" x14ac:dyDescent="0.2">
      <c r="A665" t="s">
        <v>1109</v>
      </c>
      <c r="N665">
        <v>13</v>
      </c>
      <c r="V665" s="8">
        <v>0.02</v>
      </c>
      <c r="W665" s="8"/>
      <c r="X665" s="8"/>
      <c r="Y665" s="8"/>
      <c r="Z665" s="8"/>
      <c r="AB665" s="4"/>
      <c r="AC665" s="8"/>
      <c r="AD665" s="8"/>
      <c r="AE665" s="4">
        <v>1</v>
      </c>
      <c r="AF665" s="8"/>
      <c r="AG665" s="8"/>
      <c r="AH665" s="8"/>
      <c r="AL665" s="8"/>
      <c r="AM665" s="8"/>
    </row>
    <row r="666" spans="1:39" x14ac:dyDescent="0.2">
      <c r="A666" t="s">
        <v>1107</v>
      </c>
      <c r="N666">
        <v>13</v>
      </c>
      <c r="V666" s="8">
        <v>0.02</v>
      </c>
      <c r="W666" s="8"/>
      <c r="X666" s="8"/>
      <c r="Y666" s="8"/>
      <c r="Z666" s="8"/>
      <c r="AB666" s="4"/>
      <c r="AC666" s="8"/>
      <c r="AD666" s="8"/>
      <c r="AE666" s="4">
        <v>5</v>
      </c>
      <c r="AF666" s="8"/>
      <c r="AG666" s="8"/>
      <c r="AH666" s="8"/>
      <c r="AL666" s="8"/>
      <c r="AM666" s="8"/>
    </row>
    <row r="667" spans="1:39" x14ac:dyDescent="0.2">
      <c r="A667" t="s">
        <v>1108</v>
      </c>
      <c r="N667">
        <v>14</v>
      </c>
      <c r="V667" s="8">
        <v>0.03</v>
      </c>
      <c r="W667" s="8"/>
      <c r="X667" s="8"/>
      <c r="Y667" s="8"/>
      <c r="Z667" s="8"/>
      <c r="AB667" s="4"/>
      <c r="AC667" s="8"/>
      <c r="AD667" s="8"/>
      <c r="AE667" s="4">
        <v>1</v>
      </c>
      <c r="AF667" s="8"/>
      <c r="AG667" s="8"/>
      <c r="AH667" s="8"/>
      <c r="AL667" s="8"/>
      <c r="AM667" s="8"/>
    </row>
    <row r="668" spans="1:39" x14ac:dyDescent="0.2">
      <c r="A668" t="s">
        <v>1110</v>
      </c>
      <c r="N668">
        <v>5</v>
      </c>
      <c r="V668" s="8">
        <v>0.03</v>
      </c>
      <c r="W668" s="8"/>
      <c r="X668" s="8"/>
      <c r="Y668" s="8"/>
      <c r="Z668" s="8"/>
      <c r="AB668" s="4"/>
      <c r="AC668" s="8"/>
      <c r="AD668" s="8"/>
      <c r="AE668" s="4">
        <v>5</v>
      </c>
      <c r="AF668" s="8"/>
      <c r="AG668" s="8"/>
      <c r="AH668" s="8"/>
      <c r="AL668" s="8"/>
      <c r="AM668" s="8"/>
    </row>
    <row r="669" spans="1:39" x14ac:dyDescent="0.2">
      <c r="A669" t="s">
        <v>1111</v>
      </c>
      <c r="N669">
        <v>15</v>
      </c>
      <c r="V669" s="8"/>
      <c r="W669" s="8"/>
      <c r="X669" s="8"/>
      <c r="Y669" s="8"/>
      <c r="Z669" s="8"/>
      <c r="AB669" s="4">
        <v>81</v>
      </c>
      <c r="AC669" s="8"/>
      <c r="AD669" s="8"/>
      <c r="AF669" s="8"/>
      <c r="AG669" s="8"/>
      <c r="AH669" s="8"/>
      <c r="AL669" s="8"/>
      <c r="AM669" s="8"/>
    </row>
    <row r="670" spans="1:39" x14ac:dyDescent="0.2">
      <c r="A670" t="s">
        <v>1112</v>
      </c>
      <c r="N670">
        <v>20</v>
      </c>
      <c r="V670" s="8"/>
      <c r="W670" s="8"/>
      <c r="X670" s="8"/>
      <c r="Y670" s="8"/>
      <c r="Z670" s="8"/>
      <c r="AB670" s="4">
        <v>91</v>
      </c>
      <c r="AC670" s="8"/>
      <c r="AD670" s="8"/>
      <c r="AF670" s="8"/>
      <c r="AG670" s="8"/>
      <c r="AH670" s="8"/>
      <c r="AL670" s="8"/>
      <c r="AM670" s="8"/>
    </row>
    <row r="671" spans="1:39" x14ac:dyDescent="0.2">
      <c r="A671" s="144" t="s">
        <v>495</v>
      </c>
      <c r="N671">
        <v>5</v>
      </c>
      <c r="V671" s="8"/>
      <c r="W671" s="8"/>
      <c r="X671" s="8"/>
      <c r="Y671" s="8"/>
      <c r="Z671" s="8"/>
      <c r="AA671" s="8"/>
      <c r="AB671" s="4">
        <v>61</v>
      </c>
      <c r="AC671" s="8"/>
      <c r="AD671" s="8"/>
      <c r="AE671"/>
      <c r="AF671" s="8"/>
      <c r="AG671" s="4"/>
      <c r="AH671" s="8"/>
      <c r="AL671" s="8"/>
      <c r="AM671" s="8"/>
    </row>
    <row r="672" spans="1:39" x14ac:dyDescent="0.2">
      <c r="A672" t="s">
        <v>1096</v>
      </c>
      <c r="N672">
        <v>10</v>
      </c>
      <c r="V672" s="8"/>
      <c r="W672" s="8"/>
      <c r="X672" s="8"/>
      <c r="Y672" s="8"/>
      <c r="Z672" s="8"/>
      <c r="AB672" s="4"/>
      <c r="AC672" s="8"/>
      <c r="AD672" s="8"/>
      <c r="AF672" s="8"/>
      <c r="AG672" s="8"/>
      <c r="AH672" s="8"/>
      <c r="AL672" s="8"/>
      <c r="AM672" s="8"/>
    </row>
    <row r="673" spans="1:40" x14ac:dyDescent="0.2">
      <c r="A673" s="3" t="s">
        <v>1113</v>
      </c>
      <c r="G673">
        <v>13</v>
      </c>
      <c r="N673">
        <v>5</v>
      </c>
      <c r="V673" s="8">
        <v>0.01</v>
      </c>
      <c r="W673" s="8"/>
      <c r="X673" s="8"/>
      <c r="Y673" s="8"/>
      <c r="Z673" s="8"/>
      <c r="AA673" s="8"/>
      <c r="AB673" s="4"/>
      <c r="AC673" s="8"/>
      <c r="AD673" s="8"/>
      <c r="AE673"/>
      <c r="AF673" s="8"/>
      <c r="AG673" s="8"/>
      <c r="AH673" s="8"/>
      <c r="AL673" s="4"/>
      <c r="AM673" s="8"/>
    </row>
    <row r="674" spans="1:40" x14ac:dyDescent="0.2">
      <c r="A674" t="s">
        <v>1115</v>
      </c>
      <c r="M674">
        <v>5</v>
      </c>
      <c r="V674" s="8"/>
      <c r="W674" s="8"/>
      <c r="X674" s="8"/>
      <c r="Y674" s="8"/>
      <c r="Z674" s="8"/>
      <c r="AB674" s="4">
        <v>51</v>
      </c>
      <c r="AC674" s="8"/>
      <c r="AD674" s="8"/>
      <c r="AF674" s="8"/>
      <c r="AG674" s="8"/>
      <c r="AH674" s="8"/>
      <c r="AL674" s="8"/>
      <c r="AM674" s="8"/>
    </row>
    <row r="675" spans="1:40" x14ac:dyDescent="0.2">
      <c r="A675" t="s">
        <v>1116</v>
      </c>
      <c r="O675">
        <v>6</v>
      </c>
      <c r="V675" s="8"/>
      <c r="W675" s="8"/>
      <c r="X675" s="8"/>
      <c r="Y675" s="8"/>
      <c r="Z675" s="8"/>
      <c r="AB675" s="4">
        <v>61</v>
      </c>
      <c r="AC675" s="8"/>
      <c r="AD675" s="8"/>
      <c r="AF675" s="8"/>
      <c r="AG675" s="8"/>
      <c r="AH675" s="8"/>
      <c r="AL675" s="8"/>
      <c r="AM675" s="8"/>
    </row>
    <row r="676" spans="1:40" x14ac:dyDescent="0.2">
      <c r="A676" s="3" t="s">
        <v>1114</v>
      </c>
      <c r="N676">
        <v>20</v>
      </c>
      <c r="O676">
        <v>-5</v>
      </c>
      <c r="V676" s="8"/>
      <c r="W676" s="8"/>
      <c r="X676" s="8"/>
      <c r="Y676" s="8"/>
      <c r="Z676" s="8"/>
      <c r="AA676" s="8"/>
      <c r="AB676" s="4"/>
      <c r="AC676" s="8"/>
      <c r="AD676" s="8"/>
      <c r="AE676">
        <v>3</v>
      </c>
      <c r="AF676" s="4"/>
      <c r="AG676" s="4"/>
      <c r="AH676" s="8"/>
      <c r="AI676" s="8"/>
      <c r="AJ676" s="8"/>
      <c r="AK676" s="8"/>
      <c r="AL676" s="8"/>
      <c r="AN676"/>
    </row>
    <row r="677" spans="1:40" x14ac:dyDescent="0.2">
      <c r="A677" t="s">
        <v>1117</v>
      </c>
      <c r="O677">
        <v>8</v>
      </c>
      <c r="V677" s="8"/>
      <c r="W677" s="8"/>
      <c r="X677" s="8"/>
      <c r="Y677" s="8"/>
      <c r="Z677" s="8"/>
      <c r="AA677" s="8">
        <v>0.05</v>
      </c>
      <c r="AB677" s="4"/>
      <c r="AC677" s="8"/>
      <c r="AD677" s="8"/>
      <c r="AE677" s="4">
        <v>5</v>
      </c>
      <c r="AF677" s="8"/>
      <c r="AG677" s="8"/>
      <c r="AH677" s="8"/>
      <c r="AL677" s="8"/>
      <c r="AM677" s="8"/>
    </row>
    <row r="678" spans="1:40" x14ac:dyDescent="0.2">
      <c r="A678" t="s">
        <v>1118</v>
      </c>
      <c r="N678">
        <v>6</v>
      </c>
      <c r="V678" s="8"/>
      <c r="W678" s="8"/>
      <c r="X678" s="8"/>
      <c r="Y678" s="8"/>
      <c r="Z678" s="8"/>
      <c r="AB678" s="4">
        <v>61</v>
      </c>
      <c r="AC678" s="8"/>
      <c r="AD678" s="8"/>
      <c r="AF678" s="8"/>
      <c r="AG678" s="8"/>
      <c r="AH678" s="8"/>
      <c r="AL678" s="8"/>
      <c r="AM678" s="8"/>
    </row>
    <row r="679" spans="1:40" x14ac:dyDescent="0.2">
      <c r="A679" t="s">
        <v>1119</v>
      </c>
      <c r="V679" s="8"/>
      <c r="W679" s="8"/>
      <c r="X679" s="8"/>
      <c r="Y679" s="8"/>
      <c r="Z679" s="8"/>
      <c r="AB679" s="4">
        <v>71</v>
      </c>
      <c r="AC679" s="8"/>
      <c r="AD679" s="8"/>
      <c r="AF679" s="8"/>
      <c r="AG679" s="8"/>
      <c r="AH679" s="8"/>
      <c r="AL679" s="8"/>
      <c r="AM679" s="8"/>
    </row>
    <row r="680" spans="1:40" x14ac:dyDescent="0.2">
      <c r="A680" t="s">
        <v>1120</v>
      </c>
      <c r="V680" s="8"/>
      <c r="W680" s="8"/>
      <c r="X680" s="8"/>
      <c r="Y680" s="8"/>
      <c r="Z680" s="8"/>
      <c r="AB680" s="4">
        <v>81</v>
      </c>
      <c r="AC680" s="8"/>
      <c r="AD680" s="8"/>
      <c r="AF680" s="8"/>
      <c r="AG680" s="8"/>
      <c r="AH680" s="8"/>
      <c r="AL680" s="8"/>
      <c r="AM680" s="8"/>
    </row>
    <row r="681" spans="1:40" x14ac:dyDescent="0.2">
      <c r="A681" t="s">
        <v>1121</v>
      </c>
      <c r="G681">
        <v>6</v>
      </c>
      <c r="H681">
        <v>6</v>
      </c>
      <c r="V681" s="8"/>
      <c r="W681" s="8"/>
      <c r="X681" s="8"/>
      <c r="Y681" s="8"/>
      <c r="Z681" s="8"/>
      <c r="AB681" s="4"/>
      <c r="AC681" s="8"/>
      <c r="AD681" s="8"/>
      <c r="AF681" s="8"/>
      <c r="AG681" s="8"/>
      <c r="AH681" s="8"/>
      <c r="AL681" s="8"/>
      <c r="AM681" s="8"/>
    </row>
    <row r="682" spans="1:40" x14ac:dyDescent="0.2">
      <c r="A682" t="s">
        <v>1122</v>
      </c>
      <c r="G682">
        <v>3</v>
      </c>
      <c r="N682">
        <v>8</v>
      </c>
      <c r="V682" s="8"/>
      <c r="W682" s="8"/>
      <c r="X682" s="8"/>
      <c r="Y682" s="8"/>
      <c r="Z682" s="8"/>
      <c r="AB682" s="4"/>
      <c r="AC682" s="8"/>
      <c r="AD682" s="8"/>
      <c r="AF682" s="8"/>
      <c r="AG682" s="8"/>
      <c r="AH682" s="8"/>
      <c r="AL682" s="8"/>
      <c r="AM682" s="8"/>
    </row>
    <row r="683" spans="1:40" x14ac:dyDescent="0.2">
      <c r="A683" t="s">
        <v>1123</v>
      </c>
      <c r="G683">
        <v>9</v>
      </c>
      <c r="O683">
        <v>25</v>
      </c>
      <c r="V683" s="8">
        <v>-0.05</v>
      </c>
      <c r="W683" s="8"/>
      <c r="X683" s="8"/>
      <c r="Y683" s="8"/>
      <c r="Z683" s="8"/>
      <c r="AB683" s="4"/>
      <c r="AC683" s="8"/>
      <c r="AD683" s="8"/>
      <c r="AF683" s="8"/>
      <c r="AG683" s="8"/>
      <c r="AH683" s="8"/>
      <c r="AL683" s="8"/>
      <c r="AM683" s="8"/>
    </row>
    <row r="684" spans="1:40" x14ac:dyDescent="0.2">
      <c r="A684" s="3" t="s">
        <v>1124</v>
      </c>
      <c r="G684">
        <v>10</v>
      </c>
      <c r="O684">
        <v>28</v>
      </c>
      <c r="V684" s="8">
        <v>-0.05</v>
      </c>
      <c r="W684" s="8"/>
      <c r="X684" s="8"/>
      <c r="Y684" s="8"/>
      <c r="Z684" s="8"/>
      <c r="AA684" s="8"/>
      <c r="AB684" s="4"/>
      <c r="AC684" s="8"/>
      <c r="AD684" s="8"/>
      <c r="AE684"/>
      <c r="AF684" s="4"/>
      <c r="AG684" s="4"/>
      <c r="AH684" s="8"/>
      <c r="AI684" s="8"/>
      <c r="AJ684" s="8"/>
      <c r="AK684" s="8"/>
      <c r="AL684" s="8"/>
      <c r="AN684"/>
    </row>
    <row r="685" spans="1:40" x14ac:dyDescent="0.2">
      <c r="A685" s="3" t="s">
        <v>1125</v>
      </c>
      <c r="G685">
        <v>10</v>
      </c>
      <c r="N685">
        <v>5</v>
      </c>
      <c r="O685">
        <v>28</v>
      </c>
      <c r="V685" s="8">
        <v>-0.05</v>
      </c>
      <c r="W685" s="8"/>
      <c r="X685" s="8"/>
      <c r="Y685" s="8"/>
      <c r="Z685" s="8"/>
      <c r="AA685" s="8"/>
      <c r="AB685" s="4"/>
      <c r="AC685" s="8"/>
      <c r="AD685" s="8"/>
      <c r="AE685"/>
      <c r="AF685" s="4"/>
      <c r="AG685" s="4"/>
      <c r="AH685" s="8"/>
      <c r="AI685" s="8"/>
      <c r="AJ685" s="8"/>
      <c r="AK685" s="8"/>
      <c r="AL685" s="8"/>
      <c r="AN685"/>
    </row>
    <row r="686" spans="1:40" x14ac:dyDescent="0.2">
      <c r="A686" t="s">
        <v>1126</v>
      </c>
      <c r="V686" s="8"/>
      <c r="W686" s="8"/>
      <c r="X686" s="8"/>
      <c r="Y686" s="8"/>
      <c r="Z686" s="8"/>
      <c r="AA686" s="8"/>
      <c r="AB686" s="4">
        <v>91</v>
      </c>
      <c r="AC686" s="8"/>
      <c r="AD686" s="8"/>
      <c r="AF686" s="8"/>
      <c r="AG686" s="8"/>
      <c r="AH686" s="8"/>
      <c r="AL686" s="8"/>
      <c r="AM686" s="8"/>
    </row>
    <row r="687" spans="1:40" x14ac:dyDescent="0.2">
      <c r="A687" t="s">
        <v>1127</v>
      </c>
      <c r="V687" s="8"/>
      <c r="W687" s="8"/>
      <c r="X687" s="8"/>
      <c r="Y687" s="8"/>
      <c r="Z687" s="8"/>
      <c r="AA687" s="8"/>
      <c r="AB687" s="4">
        <v>102</v>
      </c>
      <c r="AC687" s="8"/>
      <c r="AD687" s="8"/>
      <c r="AF687" s="8"/>
      <c r="AG687" s="8"/>
      <c r="AH687" s="8"/>
      <c r="AL687" s="8"/>
      <c r="AM687" s="8"/>
    </row>
    <row r="688" spans="1:40" x14ac:dyDescent="0.2">
      <c r="A688" t="s">
        <v>1128</v>
      </c>
      <c r="N688">
        <v>10</v>
      </c>
      <c r="Q688">
        <v>10</v>
      </c>
      <c r="V688" s="8"/>
      <c r="W688" s="8"/>
      <c r="X688" s="8"/>
      <c r="Y688" s="8"/>
      <c r="Z688" s="8"/>
      <c r="AA688" s="8">
        <v>7.0000000000000007E-2</v>
      </c>
      <c r="AB688" s="4"/>
      <c r="AC688" s="8"/>
      <c r="AD688" s="8"/>
      <c r="AE688" s="4">
        <v>4</v>
      </c>
      <c r="AF688" s="8"/>
      <c r="AG688" s="8"/>
      <c r="AH688" s="8"/>
      <c r="AL688" s="8"/>
      <c r="AM688" s="8"/>
    </row>
    <row r="689" spans="1:39" x14ac:dyDescent="0.2">
      <c r="A689" t="s">
        <v>1129</v>
      </c>
      <c r="O689">
        <v>15</v>
      </c>
      <c r="V689" s="8"/>
      <c r="W689" s="8">
        <v>0.01</v>
      </c>
      <c r="X689" s="8"/>
      <c r="Y689" s="8"/>
      <c r="Z689" s="8"/>
      <c r="AA689" s="8"/>
      <c r="AB689" s="4">
        <v>81</v>
      </c>
      <c r="AC689" s="8"/>
      <c r="AD689" s="8"/>
      <c r="AF689" s="8"/>
      <c r="AG689" s="8"/>
      <c r="AH689" s="8"/>
      <c r="AL689" s="8"/>
      <c r="AM689" s="8"/>
    </row>
    <row r="690" spans="1:39" x14ac:dyDescent="0.2">
      <c r="A690" t="s">
        <v>1130</v>
      </c>
      <c r="O690">
        <v>10</v>
      </c>
      <c r="V690" s="8"/>
      <c r="W690" s="8">
        <v>0.01</v>
      </c>
      <c r="X690" s="8"/>
      <c r="Y690" s="8"/>
      <c r="Z690" s="8"/>
      <c r="AA690" s="8"/>
      <c r="AB690" s="4">
        <v>81</v>
      </c>
      <c r="AC690" s="8"/>
      <c r="AD690" s="8"/>
      <c r="AF690" s="8"/>
      <c r="AG690" s="8"/>
      <c r="AH690" s="8"/>
      <c r="AL690" s="8"/>
      <c r="AM690" s="8"/>
    </row>
    <row r="691" spans="1:39" x14ac:dyDescent="0.2">
      <c r="A691" t="s">
        <v>1131</v>
      </c>
      <c r="O691">
        <v>15</v>
      </c>
      <c r="V691" s="8"/>
      <c r="W691" s="8">
        <v>0.02</v>
      </c>
      <c r="X691" s="8"/>
      <c r="Y691" s="8"/>
      <c r="Z691" s="8"/>
      <c r="AA691" s="8"/>
      <c r="AB691" s="4">
        <v>91</v>
      </c>
      <c r="AC691" s="8"/>
      <c r="AD691" s="8"/>
      <c r="AF691" s="8"/>
      <c r="AG691" s="8"/>
      <c r="AH691" s="8"/>
      <c r="AL691" s="8"/>
      <c r="AM691" s="8"/>
    </row>
    <row r="692" spans="1:39" x14ac:dyDescent="0.2">
      <c r="A692" t="s">
        <v>1132</v>
      </c>
      <c r="O692">
        <v>10</v>
      </c>
      <c r="V692" s="8"/>
      <c r="W692" s="8">
        <v>0.02</v>
      </c>
      <c r="X692" s="8"/>
      <c r="Y692" s="8"/>
      <c r="Z692" s="8"/>
      <c r="AA692" s="8"/>
      <c r="AB692" s="4">
        <v>91</v>
      </c>
      <c r="AC692" s="8"/>
      <c r="AD692" s="8"/>
      <c r="AF692" s="8"/>
      <c r="AG692" s="8"/>
      <c r="AH692" s="8"/>
      <c r="AL692" s="8"/>
      <c r="AM692" s="8"/>
    </row>
    <row r="693" spans="1:39" x14ac:dyDescent="0.2">
      <c r="A693" t="s">
        <v>1133</v>
      </c>
      <c r="V693" s="8">
        <v>0.02</v>
      </c>
      <c r="W693" s="8">
        <v>0.02</v>
      </c>
      <c r="X693" s="8"/>
      <c r="Y693" s="8"/>
      <c r="Z693" s="8"/>
      <c r="AA693" s="8"/>
      <c r="AB693" s="4">
        <v>30</v>
      </c>
      <c r="AC693" s="8"/>
      <c r="AD693" s="8"/>
      <c r="AF693" s="8"/>
      <c r="AG693" s="8"/>
      <c r="AH693" s="8"/>
      <c r="AL693" s="8"/>
      <c r="AM693" s="8"/>
    </row>
    <row r="694" spans="1:39" x14ac:dyDescent="0.2">
      <c r="A694" t="s">
        <v>1134</v>
      </c>
      <c r="G694">
        <v>5</v>
      </c>
      <c r="N694">
        <v>10</v>
      </c>
      <c r="V694" s="8"/>
      <c r="W694" s="8"/>
      <c r="X694" s="8"/>
      <c r="Y694" s="8"/>
      <c r="Z694" s="8"/>
      <c r="AB694" s="4"/>
      <c r="AC694" s="8"/>
      <c r="AD694" s="8"/>
      <c r="AF694" s="8"/>
      <c r="AG694" s="8"/>
      <c r="AH694" s="8"/>
      <c r="AL694" s="8"/>
      <c r="AM694" s="8"/>
    </row>
    <row r="695" spans="1:39" x14ac:dyDescent="0.2">
      <c r="A695" t="s">
        <v>1102</v>
      </c>
      <c r="V695" s="8"/>
      <c r="W695" s="8"/>
      <c r="X695" s="8"/>
      <c r="Y695" s="8"/>
      <c r="Z695" s="8"/>
      <c r="AB695" s="4">
        <v>60</v>
      </c>
      <c r="AC695" s="8"/>
      <c r="AD695" s="8"/>
      <c r="AF695" s="8"/>
      <c r="AG695" s="8"/>
      <c r="AH695" s="8"/>
      <c r="AL695" s="8"/>
      <c r="AM695" s="8"/>
    </row>
    <row r="696" spans="1:39" x14ac:dyDescent="0.2">
      <c r="A696" t="s">
        <v>1135</v>
      </c>
      <c r="O696">
        <v>30</v>
      </c>
      <c r="V696" s="8"/>
      <c r="W696" s="8"/>
      <c r="X696" s="8"/>
      <c r="Y696" s="8"/>
      <c r="Z696" s="8"/>
      <c r="AB696" s="4"/>
      <c r="AC696" s="8"/>
      <c r="AD696" s="8"/>
      <c r="AF696" s="8"/>
      <c r="AG696" s="8"/>
      <c r="AH696" s="8"/>
      <c r="AL696" s="8"/>
      <c r="AM696" s="8"/>
    </row>
    <row r="697" spans="1:39" x14ac:dyDescent="0.2">
      <c r="A697" s="144" t="s">
        <v>549</v>
      </c>
      <c r="O697">
        <v>15</v>
      </c>
      <c r="V697" s="8"/>
      <c r="W697" s="8"/>
      <c r="X697" s="8"/>
      <c r="Y697" s="8"/>
      <c r="Z697" s="8"/>
      <c r="AA697" s="8"/>
      <c r="AB697" s="4">
        <v>30</v>
      </c>
      <c r="AC697" s="8"/>
      <c r="AD697" s="8"/>
      <c r="AE697">
        <v>4</v>
      </c>
      <c r="AF697" s="8"/>
      <c r="AG697" s="8"/>
      <c r="AH697" s="8"/>
      <c r="AL697" s="4"/>
      <c r="AM697" s="8"/>
    </row>
    <row r="698" spans="1:39" x14ac:dyDescent="0.2">
      <c r="A698" s="144" t="s">
        <v>550</v>
      </c>
      <c r="O698">
        <v>18</v>
      </c>
      <c r="V698" s="8"/>
      <c r="W698" s="8"/>
      <c r="X698" s="8"/>
      <c r="Y698" s="8"/>
      <c r="Z698" s="8"/>
      <c r="AA698" s="8"/>
      <c r="AB698" s="4">
        <v>40</v>
      </c>
      <c r="AC698" s="8"/>
      <c r="AD698" s="8"/>
      <c r="AE698">
        <v>6</v>
      </c>
      <c r="AF698" s="8"/>
      <c r="AG698" s="8"/>
      <c r="AH698" s="8"/>
      <c r="AL698" s="4"/>
      <c r="AM698" s="8"/>
    </row>
    <row r="699" spans="1:39" x14ac:dyDescent="0.2">
      <c r="A699" s="3" t="s">
        <v>1081</v>
      </c>
      <c r="V699" s="8"/>
      <c r="W699" s="8"/>
      <c r="X699" s="8"/>
      <c r="Y699" s="8"/>
      <c r="Z699" s="8"/>
      <c r="AA699" s="8"/>
      <c r="AB699" s="4">
        <v>142</v>
      </c>
      <c r="AC699" s="8"/>
      <c r="AD699" s="8"/>
      <c r="AE699"/>
      <c r="AF699" s="8"/>
      <c r="AG699" s="8"/>
      <c r="AH699" s="8"/>
      <c r="AL699" s="4"/>
      <c r="AM699" s="8"/>
    </row>
    <row r="700" spans="1:39" x14ac:dyDescent="0.2">
      <c r="A700" s="3" t="s">
        <v>1082</v>
      </c>
      <c r="V700" s="8"/>
      <c r="W700" s="8"/>
      <c r="X700" s="8"/>
      <c r="Y700" s="8"/>
      <c r="Z700" s="8"/>
      <c r="AA700" s="8"/>
      <c r="AB700" s="4">
        <v>152</v>
      </c>
      <c r="AC700" s="8"/>
      <c r="AD700" s="8"/>
      <c r="AE700"/>
      <c r="AF700" s="8"/>
      <c r="AG700" s="8"/>
      <c r="AH700" s="8"/>
      <c r="AL700" s="4"/>
      <c r="AM700" s="8"/>
    </row>
    <row r="701" spans="1:39" x14ac:dyDescent="0.2">
      <c r="A701" t="s">
        <v>1103</v>
      </c>
      <c r="N701">
        <v>3</v>
      </c>
      <c r="O701">
        <v>-5</v>
      </c>
      <c r="V701" s="8"/>
      <c r="W701" s="8"/>
      <c r="X701" s="8"/>
      <c r="Y701" s="8"/>
      <c r="Z701" s="8"/>
      <c r="AB701" s="4">
        <v>40</v>
      </c>
      <c r="AC701" s="8"/>
      <c r="AD701" s="8"/>
      <c r="AF701" s="8"/>
      <c r="AG701" s="8"/>
      <c r="AH701" s="8"/>
      <c r="AL701" s="8"/>
      <c r="AM701" s="8"/>
    </row>
    <row r="702" spans="1:39" x14ac:dyDescent="0.2">
      <c r="A702" t="s">
        <v>1136</v>
      </c>
      <c r="N702">
        <v>12</v>
      </c>
      <c r="O702">
        <v>4</v>
      </c>
      <c r="V702" s="8"/>
      <c r="W702" s="8"/>
      <c r="X702" s="8"/>
      <c r="Y702" s="8"/>
      <c r="Z702" s="8"/>
      <c r="AB702" s="4"/>
      <c r="AC702" s="8"/>
      <c r="AD702" s="8"/>
      <c r="AF702" s="8"/>
      <c r="AG702" s="8"/>
      <c r="AH702" s="8"/>
      <c r="AL702" s="8"/>
      <c r="AM702" s="8"/>
    </row>
    <row r="703" spans="1:39" x14ac:dyDescent="0.2">
      <c r="A703" t="s">
        <v>1080</v>
      </c>
      <c r="G703">
        <v>8</v>
      </c>
      <c r="H703">
        <v>8</v>
      </c>
      <c r="I703">
        <v>-5</v>
      </c>
      <c r="J703">
        <v>-5</v>
      </c>
      <c r="V703" s="8"/>
      <c r="W703" s="8"/>
      <c r="X703" s="8"/>
      <c r="Y703" s="8"/>
      <c r="Z703" s="8"/>
      <c r="AB703" s="4"/>
      <c r="AC703" s="8"/>
      <c r="AD703" s="8"/>
      <c r="AF703" s="8"/>
      <c r="AG703" s="8"/>
      <c r="AH703" s="8"/>
      <c r="AL703" s="8"/>
      <c r="AM703" s="8"/>
    </row>
    <row r="704" spans="1:39" x14ac:dyDescent="0.2">
      <c r="A704" t="s">
        <v>1079</v>
      </c>
      <c r="G704">
        <v>5</v>
      </c>
      <c r="H704">
        <v>5</v>
      </c>
      <c r="I704">
        <v>5</v>
      </c>
      <c r="V704" s="8"/>
      <c r="W704" s="8"/>
      <c r="X704" s="8"/>
      <c r="Y704" s="8"/>
      <c r="Z704" s="8"/>
      <c r="AB704" s="4"/>
      <c r="AC704" s="8"/>
      <c r="AD704" s="8"/>
      <c r="AF704" s="8"/>
      <c r="AG704" s="8"/>
      <c r="AH704" s="8"/>
      <c r="AL704" s="8"/>
      <c r="AM704" s="8"/>
    </row>
    <row r="705" spans="1:43" x14ac:dyDescent="0.2">
      <c r="A705" t="s">
        <v>1078</v>
      </c>
      <c r="V705" s="8"/>
      <c r="W705" s="8">
        <v>0.02</v>
      </c>
      <c r="X705" s="8">
        <v>0.01</v>
      </c>
      <c r="Y705" s="8"/>
      <c r="Z705" s="8"/>
      <c r="AB705" s="4"/>
      <c r="AC705" s="8"/>
      <c r="AD705" s="8"/>
      <c r="AF705" s="8"/>
      <c r="AG705" s="8"/>
      <c r="AH705" s="8"/>
      <c r="AL705" s="8"/>
      <c r="AM705" s="8"/>
    </row>
    <row r="706" spans="1:43" x14ac:dyDescent="0.2">
      <c r="A706" s="3" t="s">
        <v>1077</v>
      </c>
      <c r="N706">
        <v>2</v>
      </c>
      <c r="V706" s="8"/>
      <c r="W706" s="8">
        <v>0.02</v>
      </c>
      <c r="X706" s="8">
        <v>0.02</v>
      </c>
      <c r="Y706" s="8"/>
      <c r="Z706" s="8"/>
      <c r="AA706" s="8"/>
      <c r="AB706" s="4"/>
      <c r="AC706" s="8"/>
      <c r="AD706" s="8"/>
      <c r="AE706"/>
      <c r="AF706" s="4"/>
      <c r="AG706" s="4"/>
      <c r="AH706" s="8"/>
      <c r="AI706" s="8"/>
      <c r="AJ706" s="8"/>
      <c r="AK706" s="8"/>
      <c r="AL706" s="8"/>
      <c r="AN706"/>
    </row>
    <row r="707" spans="1:43" x14ac:dyDescent="0.2">
      <c r="A707" t="s">
        <v>1076</v>
      </c>
      <c r="H707">
        <v>7</v>
      </c>
      <c r="O707">
        <v>14</v>
      </c>
      <c r="V707" s="8"/>
      <c r="W707" s="8"/>
      <c r="X707" s="8"/>
      <c r="Y707" s="8"/>
      <c r="Z707" s="8"/>
      <c r="AA707" s="8"/>
      <c r="AB707" s="4">
        <v>71</v>
      </c>
      <c r="AC707" s="8"/>
      <c r="AD707" s="8"/>
      <c r="AF707" s="8"/>
      <c r="AG707" s="8"/>
      <c r="AH707" s="8"/>
      <c r="AL707" s="8"/>
      <c r="AM707" s="8"/>
    </row>
    <row r="710" spans="1:43" s="1" customFormat="1" x14ac:dyDescent="0.2">
      <c r="A710" s="1" t="s">
        <v>96</v>
      </c>
      <c r="B710" s="1" t="s">
        <v>72</v>
      </c>
      <c r="C710" s="1" t="s">
        <v>482</v>
      </c>
      <c r="D710" s="1" t="s">
        <v>483</v>
      </c>
      <c r="E710" s="1" t="s">
        <v>484</v>
      </c>
      <c r="F710" s="1" t="s">
        <v>492</v>
      </c>
      <c r="G710" s="1" t="s">
        <v>26</v>
      </c>
      <c r="H710" s="1" t="s">
        <v>27</v>
      </c>
      <c r="I710" s="1" t="s">
        <v>23</v>
      </c>
      <c r="J710" s="1" t="s">
        <v>25</v>
      </c>
      <c r="K710" s="1" t="s">
        <v>298</v>
      </c>
      <c r="L710" s="1" t="s">
        <v>299</v>
      </c>
      <c r="M710" s="1" t="s">
        <v>300</v>
      </c>
      <c r="N710" s="1" t="s">
        <v>74</v>
      </c>
      <c r="O710" s="1" t="s">
        <v>73</v>
      </c>
      <c r="P710" s="1" t="s">
        <v>375</v>
      </c>
      <c r="Q710" s="1" t="s">
        <v>553</v>
      </c>
      <c r="R710" s="1" t="s">
        <v>554</v>
      </c>
      <c r="S710" s="1" t="s">
        <v>555</v>
      </c>
      <c r="T710" s="213" t="s">
        <v>556</v>
      </c>
      <c r="U710" s="213" t="s">
        <v>557</v>
      </c>
      <c r="V710" s="1" t="s">
        <v>75</v>
      </c>
      <c r="W710" s="1" t="s">
        <v>76</v>
      </c>
      <c r="X710" s="1" t="s">
        <v>77</v>
      </c>
      <c r="Y710" s="1" t="s">
        <v>480</v>
      </c>
      <c r="Z710" s="1" t="s">
        <v>80</v>
      </c>
      <c r="AA710" s="1" t="s">
        <v>481</v>
      </c>
      <c r="AB710" s="1" t="s">
        <v>28</v>
      </c>
      <c r="AC710" s="1" t="s">
        <v>78</v>
      </c>
      <c r="AD710" s="1" t="s">
        <v>79</v>
      </c>
      <c r="AE710" s="213" t="s">
        <v>82</v>
      </c>
      <c r="AF710" s="1" t="s">
        <v>81</v>
      </c>
      <c r="AG710" s="1" t="s">
        <v>102</v>
      </c>
      <c r="AH710" s="1" t="s">
        <v>103</v>
      </c>
      <c r="AI710" s="213" t="s">
        <v>452</v>
      </c>
      <c r="AJ710" s="213" t="s">
        <v>453</v>
      </c>
      <c r="AK710" s="213" t="s">
        <v>440</v>
      </c>
      <c r="AL710" s="1" t="s">
        <v>349</v>
      </c>
      <c r="AM710" s="1" t="s">
        <v>524</v>
      </c>
      <c r="AN710" s="213" t="s">
        <v>109</v>
      </c>
    </row>
    <row r="711" spans="1:43" x14ac:dyDescent="0.2">
      <c r="A711" t="s">
        <v>245</v>
      </c>
      <c r="V711" s="8"/>
      <c r="W711" s="8"/>
      <c r="X711" s="8"/>
      <c r="Y711" s="8"/>
      <c r="Z711" s="8"/>
      <c r="AB711" s="11"/>
      <c r="AC711" s="8"/>
      <c r="AD711" s="8"/>
      <c r="AF711" s="8"/>
      <c r="AG711" s="8"/>
      <c r="AH711" s="8"/>
      <c r="AL711" s="8"/>
      <c r="AM711" s="8"/>
    </row>
    <row r="712" spans="1:43" x14ac:dyDescent="0.2">
      <c r="A712" t="s">
        <v>933</v>
      </c>
      <c r="G712">
        <v>33</v>
      </c>
      <c r="I712">
        <v>19</v>
      </c>
      <c r="J712">
        <v>13</v>
      </c>
      <c r="K712">
        <v>24</v>
      </c>
      <c r="L712">
        <v>14</v>
      </c>
      <c r="M712">
        <v>10</v>
      </c>
      <c r="N712">
        <v>10</v>
      </c>
      <c r="V712" s="8"/>
      <c r="W712" s="8"/>
      <c r="X712" s="8"/>
      <c r="Y712" s="8"/>
      <c r="Z712" s="8"/>
      <c r="AB712" s="11">
        <v>51</v>
      </c>
      <c r="AC712" s="8"/>
      <c r="AD712" s="8"/>
      <c r="AE712" s="4">
        <v>4</v>
      </c>
      <c r="AF712" s="8"/>
      <c r="AG712" s="8"/>
      <c r="AH712" s="8"/>
      <c r="AL712" s="8"/>
      <c r="AM712" s="8"/>
    </row>
    <row r="713" spans="1:43" x14ac:dyDescent="0.2">
      <c r="A713" t="str">
        <f>Augments!A82</f>
        <v>Acro Breeches (DA)</v>
      </c>
      <c r="B713">
        <f t="shared" ref="B713:K716" ca="1" si="48">IF(ISBLANK($A713),0,VLOOKUP($A713,INDIRECT(CONCATENATE("Aug",$A$710)),MATCH(B$1,AugStatHeader,0),0)
+VLOOKUP(LEFT($A713,FIND(" (",$A713,1)-1),INDIRECT("BaseAugArmor"),MATCH(B$1,StatHeader,0),0))</f>
        <v>0</v>
      </c>
      <c r="C713">
        <f t="shared" ca="1" si="48"/>
        <v>0</v>
      </c>
      <c r="D713">
        <f t="shared" ca="1" si="48"/>
        <v>0</v>
      </c>
      <c r="E713">
        <f t="shared" ca="1" si="48"/>
        <v>0</v>
      </c>
      <c r="F713">
        <f t="shared" ca="1" si="48"/>
        <v>0</v>
      </c>
      <c r="G713">
        <f t="shared" ca="1" si="48"/>
        <v>40</v>
      </c>
      <c r="H713">
        <f t="shared" ca="1" si="48"/>
        <v>7</v>
      </c>
      <c r="I713">
        <f t="shared" ca="1" si="48"/>
        <v>19</v>
      </c>
      <c r="J713">
        <f t="shared" ca="1" si="48"/>
        <v>13</v>
      </c>
      <c r="K713">
        <f t="shared" ca="1" si="48"/>
        <v>24</v>
      </c>
      <c r="L713">
        <f t="shared" ref="L713:U716" ca="1" si="49">IF(ISBLANK($A713),0,VLOOKUP($A713,INDIRECT(CONCATENATE("Aug",$A$710)),MATCH(L$1,AugStatHeader,0),0)
+VLOOKUP(LEFT($A713,FIND(" (",$A713,1)-1),INDIRECT("BaseAugArmor"),MATCH(L$1,StatHeader,0),0))</f>
        <v>14</v>
      </c>
      <c r="M713">
        <f t="shared" ca="1" si="49"/>
        <v>10</v>
      </c>
      <c r="N713">
        <f t="shared" ca="1" si="49"/>
        <v>30</v>
      </c>
      <c r="O713">
        <f t="shared" ca="1" si="49"/>
        <v>20</v>
      </c>
      <c r="P713" s="8">
        <f t="shared" ca="1" si="49"/>
        <v>0</v>
      </c>
      <c r="Q713">
        <f t="shared" ca="1" si="49"/>
        <v>0</v>
      </c>
      <c r="R713">
        <f t="shared" ca="1" si="49"/>
        <v>0</v>
      </c>
      <c r="S713">
        <f t="shared" ca="1" si="49"/>
        <v>0</v>
      </c>
      <c r="T713">
        <f t="shared" ca="1" si="49"/>
        <v>0</v>
      </c>
      <c r="U713">
        <f t="shared" ca="1" si="49"/>
        <v>0</v>
      </c>
      <c r="V713" s="8">
        <f t="shared" ref="V713:AE716" ca="1" si="50">IF(ISBLANK($A713),0,VLOOKUP($A713,INDIRECT(CONCATENATE("Aug",$A$710)),MATCH(V$1,AugStatHeader,0),0)
+VLOOKUP(LEFT($A713,FIND(" (",$A713,1)-1),INDIRECT("BaseAugArmor"),MATCH(V$1,StatHeader,0),0))</f>
        <v>0.03</v>
      </c>
      <c r="W713" s="8">
        <f t="shared" ca="1" si="50"/>
        <v>0</v>
      </c>
      <c r="X713" s="8">
        <f t="shared" ca="1" si="50"/>
        <v>0</v>
      </c>
      <c r="Y713" s="8">
        <f t="shared" ca="1" si="50"/>
        <v>0</v>
      </c>
      <c r="Z713" s="8">
        <f t="shared" ca="1" si="50"/>
        <v>0</v>
      </c>
      <c r="AA713">
        <f t="shared" ca="1" si="50"/>
        <v>0</v>
      </c>
      <c r="AB713">
        <f t="shared" ca="1" si="50"/>
        <v>51</v>
      </c>
      <c r="AC713" s="8">
        <f t="shared" ca="1" si="50"/>
        <v>0</v>
      </c>
      <c r="AD713" s="8">
        <f t="shared" ca="1" si="50"/>
        <v>0</v>
      </c>
      <c r="AE713">
        <f t="shared" ca="1" si="50"/>
        <v>4</v>
      </c>
      <c r="AF713">
        <f t="shared" ref="AF713:AN716" ca="1" si="51">IF(ISBLANK($A713),0,VLOOKUP($A713,INDIRECT(CONCATENATE("Aug",$A$710)),MATCH(AF$1,AugStatHeader,0),0)
+VLOOKUP(LEFT($A713,FIND(" (",$A713,1)-1),INDIRECT("BaseAugArmor"),MATCH(AF$1,StatHeader,0),0))</f>
        <v>0</v>
      </c>
      <c r="AG713">
        <f t="shared" ca="1" si="51"/>
        <v>0</v>
      </c>
      <c r="AH713" s="8">
        <f t="shared" ca="1" si="51"/>
        <v>0</v>
      </c>
      <c r="AI713">
        <f t="shared" ca="1" si="51"/>
        <v>0</v>
      </c>
      <c r="AJ713">
        <f t="shared" ca="1" si="51"/>
        <v>0</v>
      </c>
      <c r="AK713">
        <f t="shared" ca="1" si="51"/>
        <v>0</v>
      </c>
      <c r="AL713">
        <f t="shared" ca="1" si="51"/>
        <v>0</v>
      </c>
      <c r="AM713" s="8">
        <f t="shared" ca="1" si="51"/>
        <v>0</v>
      </c>
      <c r="AN713">
        <f t="shared" ca="1" si="51"/>
        <v>0</v>
      </c>
      <c r="AQ713" s="8"/>
    </row>
    <row r="714" spans="1:43" x14ac:dyDescent="0.2">
      <c r="A714" t="str">
        <f>Augments!A83</f>
        <v>Acro Breeches (STP)</v>
      </c>
      <c r="B714">
        <f t="shared" ca="1" si="48"/>
        <v>0</v>
      </c>
      <c r="C714">
        <f t="shared" ca="1" si="48"/>
        <v>0</v>
      </c>
      <c r="D714">
        <f t="shared" ca="1" si="48"/>
        <v>0</v>
      </c>
      <c r="E714">
        <f t="shared" ca="1" si="48"/>
        <v>0</v>
      </c>
      <c r="F714">
        <f t="shared" ca="1" si="48"/>
        <v>0</v>
      </c>
      <c r="G714">
        <f t="shared" ca="1" si="48"/>
        <v>40</v>
      </c>
      <c r="H714">
        <f t="shared" ca="1" si="48"/>
        <v>7</v>
      </c>
      <c r="I714">
        <f t="shared" ca="1" si="48"/>
        <v>19</v>
      </c>
      <c r="J714">
        <f t="shared" ca="1" si="48"/>
        <v>13</v>
      </c>
      <c r="K714">
        <f t="shared" ca="1" si="48"/>
        <v>24</v>
      </c>
      <c r="L714">
        <f t="shared" ca="1" si="49"/>
        <v>14</v>
      </c>
      <c r="M714">
        <f t="shared" ca="1" si="49"/>
        <v>10</v>
      </c>
      <c r="N714">
        <f t="shared" ca="1" si="49"/>
        <v>30</v>
      </c>
      <c r="O714">
        <f t="shared" ca="1" si="49"/>
        <v>20</v>
      </c>
      <c r="P714" s="8">
        <f t="shared" ca="1" si="49"/>
        <v>0</v>
      </c>
      <c r="Q714">
        <f t="shared" ca="1" si="49"/>
        <v>0</v>
      </c>
      <c r="R714">
        <f t="shared" ca="1" si="49"/>
        <v>0</v>
      </c>
      <c r="S714">
        <f t="shared" ca="1" si="49"/>
        <v>0</v>
      </c>
      <c r="T714">
        <f t="shared" ca="1" si="49"/>
        <v>0</v>
      </c>
      <c r="U714">
        <f t="shared" ca="1" si="49"/>
        <v>0</v>
      </c>
      <c r="V714" s="8">
        <f t="shared" ca="1" si="50"/>
        <v>0</v>
      </c>
      <c r="W714" s="8">
        <f t="shared" ca="1" si="50"/>
        <v>0</v>
      </c>
      <c r="X714" s="8">
        <f t="shared" ca="1" si="50"/>
        <v>0</v>
      </c>
      <c r="Y714" s="8">
        <f t="shared" ca="1" si="50"/>
        <v>0</v>
      </c>
      <c r="Z714" s="8">
        <f t="shared" ca="1" si="50"/>
        <v>0</v>
      </c>
      <c r="AA714">
        <f t="shared" ca="1" si="50"/>
        <v>0</v>
      </c>
      <c r="AB714">
        <f t="shared" ca="1" si="50"/>
        <v>51</v>
      </c>
      <c r="AC714" s="8">
        <f t="shared" ca="1" si="50"/>
        <v>0</v>
      </c>
      <c r="AD714" s="8">
        <f t="shared" ca="1" si="50"/>
        <v>0</v>
      </c>
      <c r="AE714">
        <f t="shared" ca="1" si="50"/>
        <v>10</v>
      </c>
      <c r="AF714">
        <f t="shared" ca="1" si="51"/>
        <v>0</v>
      </c>
      <c r="AG714">
        <f t="shared" ca="1" si="51"/>
        <v>0</v>
      </c>
      <c r="AH714" s="8">
        <f t="shared" ca="1" si="51"/>
        <v>0</v>
      </c>
      <c r="AI714">
        <f t="shared" ca="1" si="51"/>
        <v>0</v>
      </c>
      <c r="AJ714">
        <f t="shared" ca="1" si="51"/>
        <v>0</v>
      </c>
      <c r="AK714">
        <f t="shared" ca="1" si="51"/>
        <v>0</v>
      </c>
      <c r="AL714">
        <f t="shared" ca="1" si="51"/>
        <v>0</v>
      </c>
      <c r="AM714" s="8">
        <f t="shared" ca="1" si="51"/>
        <v>0</v>
      </c>
      <c r="AN714">
        <f t="shared" ca="1" si="51"/>
        <v>0</v>
      </c>
      <c r="AQ714" s="8"/>
    </row>
    <row r="715" spans="1:43" x14ac:dyDescent="0.2">
      <c r="A715" t="str">
        <f>Augments!A84</f>
        <v>Acro Breeches (Custom 1)</v>
      </c>
      <c r="B715">
        <f t="shared" ca="1" si="48"/>
        <v>0</v>
      </c>
      <c r="C715">
        <f t="shared" ca="1" si="48"/>
        <v>0</v>
      </c>
      <c r="D715">
        <f t="shared" ca="1" si="48"/>
        <v>0</v>
      </c>
      <c r="E715">
        <f t="shared" ca="1" si="48"/>
        <v>0</v>
      </c>
      <c r="F715">
        <f t="shared" ca="1" si="48"/>
        <v>0</v>
      </c>
      <c r="G715">
        <f t="shared" ca="1" si="48"/>
        <v>33</v>
      </c>
      <c r="H715">
        <f t="shared" ca="1" si="48"/>
        <v>0</v>
      </c>
      <c r="I715">
        <f t="shared" ca="1" si="48"/>
        <v>19</v>
      </c>
      <c r="J715">
        <f t="shared" ca="1" si="48"/>
        <v>13</v>
      </c>
      <c r="K715">
        <f t="shared" ca="1" si="48"/>
        <v>24</v>
      </c>
      <c r="L715">
        <f t="shared" ca="1" si="49"/>
        <v>14</v>
      </c>
      <c r="M715">
        <f t="shared" ca="1" si="49"/>
        <v>10</v>
      </c>
      <c r="N715">
        <f t="shared" ca="1" si="49"/>
        <v>10</v>
      </c>
      <c r="O715">
        <f t="shared" ca="1" si="49"/>
        <v>0</v>
      </c>
      <c r="P715" s="8">
        <f t="shared" ca="1" si="49"/>
        <v>0</v>
      </c>
      <c r="Q715">
        <f t="shared" ca="1" si="49"/>
        <v>0</v>
      </c>
      <c r="R715">
        <f t="shared" ca="1" si="49"/>
        <v>0</v>
      </c>
      <c r="S715">
        <f t="shared" ca="1" si="49"/>
        <v>0</v>
      </c>
      <c r="T715">
        <f t="shared" ca="1" si="49"/>
        <v>0</v>
      </c>
      <c r="U715">
        <f t="shared" ca="1" si="49"/>
        <v>0</v>
      </c>
      <c r="V715" s="8">
        <f t="shared" ca="1" si="50"/>
        <v>0</v>
      </c>
      <c r="W715" s="8">
        <f t="shared" ca="1" si="50"/>
        <v>0</v>
      </c>
      <c r="X715" s="8">
        <f t="shared" ca="1" si="50"/>
        <v>0</v>
      </c>
      <c r="Y715" s="8">
        <f t="shared" ca="1" si="50"/>
        <v>0</v>
      </c>
      <c r="Z715" s="8">
        <f t="shared" ca="1" si="50"/>
        <v>0</v>
      </c>
      <c r="AA715">
        <f t="shared" ca="1" si="50"/>
        <v>0</v>
      </c>
      <c r="AB715">
        <f t="shared" ca="1" si="50"/>
        <v>51</v>
      </c>
      <c r="AC715" s="8">
        <f t="shared" ca="1" si="50"/>
        <v>0</v>
      </c>
      <c r="AD715" s="8">
        <f t="shared" ca="1" si="50"/>
        <v>0</v>
      </c>
      <c r="AE715">
        <f t="shared" ca="1" si="50"/>
        <v>4</v>
      </c>
      <c r="AF715">
        <f t="shared" ca="1" si="51"/>
        <v>0</v>
      </c>
      <c r="AG715">
        <f t="shared" ca="1" si="51"/>
        <v>0</v>
      </c>
      <c r="AH715" s="8">
        <f t="shared" ca="1" si="51"/>
        <v>0</v>
      </c>
      <c r="AI715">
        <f t="shared" ca="1" si="51"/>
        <v>0</v>
      </c>
      <c r="AJ715">
        <f t="shared" ca="1" si="51"/>
        <v>0</v>
      </c>
      <c r="AK715">
        <f t="shared" ca="1" si="51"/>
        <v>0</v>
      </c>
      <c r="AL715">
        <f t="shared" ca="1" si="51"/>
        <v>0</v>
      </c>
      <c r="AM715" s="8">
        <f t="shared" ca="1" si="51"/>
        <v>0</v>
      </c>
      <c r="AN715">
        <f t="shared" ca="1" si="51"/>
        <v>0</v>
      </c>
      <c r="AQ715" s="8"/>
    </row>
    <row r="716" spans="1:43" x14ac:dyDescent="0.2">
      <c r="A716" t="str">
        <f>Augments!A85</f>
        <v>Acro Breeches (Custom 2)</v>
      </c>
      <c r="B716">
        <f t="shared" ca="1" si="48"/>
        <v>0</v>
      </c>
      <c r="C716">
        <f t="shared" ca="1" si="48"/>
        <v>0</v>
      </c>
      <c r="D716">
        <f t="shared" ca="1" si="48"/>
        <v>0</v>
      </c>
      <c r="E716">
        <f t="shared" ca="1" si="48"/>
        <v>0</v>
      </c>
      <c r="F716">
        <f t="shared" ca="1" si="48"/>
        <v>0</v>
      </c>
      <c r="G716">
        <f t="shared" ca="1" si="48"/>
        <v>33</v>
      </c>
      <c r="H716">
        <f t="shared" ca="1" si="48"/>
        <v>0</v>
      </c>
      <c r="I716">
        <f t="shared" ca="1" si="48"/>
        <v>19</v>
      </c>
      <c r="J716">
        <f t="shared" ca="1" si="48"/>
        <v>13</v>
      </c>
      <c r="K716">
        <f t="shared" ca="1" si="48"/>
        <v>24</v>
      </c>
      <c r="L716">
        <f t="shared" ca="1" si="49"/>
        <v>14</v>
      </c>
      <c r="M716">
        <f t="shared" ca="1" si="49"/>
        <v>10</v>
      </c>
      <c r="N716">
        <f t="shared" ca="1" si="49"/>
        <v>10</v>
      </c>
      <c r="O716">
        <f t="shared" ca="1" si="49"/>
        <v>0</v>
      </c>
      <c r="P716" s="8">
        <f t="shared" ca="1" si="49"/>
        <v>0</v>
      </c>
      <c r="Q716">
        <f t="shared" ca="1" si="49"/>
        <v>0</v>
      </c>
      <c r="R716">
        <f t="shared" ca="1" si="49"/>
        <v>0</v>
      </c>
      <c r="S716">
        <f t="shared" ca="1" si="49"/>
        <v>0</v>
      </c>
      <c r="T716">
        <f t="shared" ca="1" si="49"/>
        <v>0</v>
      </c>
      <c r="U716">
        <f t="shared" ca="1" si="49"/>
        <v>0</v>
      </c>
      <c r="V716" s="8">
        <f t="shared" ca="1" si="50"/>
        <v>0</v>
      </c>
      <c r="W716" s="8">
        <f t="shared" ca="1" si="50"/>
        <v>0</v>
      </c>
      <c r="X716" s="8">
        <f t="shared" ca="1" si="50"/>
        <v>0</v>
      </c>
      <c r="Y716" s="8">
        <f t="shared" ca="1" si="50"/>
        <v>0</v>
      </c>
      <c r="Z716" s="8">
        <f t="shared" ca="1" si="50"/>
        <v>0</v>
      </c>
      <c r="AA716">
        <f t="shared" ca="1" si="50"/>
        <v>0</v>
      </c>
      <c r="AB716">
        <f t="shared" ca="1" si="50"/>
        <v>51</v>
      </c>
      <c r="AC716" s="8">
        <f t="shared" ca="1" si="50"/>
        <v>0</v>
      </c>
      <c r="AD716" s="8">
        <f t="shared" ca="1" si="50"/>
        <v>0</v>
      </c>
      <c r="AE716">
        <f t="shared" ca="1" si="50"/>
        <v>4</v>
      </c>
      <c r="AF716">
        <f t="shared" ca="1" si="51"/>
        <v>0</v>
      </c>
      <c r="AG716">
        <f t="shared" ca="1" si="51"/>
        <v>0</v>
      </c>
      <c r="AH716" s="8">
        <f t="shared" ca="1" si="51"/>
        <v>0</v>
      </c>
      <c r="AI716">
        <f t="shared" ca="1" si="51"/>
        <v>0</v>
      </c>
      <c r="AJ716">
        <f t="shared" ca="1" si="51"/>
        <v>0</v>
      </c>
      <c r="AK716">
        <f t="shared" ca="1" si="51"/>
        <v>0</v>
      </c>
      <c r="AL716">
        <f t="shared" ca="1" si="51"/>
        <v>0</v>
      </c>
      <c r="AM716" s="8">
        <f t="shared" ca="1" si="51"/>
        <v>0</v>
      </c>
      <c r="AN716">
        <f t="shared" ca="1" si="51"/>
        <v>0</v>
      </c>
      <c r="AQ716" s="8"/>
    </row>
    <row r="717" spans="1:43" x14ac:dyDescent="0.2">
      <c r="A717" t="s">
        <v>906</v>
      </c>
      <c r="G717">
        <v>21</v>
      </c>
      <c r="I717">
        <v>11</v>
      </c>
      <c r="J717">
        <v>20</v>
      </c>
      <c r="K717">
        <v>22</v>
      </c>
      <c r="L717">
        <v>12</v>
      </c>
      <c r="M717">
        <v>7</v>
      </c>
      <c r="Q717">
        <v>12</v>
      </c>
      <c r="V717" s="8"/>
      <c r="W717" s="8"/>
      <c r="X717" s="8"/>
      <c r="Y717" s="8"/>
      <c r="Z717" s="8"/>
      <c r="AB717" s="11">
        <v>61</v>
      </c>
      <c r="AC717" s="8"/>
      <c r="AD717" s="8"/>
      <c r="AE717" s="4">
        <v>4</v>
      </c>
      <c r="AF717" s="8"/>
      <c r="AG717" s="8"/>
      <c r="AH717" s="8"/>
      <c r="AL717" s="8"/>
      <c r="AM717" s="8"/>
    </row>
    <row r="718" spans="1:43" x14ac:dyDescent="0.2">
      <c r="A718" s="144" t="s">
        <v>907</v>
      </c>
      <c r="G718">
        <v>24</v>
      </c>
      <c r="I718">
        <v>13</v>
      </c>
      <c r="J718">
        <v>23</v>
      </c>
      <c r="K718">
        <v>25</v>
      </c>
      <c r="L718">
        <v>14</v>
      </c>
      <c r="M718">
        <v>8</v>
      </c>
      <c r="Q718">
        <v>13</v>
      </c>
      <c r="V718" s="8"/>
      <c r="W718" s="8"/>
      <c r="X718" s="8"/>
      <c r="Y718" s="8"/>
      <c r="Z718" s="8"/>
      <c r="AA718" s="8"/>
      <c r="AB718" s="11">
        <v>61</v>
      </c>
      <c r="AC718" s="8"/>
      <c r="AD718" s="8"/>
      <c r="AE718" s="4">
        <v>5</v>
      </c>
      <c r="AF718" s="8"/>
      <c r="AG718" s="8"/>
      <c r="AH718" s="8"/>
      <c r="AL718" s="4"/>
      <c r="AM718" s="8"/>
    </row>
    <row r="719" spans="1:43" x14ac:dyDescent="0.2">
      <c r="A719" s="3" t="s">
        <v>1880</v>
      </c>
      <c r="G719">
        <v>40</v>
      </c>
      <c r="I719">
        <v>30</v>
      </c>
      <c r="J719">
        <v>19</v>
      </c>
      <c r="K719">
        <v>30</v>
      </c>
      <c r="L719">
        <v>20</v>
      </c>
      <c r="M719">
        <v>15</v>
      </c>
      <c r="N719">
        <v>41</v>
      </c>
      <c r="V719" s="8"/>
      <c r="W719" s="8"/>
      <c r="X719" s="8"/>
      <c r="Y719" s="8"/>
      <c r="Z719" s="8"/>
      <c r="AA719" s="8"/>
      <c r="AB719" s="11">
        <v>51</v>
      </c>
      <c r="AC719" s="8"/>
      <c r="AD719" s="8"/>
      <c r="AF719" s="8"/>
      <c r="AG719" s="8"/>
      <c r="AH719" s="8"/>
      <c r="AL719" s="4"/>
      <c r="AM719" s="8"/>
    </row>
    <row r="720" spans="1:43" x14ac:dyDescent="0.2">
      <c r="A720" s="3" t="s">
        <v>1881</v>
      </c>
      <c r="G720">
        <v>45</v>
      </c>
      <c r="I720">
        <v>35</v>
      </c>
      <c r="J720">
        <v>19</v>
      </c>
      <c r="K720">
        <v>30</v>
      </c>
      <c r="L720">
        <v>20</v>
      </c>
      <c r="M720">
        <v>15</v>
      </c>
      <c r="N720">
        <v>51</v>
      </c>
      <c r="V720" s="8"/>
      <c r="W720" s="8"/>
      <c r="X720" s="8"/>
      <c r="Y720" s="8"/>
      <c r="Z720" s="8"/>
      <c r="AA720" s="8"/>
      <c r="AB720" s="11">
        <v>51</v>
      </c>
      <c r="AC720" s="8"/>
      <c r="AD720" s="8"/>
      <c r="AF720" s="8"/>
      <c r="AG720" s="8"/>
      <c r="AH720" s="8"/>
      <c r="AL720" s="4"/>
      <c r="AM720" s="8"/>
    </row>
    <row r="721" spans="1:39" x14ac:dyDescent="0.2">
      <c r="A721" s="3" t="s">
        <v>937</v>
      </c>
      <c r="G721">
        <v>30</v>
      </c>
      <c r="I721">
        <v>17</v>
      </c>
      <c r="J721">
        <v>17</v>
      </c>
      <c r="K721">
        <v>33</v>
      </c>
      <c r="L721">
        <v>20</v>
      </c>
      <c r="M721">
        <v>16</v>
      </c>
      <c r="O721">
        <v>15</v>
      </c>
      <c r="T721">
        <v>15</v>
      </c>
      <c r="V721" s="8">
        <v>0.03</v>
      </c>
      <c r="W721" s="8"/>
      <c r="X721" s="8"/>
      <c r="Y721" s="8"/>
      <c r="Z721" s="8"/>
      <c r="AA721" s="8"/>
      <c r="AB721" s="11">
        <v>61</v>
      </c>
      <c r="AC721" s="8"/>
      <c r="AD721" s="8"/>
      <c r="AF721" s="8"/>
      <c r="AG721" s="8"/>
      <c r="AH721" s="8"/>
      <c r="AL721" s="4"/>
      <c r="AM721" s="8"/>
    </row>
    <row r="722" spans="1:39" x14ac:dyDescent="0.2">
      <c r="A722" s="3" t="s">
        <v>938</v>
      </c>
      <c r="G722">
        <v>30</v>
      </c>
      <c r="I722">
        <v>17</v>
      </c>
      <c r="J722">
        <v>17</v>
      </c>
      <c r="K722">
        <v>33</v>
      </c>
      <c r="L722">
        <v>20</v>
      </c>
      <c r="M722">
        <v>16</v>
      </c>
      <c r="O722">
        <v>15</v>
      </c>
      <c r="T722">
        <v>15</v>
      </c>
      <c r="V722" s="8">
        <v>0.01</v>
      </c>
      <c r="W722" s="8"/>
      <c r="X722" s="8"/>
      <c r="Y722" s="8"/>
      <c r="Z722" s="8"/>
      <c r="AA722" s="8"/>
      <c r="AB722" s="11">
        <v>61</v>
      </c>
      <c r="AC722" s="8"/>
      <c r="AD722" s="8"/>
      <c r="AF722" s="8"/>
      <c r="AG722" s="8"/>
      <c r="AH722" s="8"/>
      <c r="AL722" s="4"/>
      <c r="AM722" s="8"/>
    </row>
    <row r="723" spans="1:39" x14ac:dyDescent="0.2">
      <c r="A723" t="s">
        <v>939</v>
      </c>
      <c r="G723">
        <v>30</v>
      </c>
      <c r="I723">
        <v>17</v>
      </c>
      <c r="J723">
        <v>17</v>
      </c>
      <c r="K723">
        <v>33</v>
      </c>
      <c r="L723">
        <v>20</v>
      </c>
      <c r="M723">
        <v>16</v>
      </c>
      <c r="O723">
        <v>16</v>
      </c>
      <c r="T723">
        <v>16</v>
      </c>
      <c r="V723" s="8">
        <v>0.03</v>
      </c>
      <c r="W723" s="8"/>
      <c r="X723" s="8"/>
      <c r="Y723" s="8"/>
      <c r="Z723" s="8"/>
      <c r="AB723" s="11">
        <v>61</v>
      </c>
      <c r="AC723" s="8"/>
      <c r="AD723" s="8"/>
      <c r="AF723" s="8"/>
      <c r="AG723" s="8"/>
      <c r="AH723" s="8"/>
      <c r="AL723" s="8"/>
      <c r="AM723" s="8"/>
    </row>
    <row r="724" spans="1:39" x14ac:dyDescent="0.2">
      <c r="A724" t="s">
        <v>940</v>
      </c>
      <c r="G724">
        <v>30</v>
      </c>
      <c r="I724">
        <v>17</v>
      </c>
      <c r="J724">
        <v>17</v>
      </c>
      <c r="K724">
        <v>33</v>
      </c>
      <c r="L724">
        <v>20</v>
      </c>
      <c r="M724">
        <v>16</v>
      </c>
      <c r="O724">
        <v>16</v>
      </c>
      <c r="T724">
        <v>16</v>
      </c>
      <c r="V724" s="8">
        <v>0.01</v>
      </c>
      <c r="W724" s="8"/>
      <c r="X724" s="8"/>
      <c r="Y724" s="8"/>
      <c r="Z724" s="8"/>
      <c r="AB724" s="11">
        <v>61</v>
      </c>
      <c r="AC724" s="8"/>
      <c r="AD724" s="8"/>
      <c r="AF724" s="8"/>
      <c r="AG724" s="8"/>
      <c r="AH724" s="8"/>
      <c r="AL724" s="8"/>
      <c r="AM724" s="8"/>
    </row>
    <row r="725" spans="1:39" x14ac:dyDescent="0.2">
      <c r="A725" t="s">
        <v>941</v>
      </c>
      <c r="G725">
        <v>40</v>
      </c>
      <c r="I725">
        <v>17</v>
      </c>
      <c r="J725">
        <v>17</v>
      </c>
      <c r="K725">
        <v>39</v>
      </c>
      <c r="L725">
        <v>16</v>
      </c>
      <c r="M725">
        <v>16</v>
      </c>
      <c r="N725">
        <v>25</v>
      </c>
      <c r="O725">
        <v>25</v>
      </c>
      <c r="V725" s="8"/>
      <c r="W725" s="8"/>
      <c r="X725" s="8"/>
      <c r="Y725" s="8"/>
      <c r="Z725" s="8"/>
      <c r="AB725" s="11">
        <v>61</v>
      </c>
      <c r="AC725" s="8"/>
      <c r="AD725" s="8"/>
      <c r="AF725" s="8"/>
      <c r="AG725" s="8"/>
      <c r="AH725" s="8"/>
      <c r="AL725" s="8"/>
      <c r="AM725" s="8"/>
    </row>
    <row r="726" spans="1:39" x14ac:dyDescent="0.2">
      <c r="A726" t="s">
        <v>942</v>
      </c>
      <c r="G726">
        <v>30</v>
      </c>
      <c r="H726">
        <v>10</v>
      </c>
      <c r="I726">
        <v>17</v>
      </c>
      <c r="J726">
        <v>17</v>
      </c>
      <c r="K726">
        <v>29</v>
      </c>
      <c r="L726">
        <v>31</v>
      </c>
      <c r="M726">
        <v>16</v>
      </c>
      <c r="N726">
        <v>35</v>
      </c>
      <c r="O726">
        <v>25</v>
      </c>
      <c r="V726" s="8"/>
      <c r="W726" s="8"/>
      <c r="X726" s="8"/>
      <c r="Y726" s="8"/>
      <c r="Z726" s="8"/>
      <c r="AB726" s="11">
        <v>61</v>
      </c>
      <c r="AC726" s="8"/>
      <c r="AD726" s="8"/>
      <c r="AF726" s="8"/>
      <c r="AG726" s="8"/>
      <c r="AH726" s="8"/>
      <c r="AL726" s="8"/>
      <c r="AM726" s="8"/>
    </row>
    <row r="727" spans="1:39" x14ac:dyDescent="0.2">
      <c r="A727" t="s">
        <v>943</v>
      </c>
      <c r="G727">
        <v>30</v>
      </c>
      <c r="I727">
        <v>17</v>
      </c>
      <c r="J727">
        <v>17</v>
      </c>
      <c r="K727">
        <v>39</v>
      </c>
      <c r="L727">
        <v>26</v>
      </c>
      <c r="M727">
        <v>16</v>
      </c>
      <c r="N727">
        <v>25</v>
      </c>
      <c r="O727">
        <v>25</v>
      </c>
      <c r="V727" s="8"/>
      <c r="W727" s="8"/>
      <c r="X727" s="8"/>
      <c r="Y727" s="8"/>
      <c r="Z727" s="8"/>
      <c r="AB727" s="11">
        <v>61</v>
      </c>
      <c r="AC727" s="8"/>
      <c r="AD727" s="8"/>
      <c r="AF727" s="8"/>
      <c r="AG727" s="8"/>
      <c r="AH727" s="8"/>
      <c r="AL727" s="8"/>
      <c r="AM727" s="8"/>
    </row>
    <row r="728" spans="1:39" x14ac:dyDescent="0.2">
      <c r="A728" t="s">
        <v>944</v>
      </c>
      <c r="G728">
        <v>30</v>
      </c>
      <c r="I728">
        <v>17</v>
      </c>
      <c r="J728">
        <v>17</v>
      </c>
      <c r="K728">
        <v>29</v>
      </c>
      <c r="L728">
        <v>16</v>
      </c>
      <c r="M728">
        <v>16</v>
      </c>
      <c r="N728">
        <v>40</v>
      </c>
      <c r="O728">
        <v>35</v>
      </c>
      <c r="V728" s="8"/>
      <c r="W728" s="8"/>
      <c r="X728" s="8"/>
      <c r="Y728" s="8"/>
      <c r="Z728" s="8"/>
      <c r="AA728" s="8">
        <v>0.05</v>
      </c>
      <c r="AB728" s="11">
        <v>61</v>
      </c>
      <c r="AC728" s="8"/>
      <c r="AD728" s="8"/>
      <c r="AF728" s="8"/>
      <c r="AG728" s="8"/>
      <c r="AH728" s="8"/>
      <c r="AL728" s="8"/>
      <c r="AM728" s="8"/>
    </row>
    <row r="729" spans="1:39" x14ac:dyDescent="0.2">
      <c r="A729" t="s">
        <v>945</v>
      </c>
      <c r="G729">
        <v>42</v>
      </c>
      <c r="I729">
        <v>17</v>
      </c>
      <c r="J729">
        <v>17</v>
      </c>
      <c r="K729">
        <v>41</v>
      </c>
      <c r="L729">
        <v>16</v>
      </c>
      <c r="M729">
        <v>16</v>
      </c>
      <c r="N729">
        <v>35</v>
      </c>
      <c r="O729">
        <v>35</v>
      </c>
      <c r="V729" s="8"/>
      <c r="W729" s="8"/>
      <c r="X729" s="8"/>
      <c r="Y729" s="8"/>
      <c r="Z729" s="8"/>
      <c r="AB729" s="11">
        <v>61</v>
      </c>
      <c r="AC729" s="8"/>
      <c r="AD729" s="8"/>
      <c r="AF729" s="8"/>
      <c r="AG729" s="8"/>
      <c r="AH729" s="8"/>
      <c r="AL729" s="8"/>
      <c r="AM729" s="8"/>
    </row>
    <row r="730" spans="1:39" x14ac:dyDescent="0.2">
      <c r="A730" t="s">
        <v>946</v>
      </c>
      <c r="G730">
        <v>30</v>
      </c>
      <c r="H730">
        <v>12</v>
      </c>
      <c r="I730">
        <v>17</v>
      </c>
      <c r="J730">
        <v>17</v>
      </c>
      <c r="K730">
        <v>29</v>
      </c>
      <c r="L730">
        <v>36</v>
      </c>
      <c r="M730">
        <v>16</v>
      </c>
      <c r="N730">
        <v>47</v>
      </c>
      <c r="O730">
        <v>35</v>
      </c>
      <c r="V730" s="8"/>
      <c r="W730" s="8"/>
      <c r="X730" s="8"/>
      <c r="Y730" s="8"/>
      <c r="Z730" s="8"/>
      <c r="AB730" s="11">
        <v>61</v>
      </c>
      <c r="AC730" s="8"/>
      <c r="AD730" s="8"/>
      <c r="AF730" s="8"/>
      <c r="AG730" s="8"/>
      <c r="AH730" s="8"/>
      <c r="AL730" s="8"/>
      <c r="AM730" s="8"/>
    </row>
    <row r="731" spans="1:39" x14ac:dyDescent="0.2">
      <c r="A731" t="s">
        <v>947</v>
      </c>
      <c r="G731">
        <v>30</v>
      </c>
      <c r="I731">
        <v>17</v>
      </c>
      <c r="J731">
        <v>17</v>
      </c>
      <c r="K731">
        <v>41</v>
      </c>
      <c r="L731">
        <v>28</v>
      </c>
      <c r="M731">
        <v>16</v>
      </c>
      <c r="N731">
        <v>35</v>
      </c>
      <c r="O731">
        <v>35</v>
      </c>
      <c r="V731" s="8"/>
      <c r="W731" s="8"/>
      <c r="X731" s="8"/>
      <c r="Y731" s="8"/>
      <c r="Z731" s="8"/>
      <c r="AB731" s="11">
        <v>61</v>
      </c>
      <c r="AC731" s="8"/>
      <c r="AD731" s="8"/>
      <c r="AF731" s="8"/>
      <c r="AG731" s="8"/>
      <c r="AH731" s="8"/>
      <c r="AL731" s="8"/>
      <c r="AM731" s="8"/>
    </row>
    <row r="732" spans="1:39" x14ac:dyDescent="0.2">
      <c r="A732" t="s">
        <v>948</v>
      </c>
      <c r="G732">
        <v>30</v>
      </c>
      <c r="I732">
        <v>17</v>
      </c>
      <c r="J732">
        <v>17</v>
      </c>
      <c r="K732">
        <v>29</v>
      </c>
      <c r="L732">
        <v>16</v>
      </c>
      <c r="M732">
        <v>16</v>
      </c>
      <c r="N732">
        <v>55</v>
      </c>
      <c r="O732">
        <v>47</v>
      </c>
      <c r="V732" s="8"/>
      <c r="W732" s="8"/>
      <c r="X732" s="8"/>
      <c r="Y732" s="8"/>
      <c r="Z732" s="8"/>
      <c r="AA732" s="8">
        <v>0.06</v>
      </c>
      <c r="AB732" s="11">
        <v>61</v>
      </c>
      <c r="AC732" s="8"/>
      <c r="AD732" s="8"/>
      <c r="AF732" s="8"/>
      <c r="AG732" s="8"/>
      <c r="AH732" s="8"/>
      <c r="AL732" s="8"/>
      <c r="AM732" s="8"/>
    </row>
    <row r="733" spans="1:39" x14ac:dyDescent="0.2">
      <c r="A733" t="s">
        <v>932</v>
      </c>
      <c r="G733">
        <v>33</v>
      </c>
      <c r="I733">
        <v>19</v>
      </c>
      <c r="J733">
        <v>14</v>
      </c>
      <c r="K733">
        <v>23</v>
      </c>
      <c r="L733">
        <v>10</v>
      </c>
      <c r="M733">
        <v>8</v>
      </c>
      <c r="O733">
        <v>10</v>
      </c>
      <c r="V733" s="8">
        <v>0.02</v>
      </c>
      <c r="W733" s="8"/>
      <c r="X733" s="8"/>
      <c r="Y733" s="8"/>
      <c r="Z733" s="8"/>
      <c r="AB733" s="11">
        <v>51</v>
      </c>
      <c r="AC733" s="8"/>
      <c r="AD733" s="8"/>
      <c r="AF733" s="8"/>
      <c r="AG733" s="8"/>
      <c r="AH733" s="8"/>
      <c r="AL733" s="8"/>
      <c r="AM733" s="8"/>
    </row>
    <row r="734" spans="1:39" x14ac:dyDescent="0.2">
      <c r="A734" t="s">
        <v>908</v>
      </c>
      <c r="G734">
        <v>29</v>
      </c>
      <c r="I734">
        <v>16</v>
      </c>
      <c r="J734">
        <v>20</v>
      </c>
      <c r="K734">
        <v>30</v>
      </c>
      <c r="L734">
        <v>17</v>
      </c>
      <c r="M734">
        <v>11</v>
      </c>
      <c r="V734" s="8"/>
      <c r="W734" s="8"/>
      <c r="X734" s="8"/>
      <c r="Y734" s="8"/>
      <c r="Z734" s="8"/>
      <c r="AB734" s="11">
        <v>61</v>
      </c>
      <c r="AC734" s="8"/>
      <c r="AD734" s="8"/>
      <c r="AF734" s="8"/>
      <c r="AG734" s="8"/>
      <c r="AH734" s="8"/>
      <c r="AL734" s="8"/>
      <c r="AM734" s="8"/>
    </row>
    <row r="735" spans="1:39" x14ac:dyDescent="0.2">
      <c r="A735" t="s">
        <v>966</v>
      </c>
      <c r="G735">
        <v>34</v>
      </c>
      <c r="I735">
        <v>31</v>
      </c>
      <c r="J735">
        <v>17</v>
      </c>
      <c r="K735">
        <v>29</v>
      </c>
      <c r="L735">
        <v>16</v>
      </c>
      <c r="M735">
        <v>16</v>
      </c>
      <c r="O735">
        <v>23</v>
      </c>
      <c r="R735">
        <v>23</v>
      </c>
      <c r="V735" s="8"/>
      <c r="W735" s="8"/>
      <c r="X735" s="8"/>
      <c r="Y735" s="8"/>
      <c r="Z735" s="8"/>
      <c r="AB735" s="11">
        <v>61</v>
      </c>
      <c r="AC735" s="8"/>
      <c r="AD735" s="8"/>
      <c r="AF735" s="8"/>
      <c r="AG735" s="8"/>
      <c r="AH735" s="8"/>
      <c r="AL735" s="8"/>
      <c r="AM735" s="8"/>
    </row>
    <row r="736" spans="1:39" x14ac:dyDescent="0.2">
      <c r="A736" t="s">
        <v>967</v>
      </c>
      <c r="G736">
        <v>46</v>
      </c>
      <c r="I736">
        <v>28</v>
      </c>
      <c r="J736">
        <v>17</v>
      </c>
      <c r="K736">
        <v>29</v>
      </c>
      <c r="L736">
        <v>16</v>
      </c>
      <c r="M736">
        <v>16</v>
      </c>
      <c r="O736">
        <v>23</v>
      </c>
      <c r="R736">
        <v>23</v>
      </c>
      <c r="V736" s="8"/>
      <c r="W736" s="8"/>
      <c r="X736" s="8"/>
      <c r="Y736" s="8"/>
      <c r="Z736" s="8"/>
      <c r="AB736" s="11">
        <v>81</v>
      </c>
      <c r="AC736" s="8"/>
      <c r="AD736" s="8"/>
      <c r="AF736" s="8"/>
      <c r="AG736" s="8"/>
      <c r="AH736" s="8"/>
      <c r="AL736" s="8"/>
      <c r="AM736" s="8"/>
    </row>
    <row r="737" spans="1:39" x14ac:dyDescent="0.2">
      <c r="A737" t="s">
        <v>968</v>
      </c>
      <c r="G737">
        <v>34</v>
      </c>
      <c r="I737">
        <v>21</v>
      </c>
      <c r="J737">
        <v>17</v>
      </c>
      <c r="K737">
        <v>29</v>
      </c>
      <c r="L737">
        <v>16</v>
      </c>
      <c r="M737">
        <v>16</v>
      </c>
      <c r="N737">
        <v>10</v>
      </c>
      <c r="O737">
        <v>23</v>
      </c>
      <c r="R737">
        <v>23</v>
      </c>
      <c r="V737" s="8"/>
      <c r="W737" s="8"/>
      <c r="X737" s="8"/>
      <c r="Y737" s="8"/>
      <c r="Z737" s="8"/>
      <c r="AB737" s="11">
        <v>61</v>
      </c>
      <c r="AC737" s="8"/>
      <c r="AD737" s="8"/>
      <c r="AF737" s="8"/>
      <c r="AG737" s="8"/>
      <c r="AH737" s="8"/>
      <c r="AL737" s="8"/>
      <c r="AM737" s="8"/>
    </row>
    <row r="738" spans="1:39" x14ac:dyDescent="0.2">
      <c r="A738" t="s">
        <v>969</v>
      </c>
      <c r="G738">
        <v>34</v>
      </c>
      <c r="I738">
        <v>21</v>
      </c>
      <c r="J738">
        <v>27</v>
      </c>
      <c r="K738">
        <v>29</v>
      </c>
      <c r="L738">
        <v>16</v>
      </c>
      <c r="M738">
        <v>16</v>
      </c>
      <c r="O738">
        <v>23</v>
      </c>
      <c r="R738">
        <v>23</v>
      </c>
      <c r="V738" s="8"/>
      <c r="W738" s="8"/>
      <c r="X738" s="8"/>
      <c r="Y738" s="8"/>
      <c r="Z738" s="8"/>
      <c r="AB738" s="11">
        <v>61</v>
      </c>
      <c r="AC738" s="8"/>
      <c r="AD738" s="8"/>
      <c r="AF738" s="8"/>
      <c r="AG738" s="8"/>
      <c r="AH738" s="8"/>
      <c r="AL738" s="8"/>
      <c r="AM738" s="8"/>
    </row>
    <row r="739" spans="1:39" x14ac:dyDescent="0.2">
      <c r="A739" t="s">
        <v>950</v>
      </c>
      <c r="G739">
        <v>43</v>
      </c>
      <c r="I739">
        <v>16</v>
      </c>
      <c r="J739">
        <v>21</v>
      </c>
      <c r="K739">
        <v>33</v>
      </c>
      <c r="L739">
        <v>17</v>
      </c>
      <c r="M739">
        <v>12</v>
      </c>
      <c r="O739">
        <v>45</v>
      </c>
      <c r="V739" s="8"/>
      <c r="W739" s="8"/>
      <c r="X739" s="8"/>
      <c r="Y739" s="8"/>
      <c r="Z739" s="8"/>
      <c r="AB739" s="11">
        <v>51</v>
      </c>
      <c r="AC739" s="8"/>
      <c r="AD739" s="8"/>
      <c r="AF739" s="8"/>
      <c r="AG739" s="8"/>
      <c r="AH739" s="8"/>
      <c r="AL739" s="8"/>
      <c r="AM739" s="8"/>
    </row>
    <row r="740" spans="1:39" x14ac:dyDescent="0.2">
      <c r="A740" t="s">
        <v>951</v>
      </c>
      <c r="G740">
        <v>33</v>
      </c>
      <c r="H740">
        <v>10</v>
      </c>
      <c r="I740">
        <v>16</v>
      </c>
      <c r="J740">
        <v>21</v>
      </c>
      <c r="K740">
        <v>33</v>
      </c>
      <c r="L740">
        <v>17</v>
      </c>
      <c r="M740">
        <v>12</v>
      </c>
      <c r="N740">
        <v>15</v>
      </c>
      <c r="O740">
        <v>30</v>
      </c>
      <c r="V740" s="8"/>
      <c r="W740" s="8"/>
      <c r="X740" s="8"/>
      <c r="Y740" s="8"/>
      <c r="Z740" s="8"/>
      <c r="AB740" s="11">
        <v>51</v>
      </c>
      <c r="AC740" s="8"/>
      <c r="AD740" s="8"/>
      <c r="AF740" s="8"/>
      <c r="AG740" s="8"/>
      <c r="AH740" s="8"/>
      <c r="AL740" s="8"/>
      <c r="AM740" s="8"/>
    </row>
    <row r="741" spans="1:39" x14ac:dyDescent="0.2">
      <c r="A741" t="s">
        <v>952</v>
      </c>
      <c r="G741">
        <v>33</v>
      </c>
      <c r="I741">
        <v>16</v>
      </c>
      <c r="J741">
        <v>21</v>
      </c>
      <c r="K741">
        <v>33</v>
      </c>
      <c r="L741">
        <v>17</v>
      </c>
      <c r="M741">
        <v>12</v>
      </c>
      <c r="O741">
        <v>30</v>
      </c>
      <c r="V741" s="8"/>
      <c r="W741" s="8"/>
      <c r="X741" s="8"/>
      <c r="Y741" s="8"/>
      <c r="Z741" s="8"/>
      <c r="AB741" s="11">
        <v>51</v>
      </c>
      <c r="AC741" s="8"/>
      <c r="AD741" s="8"/>
      <c r="AF741" s="8"/>
      <c r="AG741" s="8"/>
      <c r="AH741" s="8"/>
      <c r="AL741" s="8"/>
      <c r="AM741" s="8"/>
    </row>
    <row r="742" spans="1:39" x14ac:dyDescent="0.2">
      <c r="A742" t="s">
        <v>953</v>
      </c>
      <c r="G742">
        <v>43</v>
      </c>
      <c r="I742">
        <v>16</v>
      </c>
      <c r="J742">
        <v>21</v>
      </c>
      <c r="K742">
        <v>33</v>
      </c>
      <c r="L742">
        <v>17</v>
      </c>
      <c r="M742">
        <v>12</v>
      </c>
      <c r="N742">
        <v>20</v>
      </c>
      <c r="O742">
        <v>50</v>
      </c>
      <c r="V742" s="8"/>
      <c r="W742" s="8"/>
      <c r="X742" s="8"/>
      <c r="Y742" s="8"/>
      <c r="Z742" s="8"/>
      <c r="AB742" s="11">
        <v>51</v>
      </c>
      <c r="AC742" s="8"/>
      <c r="AD742" s="8"/>
      <c r="AF742" s="8"/>
      <c r="AG742" s="8"/>
      <c r="AH742" s="8"/>
      <c r="AL742" s="8"/>
      <c r="AM742" s="8"/>
    </row>
    <row r="743" spans="1:39" x14ac:dyDescent="0.2">
      <c r="A743" t="s">
        <v>954</v>
      </c>
      <c r="G743">
        <v>45</v>
      </c>
      <c r="I743">
        <v>16</v>
      </c>
      <c r="J743">
        <v>21</v>
      </c>
      <c r="K743">
        <v>33</v>
      </c>
      <c r="L743">
        <v>17</v>
      </c>
      <c r="M743">
        <v>12</v>
      </c>
      <c r="O743">
        <v>60</v>
      </c>
      <c r="V743" s="8"/>
      <c r="W743" s="8"/>
      <c r="X743" s="8"/>
      <c r="Y743" s="8"/>
      <c r="Z743" s="8"/>
      <c r="AB743" s="11">
        <v>51</v>
      </c>
      <c r="AC743" s="8"/>
      <c r="AD743" s="8"/>
      <c r="AF743" s="8"/>
      <c r="AG743" s="8"/>
      <c r="AH743" s="8"/>
      <c r="AL743" s="8"/>
      <c r="AM743" s="8"/>
    </row>
    <row r="744" spans="1:39" x14ac:dyDescent="0.2">
      <c r="A744" t="s">
        <v>955</v>
      </c>
      <c r="G744">
        <v>33</v>
      </c>
      <c r="H744">
        <v>12</v>
      </c>
      <c r="I744">
        <v>16</v>
      </c>
      <c r="J744">
        <v>21</v>
      </c>
      <c r="K744">
        <v>33</v>
      </c>
      <c r="L744">
        <v>17</v>
      </c>
      <c r="M744">
        <v>12</v>
      </c>
      <c r="N744">
        <v>20</v>
      </c>
      <c r="O744">
        <v>40</v>
      </c>
      <c r="V744" s="8"/>
      <c r="W744" s="8"/>
      <c r="X744" s="8"/>
      <c r="Y744" s="8"/>
      <c r="Z744" s="8"/>
      <c r="AB744" s="11">
        <v>51</v>
      </c>
      <c r="AC744" s="8"/>
      <c r="AD744" s="8"/>
      <c r="AF744" s="8"/>
      <c r="AG744" s="8"/>
      <c r="AH744" s="8"/>
      <c r="AL744" s="8"/>
      <c r="AM744" s="8"/>
    </row>
    <row r="745" spans="1:39" x14ac:dyDescent="0.2">
      <c r="A745" t="s">
        <v>956</v>
      </c>
      <c r="G745">
        <v>33</v>
      </c>
      <c r="I745">
        <v>16</v>
      </c>
      <c r="J745">
        <v>21</v>
      </c>
      <c r="K745">
        <v>33</v>
      </c>
      <c r="L745">
        <v>17</v>
      </c>
      <c r="M745">
        <v>12</v>
      </c>
      <c r="O745">
        <v>40</v>
      </c>
      <c r="V745" s="8"/>
      <c r="W745" s="8"/>
      <c r="X745" s="8"/>
      <c r="Y745" s="8"/>
      <c r="Z745" s="8"/>
      <c r="AB745" s="11">
        <v>51</v>
      </c>
      <c r="AC745" s="8"/>
      <c r="AD745" s="8"/>
      <c r="AF745" s="8"/>
      <c r="AG745" s="8"/>
      <c r="AH745" s="8"/>
      <c r="AL745" s="8"/>
      <c r="AM745" s="8"/>
    </row>
    <row r="746" spans="1:39" x14ac:dyDescent="0.2">
      <c r="A746" t="s">
        <v>957</v>
      </c>
      <c r="G746">
        <v>45</v>
      </c>
      <c r="I746">
        <v>16</v>
      </c>
      <c r="J746">
        <v>21</v>
      </c>
      <c r="K746">
        <v>33</v>
      </c>
      <c r="L746">
        <v>17</v>
      </c>
      <c r="M746">
        <v>12</v>
      </c>
      <c r="N746">
        <v>25</v>
      </c>
      <c r="O746">
        <v>65</v>
      </c>
      <c r="V746" s="8"/>
      <c r="W746" s="8"/>
      <c r="X746" s="8"/>
      <c r="Y746" s="8"/>
      <c r="Z746" s="8"/>
      <c r="AB746" s="11">
        <v>51</v>
      </c>
      <c r="AC746" s="8"/>
      <c r="AD746" s="8"/>
      <c r="AF746" s="8"/>
      <c r="AG746" s="8"/>
      <c r="AH746" s="8"/>
      <c r="AL746" s="8"/>
      <c r="AM746" s="8"/>
    </row>
    <row r="747" spans="1:39" x14ac:dyDescent="0.2">
      <c r="A747" t="s">
        <v>909</v>
      </c>
      <c r="G747">
        <v>27</v>
      </c>
      <c r="I747">
        <v>14</v>
      </c>
      <c r="J747">
        <v>21</v>
      </c>
      <c r="K747">
        <v>28</v>
      </c>
      <c r="L747">
        <v>16</v>
      </c>
      <c r="M747">
        <v>10</v>
      </c>
      <c r="N747">
        <v>5</v>
      </c>
      <c r="V747" s="8"/>
      <c r="W747" s="8"/>
      <c r="X747" s="8"/>
      <c r="Y747" s="8"/>
      <c r="Z747" s="8"/>
      <c r="AB747" s="11">
        <v>51</v>
      </c>
      <c r="AC747" s="8"/>
      <c r="AD747" s="8"/>
      <c r="AF747" s="8"/>
      <c r="AG747" s="8"/>
      <c r="AH747" s="8"/>
      <c r="AL747" s="8"/>
      <c r="AM747" s="8"/>
    </row>
    <row r="748" spans="1:39" x14ac:dyDescent="0.2">
      <c r="A748" t="s">
        <v>1385</v>
      </c>
      <c r="G748">
        <v>42</v>
      </c>
      <c r="I748">
        <v>29</v>
      </c>
      <c r="J748">
        <v>16</v>
      </c>
      <c r="K748">
        <v>24</v>
      </c>
      <c r="L748">
        <v>14</v>
      </c>
      <c r="M748">
        <v>11</v>
      </c>
      <c r="N748">
        <v>27</v>
      </c>
      <c r="S748">
        <v>27</v>
      </c>
      <c r="V748" s="8"/>
      <c r="W748" s="8"/>
      <c r="X748" s="8"/>
      <c r="Y748" s="8"/>
      <c r="Z748" s="8"/>
      <c r="AB748" s="11">
        <v>40</v>
      </c>
      <c r="AC748" s="8"/>
      <c r="AD748" s="8"/>
      <c r="AE748" s="4">
        <v>5</v>
      </c>
      <c r="AF748" s="8"/>
      <c r="AG748" s="8"/>
      <c r="AH748" s="8"/>
      <c r="AL748" s="8"/>
      <c r="AM748" s="8"/>
    </row>
    <row r="749" spans="1:39" x14ac:dyDescent="0.2">
      <c r="A749" t="s">
        <v>1386</v>
      </c>
      <c r="G749">
        <v>49</v>
      </c>
      <c r="H749">
        <v>7</v>
      </c>
      <c r="I749">
        <v>29</v>
      </c>
      <c r="J749">
        <v>16</v>
      </c>
      <c r="K749">
        <v>24</v>
      </c>
      <c r="L749">
        <v>14</v>
      </c>
      <c r="M749">
        <v>11</v>
      </c>
      <c r="N749">
        <v>39</v>
      </c>
      <c r="S749">
        <v>39</v>
      </c>
      <c r="V749" s="8"/>
      <c r="W749" s="8"/>
      <c r="X749" s="8"/>
      <c r="Y749" s="8"/>
      <c r="Z749" s="8"/>
      <c r="AB749" s="11">
        <v>40</v>
      </c>
      <c r="AC749" s="8"/>
      <c r="AD749" s="8"/>
      <c r="AE749" s="4">
        <v>7</v>
      </c>
      <c r="AF749" s="8"/>
      <c r="AG749" s="8"/>
      <c r="AH749" s="8"/>
      <c r="AL749" s="8"/>
      <c r="AM749" s="8"/>
    </row>
    <row r="750" spans="1:39" x14ac:dyDescent="0.2">
      <c r="A750" s="3" t="s">
        <v>934</v>
      </c>
      <c r="G750">
        <v>40</v>
      </c>
      <c r="I750">
        <v>28</v>
      </c>
      <c r="J750">
        <v>17</v>
      </c>
      <c r="K750">
        <v>25</v>
      </c>
      <c r="L750">
        <v>15</v>
      </c>
      <c r="M750">
        <v>12</v>
      </c>
      <c r="O750">
        <v>20</v>
      </c>
      <c r="S750">
        <v>20</v>
      </c>
      <c r="V750" s="8">
        <v>0.02</v>
      </c>
      <c r="W750" s="8"/>
      <c r="X750" s="8"/>
      <c r="Y750" s="8"/>
      <c r="Z750" s="8"/>
      <c r="AB750" s="11">
        <v>51</v>
      </c>
      <c r="AC750" s="8"/>
      <c r="AD750" s="8"/>
      <c r="AF750" s="8"/>
      <c r="AG750" s="8"/>
      <c r="AH750" s="8"/>
      <c r="AL750" s="4"/>
      <c r="AM750" s="8"/>
    </row>
    <row r="751" spans="1:39" x14ac:dyDescent="0.2">
      <c r="A751" s="3" t="s">
        <v>949</v>
      </c>
      <c r="G751">
        <v>40</v>
      </c>
      <c r="I751">
        <v>28</v>
      </c>
      <c r="J751">
        <v>17</v>
      </c>
      <c r="K751">
        <v>25</v>
      </c>
      <c r="L751">
        <v>25</v>
      </c>
      <c r="M751">
        <v>12</v>
      </c>
      <c r="O751">
        <v>35</v>
      </c>
      <c r="S751">
        <v>35</v>
      </c>
      <c r="V751" s="8">
        <v>0.02</v>
      </c>
      <c r="W751" s="8"/>
      <c r="X751" s="8"/>
      <c r="Y751" s="8"/>
      <c r="Z751" s="8"/>
      <c r="AB751" s="11">
        <v>51</v>
      </c>
      <c r="AC751" s="8"/>
      <c r="AD751" s="8"/>
      <c r="AF751" s="8"/>
      <c r="AG751" s="8"/>
      <c r="AH751" s="8"/>
      <c r="AL751" s="4"/>
      <c r="AM751" s="8"/>
    </row>
    <row r="752" spans="1:39" x14ac:dyDescent="0.2">
      <c r="A752" t="s">
        <v>910</v>
      </c>
      <c r="G752">
        <v>33</v>
      </c>
      <c r="I752">
        <v>24</v>
      </c>
      <c r="J752">
        <v>15</v>
      </c>
      <c r="K752">
        <v>26</v>
      </c>
      <c r="L752">
        <v>16</v>
      </c>
      <c r="M752">
        <v>12</v>
      </c>
      <c r="O752">
        <v>10</v>
      </c>
      <c r="V752" s="8">
        <v>0.01</v>
      </c>
      <c r="W752" s="8"/>
      <c r="X752" s="8"/>
      <c r="Y752" s="8"/>
      <c r="Z752" s="8"/>
      <c r="AB752" s="11">
        <v>51</v>
      </c>
      <c r="AC752" s="8"/>
      <c r="AD752" s="8"/>
      <c r="AF752" s="8"/>
      <c r="AG752" s="8"/>
      <c r="AH752" s="8"/>
      <c r="AL752" s="8"/>
      <c r="AM752" s="8"/>
    </row>
    <row r="753" spans="1:39" x14ac:dyDescent="0.2">
      <c r="A753" t="s">
        <v>924</v>
      </c>
      <c r="G753">
        <v>33</v>
      </c>
      <c r="I753">
        <v>25</v>
      </c>
      <c r="J753">
        <v>15</v>
      </c>
      <c r="K753">
        <v>26</v>
      </c>
      <c r="L753">
        <v>16</v>
      </c>
      <c r="M753">
        <v>12</v>
      </c>
      <c r="O753">
        <v>11</v>
      </c>
      <c r="V753" s="8">
        <v>0.02</v>
      </c>
      <c r="W753" s="8"/>
      <c r="X753" s="8"/>
      <c r="Y753" s="8"/>
      <c r="Z753" s="8"/>
      <c r="AB753" s="11">
        <v>51</v>
      </c>
      <c r="AC753" s="8"/>
      <c r="AD753" s="8"/>
      <c r="AF753" s="8"/>
      <c r="AG753" s="8"/>
      <c r="AH753" s="8"/>
      <c r="AL753" s="8"/>
      <c r="AM753" s="8"/>
    </row>
    <row r="754" spans="1:39" x14ac:dyDescent="0.2">
      <c r="A754" t="s">
        <v>911</v>
      </c>
      <c r="G754">
        <v>33</v>
      </c>
      <c r="I754">
        <v>20</v>
      </c>
      <c r="J754">
        <v>15</v>
      </c>
      <c r="K754">
        <v>24</v>
      </c>
      <c r="L754">
        <v>12</v>
      </c>
      <c r="M754">
        <v>9</v>
      </c>
      <c r="V754" s="8"/>
      <c r="W754" s="8"/>
      <c r="X754" s="8"/>
      <c r="Y754" s="8"/>
      <c r="Z754" s="8"/>
      <c r="AB754" s="11">
        <v>51</v>
      </c>
      <c r="AC754" s="8"/>
      <c r="AD754" s="8"/>
      <c r="AF754" s="8"/>
      <c r="AG754" s="8"/>
      <c r="AH754" s="8"/>
      <c r="AL754" s="8"/>
      <c r="AM754" s="8"/>
    </row>
    <row r="755" spans="1:39" x14ac:dyDescent="0.2">
      <c r="A755" t="s">
        <v>912</v>
      </c>
      <c r="G755">
        <v>29</v>
      </c>
      <c r="I755">
        <v>16</v>
      </c>
      <c r="J755">
        <v>20</v>
      </c>
      <c r="K755">
        <v>30</v>
      </c>
      <c r="L755">
        <v>17</v>
      </c>
      <c r="M755">
        <v>11</v>
      </c>
      <c r="O755">
        <v>26</v>
      </c>
      <c r="T755">
        <v>17</v>
      </c>
      <c r="V755" s="8">
        <v>0.02</v>
      </c>
      <c r="W755" s="8"/>
      <c r="X755" s="8"/>
      <c r="Y755" s="8"/>
      <c r="Z755" s="8"/>
      <c r="AB755" s="11">
        <v>61</v>
      </c>
      <c r="AC755" s="8"/>
      <c r="AD755" s="8"/>
      <c r="AF755" s="8"/>
      <c r="AG755" s="8"/>
      <c r="AH755" s="8"/>
      <c r="AL755" s="8"/>
      <c r="AM755" s="8"/>
    </row>
    <row r="756" spans="1:39" x14ac:dyDescent="0.2">
      <c r="A756" t="s">
        <v>962</v>
      </c>
      <c r="G756">
        <v>5</v>
      </c>
      <c r="H756">
        <v>32</v>
      </c>
      <c r="O756">
        <v>50</v>
      </c>
      <c r="V756" s="8">
        <v>0.02</v>
      </c>
      <c r="W756" s="8"/>
      <c r="X756" s="8"/>
      <c r="Y756" s="8"/>
      <c r="Z756" s="8"/>
      <c r="AB756" s="11">
        <v>-132</v>
      </c>
      <c r="AC756" s="8"/>
      <c r="AD756" s="8"/>
      <c r="AF756" s="8"/>
      <c r="AG756" s="8"/>
      <c r="AH756" s="8"/>
      <c r="AL756" s="8"/>
      <c r="AM756" s="8"/>
    </row>
    <row r="757" spans="1:39" x14ac:dyDescent="0.2">
      <c r="A757" t="s">
        <v>963</v>
      </c>
      <c r="H757">
        <v>37</v>
      </c>
      <c r="N757">
        <v>15</v>
      </c>
      <c r="O757">
        <v>35</v>
      </c>
      <c r="V757" s="8"/>
      <c r="W757" s="8"/>
      <c r="X757" s="8"/>
      <c r="Y757" s="8"/>
      <c r="Z757" s="8"/>
      <c r="AB757" s="11">
        <v>-132</v>
      </c>
      <c r="AC757" s="8">
        <v>0.02</v>
      </c>
      <c r="AD757" s="8"/>
      <c r="AF757" s="8"/>
      <c r="AG757" s="8"/>
      <c r="AH757" s="8"/>
      <c r="AL757" s="8"/>
      <c r="AM757" s="8"/>
    </row>
    <row r="758" spans="1:39" x14ac:dyDescent="0.2">
      <c r="A758" t="s">
        <v>964</v>
      </c>
      <c r="H758">
        <v>32</v>
      </c>
      <c r="N758">
        <v>8</v>
      </c>
      <c r="O758">
        <v>43</v>
      </c>
      <c r="V758" s="8"/>
      <c r="W758" s="8"/>
      <c r="X758" s="8"/>
      <c r="Y758" s="8"/>
      <c r="Z758" s="8"/>
      <c r="AB758" s="11">
        <v>-132</v>
      </c>
      <c r="AC758" s="8"/>
      <c r="AD758" s="8"/>
      <c r="AE758" s="4">
        <v>4</v>
      </c>
      <c r="AF758" s="8"/>
      <c r="AG758" s="8"/>
      <c r="AH758" s="8"/>
      <c r="AL758" s="8"/>
      <c r="AM758" s="8"/>
    </row>
    <row r="759" spans="1:39" x14ac:dyDescent="0.2">
      <c r="A759" t="s">
        <v>965</v>
      </c>
      <c r="H759">
        <v>32</v>
      </c>
      <c r="O759">
        <v>60</v>
      </c>
      <c r="V759" s="8"/>
      <c r="W759" s="8"/>
      <c r="X759" s="8"/>
      <c r="Y759" s="8"/>
      <c r="Z759" s="8"/>
      <c r="AB759" s="11">
        <v>-132</v>
      </c>
      <c r="AC759" s="8"/>
      <c r="AD759" s="8"/>
      <c r="AF759" s="8"/>
      <c r="AG759" s="8"/>
      <c r="AH759" s="8"/>
      <c r="AL759" s="8"/>
      <c r="AM759" s="8"/>
    </row>
    <row r="760" spans="1:39" x14ac:dyDescent="0.2">
      <c r="A760" t="s">
        <v>958</v>
      </c>
      <c r="G760">
        <v>8</v>
      </c>
      <c r="H760">
        <v>35</v>
      </c>
      <c r="O760">
        <v>58</v>
      </c>
      <c r="V760" s="8">
        <v>0.03</v>
      </c>
      <c r="W760" s="8"/>
      <c r="X760" s="8"/>
      <c r="Y760" s="8"/>
      <c r="Z760" s="8"/>
      <c r="AB760" s="11">
        <v>-153</v>
      </c>
      <c r="AC760" s="8"/>
      <c r="AD760" s="8"/>
      <c r="AF760" s="8"/>
      <c r="AG760" s="8"/>
      <c r="AH760" s="8"/>
      <c r="AL760" s="8"/>
      <c r="AM760" s="8"/>
    </row>
    <row r="761" spans="1:39" x14ac:dyDescent="0.2">
      <c r="A761" t="s">
        <v>959</v>
      </c>
      <c r="H761">
        <v>43</v>
      </c>
      <c r="N761">
        <v>20</v>
      </c>
      <c r="O761">
        <v>38</v>
      </c>
      <c r="V761" s="8"/>
      <c r="W761" s="8"/>
      <c r="X761" s="8"/>
      <c r="Y761" s="8"/>
      <c r="Z761" s="8"/>
      <c r="AB761" s="11">
        <v>-153</v>
      </c>
      <c r="AC761" s="8">
        <v>0.03</v>
      </c>
      <c r="AD761" s="8"/>
      <c r="AF761" s="8"/>
      <c r="AG761" s="8"/>
      <c r="AH761" s="8"/>
      <c r="AL761" s="8"/>
      <c r="AM761" s="8"/>
    </row>
    <row r="762" spans="1:39" x14ac:dyDescent="0.2">
      <c r="A762" t="s">
        <v>960</v>
      </c>
      <c r="H762">
        <v>35</v>
      </c>
      <c r="N762">
        <v>10</v>
      </c>
      <c r="O762">
        <v>48</v>
      </c>
      <c r="V762" s="8"/>
      <c r="W762" s="8"/>
      <c r="X762" s="8"/>
      <c r="Y762" s="8"/>
      <c r="Z762" s="8"/>
      <c r="AB762" s="11">
        <v>-153</v>
      </c>
      <c r="AC762" s="8"/>
      <c r="AD762" s="8"/>
      <c r="AE762" s="4">
        <v>5</v>
      </c>
      <c r="AF762" s="8"/>
      <c r="AG762" s="8"/>
      <c r="AH762" s="8"/>
      <c r="AL762" s="8"/>
      <c r="AM762" s="8"/>
    </row>
    <row r="763" spans="1:39" x14ac:dyDescent="0.2">
      <c r="A763" t="s">
        <v>961</v>
      </c>
      <c r="H763">
        <v>35</v>
      </c>
      <c r="O763">
        <v>68</v>
      </c>
      <c r="V763" s="8"/>
      <c r="W763" s="8"/>
      <c r="X763" s="8"/>
      <c r="Y763" s="8"/>
      <c r="Z763" s="8"/>
      <c r="AB763" s="11">
        <v>-153</v>
      </c>
      <c r="AC763" s="8"/>
      <c r="AD763" s="8"/>
      <c r="AF763" s="8"/>
      <c r="AG763" s="8"/>
      <c r="AH763" s="8"/>
      <c r="AL763" s="8"/>
      <c r="AM763" s="8"/>
    </row>
    <row r="764" spans="1:39" s="144" customFormat="1" x14ac:dyDescent="0.2">
      <c r="A764" s="144" t="s">
        <v>913</v>
      </c>
      <c r="G764" s="144">
        <v>30</v>
      </c>
      <c r="I764" s="144">
        <v>22</v>
      </c>
      <c r="J764" s="144">
        <v>17</v>
      </c>
      <c r="K764" s="144">
        <v>29</v>
      </c>
      <c r="L764" s="144">
        <v>16</v>
      </c>
      <c r="M764" s="144">
        <v>16</v>
      </c>
      <c r="V764" s="177"/>
      <c r="W764" s="177"/>
      <c r="X764" s="177"/>
      <c r="Y764" s="177"/>
      <c r="Z764" s="177"/>
      <c r="AA764" s="177"/>
      <c r="AB764" s="205">
        <v>61</v>
      </c>
      <c r="AC764" s="177"/>
      <c r="AD764" s="177"/>
      <c r="AE764" s="178"/>
      <c r="AF764" s="178"/>
      <c r="AG764" s="177"/>
      <c r="AH764" s="177"/>
      <c r="AI764" s="178"/>
      <c r="AJ764" s="178"/>
      <c r="AK764" s="178"/>
      <c r="AL764" s="178"/>
    </row>
    <row r="765" spans="1:39" x14ac:dyDescent="0.2">
      <c r="A765" s="144" t="s">
        <v>915</v>
      </c>
      <c r="G765">
        <v>27</v>
      </c>
      <c r="I765">
        <v>19</v>
      </c>
      <c r="J765">
        <v>9</v>
      </c>
      <c r="K765">
        <v>14</v>
      </c>
      <c r="L765">
        <v>8</v>
      </c>
      <c r="M765">
        <v>6</v>
      </c>
      <c r="O765">
        <v>18</v>
      </c>
      <c r="V765" s="8"/>
      <c r="W765" s="8"/>
      <c r="X765" s="8"/>
      <c r="Y765" s="8"/>
      <c r="Z765" s="8"/>
      <c r="AA765" s="8"/>
      <c r="AB765" s="11">
        <v>51</v>
      </c>
      <c r="AC765" s="8"/>
      <c r="AD765" s="8">
        <v>0.1</v>
      </c>
      <c r="AF765" s="8"/>
      <c r="AG765" s="8"/>
      <c r="AH765" s="8"/>
      <c r="AL765" s="4"/>
      <c r="AM765" s="8"/>
    </row>
    <row r="766" spans="1:39" x14ac:dyDescent="0.2">
      <c r="A766" s="144" t="s">
        <v>914</v>
      </c>
      <c r="G766">
        <v>41</v>
      </c>
      <c r="I766">
        <v>28</v>
      </c>
      <c r="J766">
        <v>15</v>
      </c>
      <c r="K766">
        <v>23</v>
      </c>
      <c r="L766">
        <v>12</v>
      </c>
      <c r="M766">
        <v>10</v>
      </c>
      <c r="O766">
        <v>28</v>
      </c>
      <c r="V766" s="8"/>
      <c r="W766" s="8"/>
      <c r="X766" s="8"/>
      <c r="Y766" s="8"/>
      <c r="Z766" s="8"/>
      <c r="AA766" s="8"/>
      <c r="AB766" s="11">
        <v>51</v>
      </c>
      <c r="AC766" s="8"/>
      <c r="AD766" s="8">
        <v>0.11</v>
      </c>
      <c r="AF766" s="8"/>
      <c r="AG766" s="8"/>
      <c r="AH766" s="8"/>
      <c r="AL766" s="8"/>
      <c r="AM766" s="8"/>
    </row>
    <row r="767" spans="1:39" x14ac:dyDescent="0.2">
      <c r="A767" t="s">
        <v>917</v>
      </c>
      <c r="G767">
        <v>21</v>
      </c>
      <c r="H767">
        <v>10</v>
      </c>
      <c r="I767">
        <v>22</v>
      </c>
      <c r="J767">
        <v>9</v>
      </c>
      <c r="K767">
        <v>17</v>
      </c>
      <c r="L767">
        <v>10</v>
      </c>
      <c r="M767">
        <v>8</v>
      </c>
      <c r="V767" s="8"/>
      <c r="W767" s="8"/>
      <c r="X767" s="8"/>
      <c r="Y767" s="8"/>
      <c r="Z767" s="8"/>
      <c r="AB767" s="11">
        <v>51</v>
      </c>
      <c r="AC767" s="8"/>
      <c r="AD767" s="8"/>
      <c r="AF767" s="8"/>
      <c r="AG767" s="8"/>
      <c r="AH767" s="8"/>
      <c r="AL767" s="8"/>
      <c r="AM767" s="8"/>
    </row>
    <row r="768" spans="1:39" x14ac:dyDescent="0.2">
      <c r="A768" t="s">
        <v>916</v>
      </c>
      <c r="G768">
        <v>33</v>
      </c>
      <c r="H768">
        <v>12</v>
      </c>
      <c r="I768">
        <v>31</v>
      </c>
      <c r="J768">
        <v>15</v>
      </c>
      <c r="K768">
        <v>26</v>
      </c>
      <c r="L768">
        <v>16</v>
      </c>
      <c r="M768">
        <v>12</v>
      </c>
      <c r="V768" s="8"/>
      <c r="W768" s="8"/>
      <c r="X768" s="8"/>
      <c r="Y768" s="8"/>
      <c r="Z768" s="8"/>
      <c r="AB768" s="11">
        <v>51</v>
      </c>
      <c r="AC768" s="8"/>
      <c r="AD768" s="8"/>
      <c r="AF768" s="8"/>
      <c r="AG768" s="8"/>
      <c r="AH768" s="8"/>
      <c r="AL768" s="8"/>
      <c r="AM768" s="8"/>
    </row>
    <row r="769" spans="1:43" x14ac:dyDescent="0.2">
      <c r="A769" t="s">
        <v>918</v>
      </c>
      <c r="G769">
        <v>33</v>
      </c>
      <c r="I769">
        <v>24</v>
      </c>
      <c r="J769">
        <v>15</v>
      </c>
      <c r="K769">
        <v>26</v>
      </c>
      <c r="L769">
        <v>16</v>
      </c>
      <c r="M769">
        <v>12</v>
      </c>
      <c r="O769">
        <v>28</v>
      </c>
      <c r="V769" s="8">
        <v>0.02</v>
      </c>
      <c r="W769" s="8"/>
      <c r="X769" s="8"/>
      <c r="Y769" s="8"/>
      <c r="Z769" s="8"/>
      <c r="AB769" s="11">
        <v>51</v>
      </c>
      <c r="AC769" s="8"/>
      <c r="AD769" s="8"/>
      <c r="AF769" s="8"/>
      <c r="AG769" s="8"/>
      <c r="AH769" s="8"/>
      <c r="AL769" s="8"/>
      <c r="AM769" s="8"/>
    </row>
    <row r="770" spans="1:43" x14ac:dyDescent="0.2">
      <c r="A770" t="s">
        <v>919</v>
      </c>
      <c r="G770">
        <v>38</v>
      </c>
      <c r="I770">
        <v>19</v>
      </c>
      <c r="J770">
        <v>15</v>
      </c>
      <c r="K770">
        <v>26</v>
      </c>
      <c r="L770">
        <v>16</v>
      </c>
      <c r="M770">
        <v>12</v>
      </c>
      <c r="O770">
        <v>23</v>
      </c>
      <c r="V770" s="8">
        <v>0.04</v>
      </c>
      <c r="W770" s="8"/>
      <c r="X770" s="8"/>
      <c r="Y770" s="8"/>
      <c r="Z770" s="8"/>
      <c r="AB770" s="11">
        <v>51</v>
      </c>
      <c r="AC770" s="8"/>
      <c r="AD770" s="8"/>
      <c r="AF770" s="8"/>
      <c r="AG770" s="8"/>
      <c r="AH770" s="8"/>
      <c r="AL770" s="8"/>
      <c r="AM770" s="8"/>
    </row>
    <row r="771" spans="1:43" x14ac:dyDescent="0.2">
      <c r="A771" t="s">
        <v>921</v>
      </c>
      <c r="G771">
        <v>39</v>
      </c>
      <c r="I771">
        <v>25</v>
      </c>
      <c r="J771">
        <v>14</v>
      </c>
      <c r="K771">
        <v>24</v>
      </c>
      <c r="L771">
        <v>12</v>
      </c>
      <c r="M771">
        <v>10</v>
      </c>
      <c r="N771">
        <v>27</v>
      </c>
      <c r="O771">
        <v>31</v>
      </c>
      <c r="V771" s="8"/>
      <c r="W771" s="8">
        <v>0.02</v>
      </c>
      <c r="X771" s="8"/>
      <c r="Y771" s="8"/>
      <c r="Z771" s="8"/>
      <c r="AB771" s="11">
        <v>20</v>
      </c>
      <c r="AC771" s="8"/>
      <c r="AD771" s="8"/>
      <c r="AF771" s="8"/>
      <c r="AG771" s="8"/>
      <c r="AH771" s="8"/>
      <c r="AL771" s="8"/>
      <c r="AM771" s="8"/>
    </row>
    <row r="772" spans="1:43" x14ac:dyDescent="0.2">
      <c r="A772" t="s">
        <v>920</v>
      </c>
      <c r="G772">
        <v>44</v>
      </c>
      <c r="I772">
        <v>30</v>
      </c>
      <c r="J772">
        <v>14</v>
      </c>
      <c r="K772">
        <v>24</v>
      </c>
      <c r="L772">
        <v>17</v>
      </c>
      <c r="M772">
        <v>15</v>
      </c>
      <c r="N772">
        <v>39</v>
      </c>
      <c r="O772">
        <v>43</v>
      </c>
      <c r="V772" s="8"/>
      <c r="W772" s="8">
        <v>0.03</v>
      </c>
      <c r="X772" s="8"/>
      <c r="Y772" s="8"/>
      <c r="Z772" s="8"/>
      <c r="AB772" s="11">
        <v>20</v>
      </c>
      <c r="AC772" s="8"/>
      <c r="AD772" s="8"/>
      <c r="AF772" s="8"/>
      <c r="AG772" s="8"/>
      <c r="AH772" s="8"/>
      <c r="AL772" s="8"/>
      <c r="AM772" s="8"/>
    </row>
    <row r="773" spans="1:43" x14ac:dyDescent="0.2">
      <c r="A773" t="s">
        <v>1872</v>
      </c>
      <c r="G773">
        <v>47</v>
      </c>
      <c r="I773">
        <v>33</v>
      </c>
      <c r="J773">
        <v>14</v>
      </c>
      <c r="K773">
        <v>24</v>
      </c>
      <c r="L773">
        <v>20</v>
      </c>
      <c r="M773">
        <v>18</v>
      </c>
      <c r="N773">
        <v>45</v>
      </c>
      <c r="O773">
        <v>49</v>
      </c>
      <c r="V773" s="8"/>
      <c r="W773" s="8">
        <v>0.04</v>
      </c>
      <c r="X773" s="8"/>
      <c r="Y773" s="8"/>
      <c r="Z773" s="8"/>
      <c r="AB773" s="11">
        <v>20</v>
      </c>
      <c r="AC773" s="8"/>
      <c r="AD773" s="8"/>
      <c r="AF773" s="8"/>
      <c r="AG773" s="8"/>
      <c r="AH773" s="8"/>
      <c r="AL773" s="8"/>
      <c r="AM773" s="8"/>
    </row>
    <row r="774" spans="1:43" x14ac:dyDescent="0.2">
      <c r="A774" t="s">
        <v>935</v>
      </c>
      <c r="G774">
        <v>27</v>
      </c>
      <c r="I774">
        <v>14</v>
      </c>
      <c r="J774">
        <v>18</v>
      </c>
      <c r="K774">
        <v>28</v>
      </c>
      <c r="L774">
        <v>15</v>
      </c>
      <c r="M774">
        <v>9</v>
      </c>
      <c r="N774">
        <v>7</v>
      </c>
      <c r="Q774">
        <v>7</v>
      </c>
      <c r="V774" s="8"/>
      <c r="W774" s="8">
        <v>0.02</v>
      </c>
      <c r="X774" s="8"/>
      <c r="Y774" s="8"/>
      <c r="Z774" s="8"/>
      <c r="AA774" s="8"/>
      <c r="AB774" s="11">
        <v>61</v>
      </c>
      <c r="AC774" s="8"/>
      <c r="AD774" s="8"/>
      <c r="AF774" s="8"/>
      <c r="AG774" s="8"/>
      <c r="AH774" s="8"/>
      <c r="AL774" s="8"/>
      <c r="AM774" s="8"/>
    </row>
    <row r="775" spans="1:43" x14ac:dyDescent="0.2">
      <c r="A775" t="str">
        <f>Augments!A86</f>
        <v>Taeon Tights (TA)</v>
      </c>
      <c r="B775">
        <f t="shared" ref="B775:K778" ca="1" si="52">IF(ISBLANK($A775),0,VLOOKUP($A775,INDIRECT(CONCATENATE("Aug",$A$710)),MATCH(B$1,AugStatHeader,0),0)
+VLOOKUP(LEFT($A775,FIND(" (",$A775,1)-1),INDIRECT("BaseAugArmor"),MATCH(B$1,StatHeader,0),0))</f>
        <v>0</v>
      </c>
      <c r="C775">
        <f t="shared" ca="1" si="52"/>
        <v>0</v>
      </c>
      <c r="D775">
        <f t="shared" ca="1" si="52"/>
        <v>0</v>
      </c>
      <c r="E775">
        <f t="shared" ca="1" si="52"/>
        <v>0</v>
      </c>
      <c r="F775">
        <f t="shared" ca="1" si="52"/>
        <v>0</v>
      </c>
      <c r="G775">
        <f t="shared" ca="1" si="52"/>
        <v>34</v>
      </c>
      <c r="H775">
        <f t="shared" ca="1" si="52"/>
        <v>7</v>
      </c>
      <c r="I775">
        <f t="shared" ca="1" si="52"/>
        <v>14</v>
      </c>
      <c r="J775">
        <f t="shared" ca="1" si="52"/>
        <v>18</v>
      </c>
      <c r="K775">
        <f t="shared" ca="1" si="52"/>
        <v>28</v>
      </c>
      <c r="L775">
        <f t="shared" ref="L775:U778" ca="1" si="53">IF(ISBLANK($A775),0,VLOOKUP($A775,INDIRECT(CONCATENATE("Aug",$A$710)),MATCH(L$1,AugStatHeader,0),0)
+VLOOKUP(LEFT($A775,FIND(" (",$A775,1)-1),INDIRECT("BaseAugArmor"),MATCH(L$1,StatHeader,0),0))</f>
        <v>15</v>
      </c>
      <c r="M775">
        <f t="shared" ca="1" si="53"/>
        <v>9</v>
      </c>
      <c r="N775">
        <f t="shared" ca="1" si="53"/>
        <v>27</v>
      </c>
      <c r="O775">
        <f t="shared" ca="1" si="53"/>
        <v>20</v>
      </c>
      <c r="P775" s="8">
        <f t="shared" ca="1" si="53"/>
        <v>0</v>
      </c>
      <c r="Q775">
        <f t="shared" ca="1" si="53"/>
        <v>7</v>
      </c>
      <c r="R775">
        <f t="shared" ca="1" si="53"/>
        <v>0</v>
      </c>
      <c r="S775">
        <f t="shared" ca="1" si="53"/>
        <v>0</v>
      </c>
      <c r="T775">
        <f t="shared" ca="1" si="53"/>
        <v>0</v>
      </c>
      <c r="U775">
        <f t="shared" ca="1" si="53"/>
        <v>0</v>
      </c>
      <c r="V775" s="8">
        <f t="shared" ref="V775:AE778" ca="1" si="54">IF(ISBLANK($A775),0,VLOOKUP($A775,INDIRECT(CONCATENATE("Aug",$A$710)),MATCH(V$1,AugStatHeader,0),0)
+VLOOKUP(LEFT($A775,FIND(" (",$A775,1)-1),INDIRECT("BaseAugArmor"),MATCH(V$1,StatHeader,0),0))</f>
        <v>0</v>
      </c>
      <c r="W775" s="8">
        <f t="shared" ca="1" si="54"/>
        <v>0.04</v>
      </c>
      <c r="X775" s="8">
        <f t="shared" ca="1" si="54"/>
        <v>0</v>
      </c>
      <c r="Y775" s="8">
        <f t="shared" ca="1" si="54"/>
        <v>0</v>
      </c>
      <c r="Z775" s="8">
        <f t="shared" ca="1" si="54"/>
        <v>0</v>
      </c>
      <c r="AA775">
        <f t="shared" ca="1" si="54"/>
        <v>0</v>
      </c>
      <c r="AB775">
        <f t="shared" ca="1" si="54"/>
        <v>61</v>
      </c>
      <c r="AC775" s="8">
        <f t="shared" ca="1" si="54"/>
        <v>0</v>
      </c>
      <c r="AD775" s="8">
        <f t="shared" ca="1" si="54"/>
        <v>0</v>
      </c>
      <c r="AE775">
        <f t="shared" ca="1" si="54"/>
        <v>0</v>
      </c>
      <c r="AF775">
        <f t="shared" ref="AF775:AN778" ca="1" si="55">IF(ISBLANK($A775),0,VLOOKUP($A775,INDIRECT(CONCATENATE("Aug",$A$710)),MATCH(AF$1,AugStatHeader,0),0)
+VLOOKUP(LEFT($A775,FIND(" (",$A775,1)-1),INDIRECT("BaseAugArmor"),MATCH(AF$1,StatHeader,0),0))</f>
        <v>0</v>
      </c>
      <c r="AG775">
        <f t="shared" ca="1" si="55"/>
        <v>0</v>
      </c>
      <c r="AH775" s="8">
        <f t="shared" ca="1" si="55"/>
        <v>0</v>
      </c>
      <c r="AI775">
        <f t="shared" ca="1" si="55"/>
        <v>0</v>
      </c>
      <c r="AJ775">
        <f t="shared" ca="1" si="55"/>
        <v>0</v>
      </c>
      <c r="AK775">
        <f t="shared" ca="1" si="55"/>
        <v>0</v>
      </c>
      <c r="AL775">
        <f t="shared" ca="1" si="55"/>
        <v>0</v>
      </c>
      <c r="AM775" s="8">
        <f t="shared" ca="1" si="55"/>
        <v>0</v>
      </c>
      <c r="AN775">
        <f t="shared" ca="1" si="55"/>
        <v>0</v>
      </c>
      <c r="AQ775" s="8"/>
    </row>
    <row r="776" spans="1:43" x14ac:dyDescent="0.2">
      <c r="A776" t="str">
        <f>Augments!A87</f>
        <v>Taeon Tights (C.Rate)</v>
      </c>
      <c r="B776">
        <f t="shared" ca="1" si="52"/>
        <v>0</v>
      </c>
      <c r="C776">
        <f t="shared" ca="1" si="52"/>
        <v>0</v>
      </c>
      <c r="D776">
        <f t="shared" ca="1" si="52"/>
        <v>0</v>
      </c>
      <c r="E776">
        <f t="shared" ca="1" si="52"/>
        <v>0</v>
      </c>
      <c r="F776">
        <f t="shared" ca="1" si="52"/>
        <v>0</v>
      </c>
      <c r="G776">
        <f t="shared" ca="1" si="52"/>
        <v>34</v>
      </c>
      <c r="H776">
        <f t="shared" ca="1" si="52"/>
        <v>7</v>
      </c>
      <c r="I776">
        <f t="shared" ca="1" si="52"/>
        <v>14</v>
      </c>
      <c r="J776">
        <f t="shared" ca="1" si="52"/>
        <v>18</v>
      </c>
      <c r="K776">
        <f t="shared" ca="1" si="52"/>
        <v>28</v>
      </c>
      <c r="L776">
        <f t="shared" ca="1" si="53"/>
        <v>15</v>
      </c>
      <c r="M776">
        <f t="shared" ca="1" si="53"/>
        <v>9</v>
      </c>
      <c r="N776">
        <f t="shared" ca="1" si="53"/>
        <v>27</v>
      </c>
      <c r="O776">
        <f t="shared" ca="1" si="53"/>
        <v>20</v>
      </c>
      <c r="P776" s="8">
        <f t="shared" ca="1" si="53"/>
        <v>0</v>
      </c>
      <c r="Q776">
        <f t="shared" ca="1" si="53"/>
        <v>7</v>
      </c>
      <c r="R776">
        <f t="shared" ca="1" si="53"/>
        <v>0</v>
      </c>
      <c r="S776">
        <f t="shared" ca="1" si="53"/>
        <v>0</v>
      </c>
      <c r="T776">
        <f t="shared" ca="1" si="53"/>
        <v>0</v>
      </c>
      <c r="U776">
        <f t="shared" ca="1" si="53"/>
        <v>0</v>
      </c>
      <c r="V776" s="8">
        <f t="shared" ca="1" si="54"/>
        <v>0</v>
      </c>
      <c r="W776" s="8">
        <f t="shared" ca="1" si="54"/>
        <v>0.02</v>
      </c>
      <c r="X776" s="8">
        <f t="shared" ca="1" si="54"/>
        <v>0</v>
      </c>
      <c r="Y776" s="8">
        <f t="shared" ca="1" si="54"/>
        <v>0</v>
      </c>
      <c r="Z776" s="8">
        <f t="shared" ca="1" si="54"/>
        <v>0</v>
      </c>
      <c r="AA776">
        <f t="shared" ca="1" si="54"/>
        <v>0</v>
      </c>
      <c r="AB776">
        <f t="shared" ca="1" si="54"/>
        <v>61</v>
      </c>
      <c r="AC776" s="8">
        <f t="shared" ca="1" si="54"/>
        <v>0.03</v>
      </c>
      <c r="AD776" s="8">
        <f t="shared" ca="1" si="54"/>
        <v>0</v>
      </c>
      <c r="AE776">
        <f t="shared" ca="1" si="54"/>
        <v>0</v>
      </c>
      <c r="AF776">
        <f t="shared" ca="1" si="55"/>
        <v>0</v>
      </c>
      <c r="AG776">
        <f t="shared" ca="1" si="55"/>
        <v>0</v>
      </c>
      <c r="AH776" s="8">
        <f t="shared" ca="1" si="55"/>
        <v>0</v>
      </c>
      <c r="AI776">
        <f t="shared" ca="1" si="55"/>
        <v>0</v>
      </c>
      <c r="AJ776">
        <f t="shared" ca="1" si="55"/>
        <v>0</v>
      </c>
      <c r="AK776">
        <f t="shared" ca="1" si="55"/>
        <v>0</v>
      </c>
      <c r="AL776">
        <f t="shared" ca="1" si="55"/>
        <v>0</v>
      </c>
      <c r="AM776" s="8">
        <f t="shared" ca="1" si="55"/>
        <v>0</v>
      </c>
      <c r="AN776">
        <f t="shared" ca="1" si="55"/>
        <v>0</v>
      </c>
      <c r="AQ776" s="8"/>
    </row>
    <row r="777" spans="1:43" x14ac:dyDescent="0.2">
      <c r="A777" t="str">
        <f>Augments!A88</f>
        <v>Taeon Tights (Custom 1)</v>
      </c>
      <c r="B777">
        <f t="shared" ca="1" si="52"/>
        <v>0</v>
      </c>
      <c r="C777">
        <f t="shared" ca="1" si="52"/>
        <v>0</v>
      </c>
      <c r="D777">
        <f t="shared" ca="1" si="52"/>
        <v>0</v>
      </c>
      <c r="E777">
        <f t="shared" ca="1" si="52"/>
        <v>0</v>
      </c>
      <c r="F777">
        <f t="shared" ca="1" si="52"/>
        <v>0</v>
      </c>
      <c r="G777">
        <f t="shared" ca="1" si="52"/>
        <v>27</v>
      </c>
      <c r="H777">
        <f t="shared" ca="1" si="52"/>
        <v>0</v>
      </c>
      <c r="I777">
        <f t="shared" ca="1" si="52"/>
        <v>14</v>
      </c>
      <c r="J777">
        <f t="shared" ca="1" si="52"/>
        <v>18</v>
      </c>
      <c r="K777">
        <f t="shared" ca="1" si="52"/>
        <v>28</v>
      </c>
      <c r="L777">
        <f t="shared" ca="1" si="53"/>
        <v>15</v>
      </c>
      <c r="M777">
        <f t="shared" ca="1" si="53"/>
        <v>9</v>
      </c>
      <c r="N777">
        <f t="shared" ca="1" si="53"/>
        <v>7</v>
      </c>
      <c r="O777">
        <f t="shared" ca="1" si="53"/>
        <v>0</v>
      </c>
      <c r="P777" s="8">
        <f t="shared" ca="1" si="53"/>
        <v>0</v>
      </c>
      <c r="Q777">
        <f t="shared" ca="1" si="53"/>
        <v>7</v>
      </c>
      <c r="R777">
        <f t="shared" ca="1" si="53"/>
        <v>0</v>
      </c>
      <c r="S777">
        <f t="shared" ca="1" si="53"/>
        <v>0</v>
      </c>
      <c r="T777">
        <f t="shared" ca="1" si="53"/>
        <v>0</v>
      </c>
      <c r="U777">
        <f t="shared" ca="1" si="53"/>
        <v>0</v>
      </c>
      <c r="V777" s="8">
        <f t="shared" ca="1" si="54"/>
        <v>0</v>
      </c>
      <c r="W777" s="8">
        <f t="shared" ca="1" si="54"/>
        <v>0.02</v>
      </c>
      <c r="X777" s="8">
        <f t="shared" ca="1" si="54"/>
        <v>0</v>
      </c>
      <c r="Y777" s="8">
        <f t="shared" ca="1" si="54"/>
        <v>0</v>
      </c>
      <c r="Z777" s="8">
        <f t="shared" ca="1" si="54"/>
        <v>0</v>
      </c>
      <c r="AA777">
        <f t="shared" ca="1" si="54"/>
        <v>0</v>
      </c>
      <c r="AB777">
        <f t="shared" ca="1" si="54"/>
        <v>61</v>
      </c>
      <c r="AC777" s="8">
        <f t="shared" ca="1" si="54"/>
        <v>0</v>
      </c>
      <c r="AD777" s="8">
        <f t="shared" ca="1" si="54"/>
        <v>0</v>
      </c>
      <c r="AE777">
        <f t="shared" ca="1" si="54"/>
        <v>0</v>
      </c>
      <c r="AF777">
        <f t="shared" ca="1" si="55"/>
        <v>0</v>
      </c>
      <c r="AG777">
        <f t="shared" ca="1" si="55"/>
        <v>0</v>
      </c>
      <c r="AH777" s="8">
        <f t="shared" ca="1" si="55"/>
        <v>0</v>
      </c>
      <c r="AI777">
        <f t="shared" ca="1" si="55"/>
        <v>0</v>
      </c>
      <c r="AJ777">
        <f t="shared" ca="1" si="55"/>
        <v>0</v>
      </c>
      <c r="AK777">
        <f t="shared" ca="1" si="55"/>
        <v>0</v>
      </c>
      <c r="AL777">
        <f t="shared" ca="1" si="55"/>
        <v>0</v>
      </c>
      <c r="AM777" s="8">
        <f t="shared" ca="1" si="55"/>
        <v>0</v>
      </c>
      <c r="AN777">
        <f t="shared" ca="1" si="55"/>
        <v>0</v>
      </c>
      <c r="AQ777" s="8"/>
    </row>
    <row r="778" spans="1:43" x14ac:dyDescent="0.2">
      <c r="A778" t="str">
        <f>Augments!A89</f>
        <v>Taeon Tights (Custom 2)</v>
      </c>
      <c r="B778">
        <f t="shared" ca="1" si="52"/>
        <v>0</v>
      </c>
      <c r="C778">
        <f t="shared" ca="1" si="52"/>
        <v>0</v>
      </c>
      <c r="D778">
        <f t="shared" ca="1" si="52"/>
        <v>0</v>
      </c>
      <c r="E778">
        <f t="shared" ca="1" si="52"/>
        <v>0</v>
      </c>
      <c r="F778">
        <f t="shared" ca="1" si="52"/>
        <v>0</v>
      </c>
      <c r="G778">
        <f t="shared" ca="1" si="52"/>
        <v>27</v>
      </c>
      <c r="H778">
        <f t="shared" ca="1" si="52"/>
        <v>0</v>
      </c>
      <c r="I778">
        <f t="shared" ca="1" si="52"/>
        <v>14</v>
      </c>
      <c r="J778">
        <f t="shared" ca="1" si="52"/>
        <v>18</v>
      </c>
      <c r="K778">
        <f t="shared" ca="1" si="52"/>
        <v>28</v>
      </c>
      <c r="L778">
        <f t="shared" ca="1" si="53"/>
        <v>15</v>
      </c>
      <c r="M778">
        <f t="shared" ca="1" si="53"/>
        <v>9</v>
      </c>
      <c r="N778">
        <f t="shared" ca="1" si="53"/>
        <v>7</v>
      </c>
      <c r="O778">
        <f t="shared" ca="1" si="53"/>
        <v>0</v>
      </c>
      <c r="P778" s="8">
        <f t="shared" ca="1" si="53"/>
        <v>0</v>
      </c>
      <c r="Q778">
        <f t="shared" ca="1" si="53"/>
        <v>7</v>
      </c>
      <c r="R778">
        <f t="shared" ca="1" si="53"/>
        <v>0</v>
      </c>
      <c r="S778">
        <f t="shared" ca="1" si="53"/>
        <v>0</v>
      </c>
      <c r="T778">
        <f t="shared" ca="1" si="53"/>
        <v>0</v>
      </c>
      <c r="U778">
        <f t="shared" ca="1" si="53"/>
        <v>0</v>
      </c>
      <c r="V778" s="8">
        <f t="shared" ca="1" si="54"/>
        <v>0</v>
      </c>
      <c r="W778" s="8">
        <f t="shared" ca="1" si="54"/>
        <v>0.02</v>
      </c>
      <c r="X778" s="8">
        <f t="shared" ca="1" si="54"/>
        <v>0</v>
      </c>
      <c r="Y778" s="8">
        <f t="shared" ca="1" si="54"/>
        <v>0</v>
      </c>
      <c r="Z778" s="8">
        <f t="shared" ca="1" si="54"/>
        <v>0</v>
      </c>
      <c r="AA778">
        <f t="shared" ca="1" si="54"/>
        <v>0</v>
      </c>
      <c r="AB778">
        <f t="shared" ca="1" si="54"/>
        <v>61</v>
      </c>
      <c r="AC778" s="8">
        <f t="shared" ca="1" si="54"/>
        <v>0</v>
      </c>
      <c r="AD778" s="8">
        <f t="shared" ca="1" si="54"/>
        <v>0</v>
      </c>
      <c r="AE778">
        <f t="shared" ca="1" si="54"/>
        <v>0</v>
      </c>
      <c r="AF778">
        <f t="shared" ca="1" si="55"/>
        <v>0</v>
      </c>
      <c r="AG778">
        <f t="shared" ca="1" si="55"/>
        <v>0</v>
      </c>
      <c r="AH778" s="8">
        <f t="shared" ca="1" si="55"/>
        <v>0</v>
      </c>
      <c r="AI778">
        <f t="shared" ca="1" si="55"/>
        <v>0</v>
      </c>
      <c r="AJ778">
        <f t="shared" ca="1" si="55"/>
        <v>0</v>
      </c>
      <c r="AK778">
        <f t="shared" ca="1" si="55"/>
        <v>0</v>
      </c>
      <c r="AL778">
        <f t="shared" ca="1" si="55"/>
        <v>0</v>
      </c>
      <c r="AM778" s="8">
        <f t="shared" ca="1" si="55"/>
        <v>0</v>
      </c>
      <c r="AN778">
        <f t="shared" ca="1" si="55"/>
        <v>0</v>
      </c>
      <c r="AQ778" s="8"/>
    </row>
    <row r="779" spans="1:43" x14ac:dyDescent="0.2">
      <c r="A779" s="3" t="s">
        <v>936</v>
      </c>
      <c r="G779">
        <v>39</v>
      </c>
      <c r="I779">
        <v>26</v>
      </c>
      <c r="J779">
        <v>16</v>
      </c>
      <c r="K779">
        <v>24</v>
      </c>
      <c r="L779">
        <v>14</v>
      </c>
      <c r="M779">
        <v>11</v>
      </c>
      <c r="O779">
        <v>15</v>
      </c>
      <c r="V779" s="8">
        <v>0.03</v>
      </c>
      <c r="W779" s="8"/>
      <c r="X779" s="8"/>
      <c r="Y779" s="8"/>
      <c r="Z779" s="8"/>
      <c r="AA779" s="8"/>
      <c r="AB779" s="11">
        <v>51</v>
      </c>
      <c r="AC779" s="8"/>
      <c r="AD779" s="8"/>
      <c r="AF779" s="8"/>
      <c r="AG779" s="8"/>
      <c r="AH779" s="8"/>
      <c r="AL779" s="8"/>
      <c r="AM779" s="8"/>
    </row>
    <row r="780" spans="1:43" x14ac:dyDescent="0.2">
      <c r="A780" t="str">
        <f>Augments!A90</f>
        <v>Valorous Hose (Custom 1)</v>
      </c>
      <c r="B780">
        <f t="shared" ref="B780:K785" ca="1" si="56">IF(ISBLANK($A780),0,VLOOKUP($A780,INDIRECT(CONCATENATE("Aug",$A$710)),MATCH(B$1,AugStatHeader,0),0)
+VLOOKUP(LEFT($A780,FIND(" (",$A780,1)-1),INDIRECT("BaseAugArmor"),MATCH(B$1,StatHeader,0),0))</f>
        <v>0</v>
      </c>
      <c r="C780">
        <f t="shared" ca="1" si="56"/>
        <v>0</v>
      </c>
      <c r="D780">
        <f t="shared" ca="1" si="56"/>
        <v>0</v>
      </c>
      <c r="E780">
        <f t="shared" ca="1" si="56"/>
        <v>0</v>
      </c>
      <c r="F780">
        <f t="shared" ca="1" si="56"/>
        <v>0</v>
      </c>
      <c r="G780">
        <f t="shared" ca="1" si="56"/>
        <v>39</v>
      </c>
      <c r="H780">
        <f t="shared" ca="1" si="56"/>
        <v>0</v>
      </c>
      <c r="I780">
        <f t="shared" ca="1" si="56"/>
        <v>26</v>
      </c>
      <c r="J780">
        <f t="shared" ca="1" si="56"/>
        <v>16</v>
      </c>
      <c r="K780">
        <f t="shared" ca="1" si="56"/>
        <v>24</v>
      </c>
      <c r="L780">
        <f t="shared" ref="L780:U785" ca="1" si="57">IF(ISBLANK($A780),0,VLOOKUP($A780,INDIRECT(CONCATENATE("Aug",$A$710)),MATCH(L$1,AugStatHeader,0),0)
+VLOOKUP(LEFT($A780,FIND(" (",$A780,1)-1),INDIRECT("BaseAugArmor"),MATCH(L$1,StatHeader,0),0))</f>
        <v>14</v>
      </c>
      <c r="M780">
        <f t="shared" ca="1" si="57"/>
        <v>11</v>
      </c>
      <c r="N780">
        <f t="shared" ca="1" si="57"/>
        <v>0</v>
      </c>
      <c r="O780">
        <f t="shared" ca="1" si="57"/>
        <v>15</v>
      </c>
      <c r="P780" s="8">
        <f t="shared" ca="1" si="57"/>
        <v>0</v>
      </c>
      <c r="Q780">
        <f t="shared" ca="1" si="57"/>
        <v>0</v>
      </c>
      <c r="R780">
        <f t="shared" ca="1" si="57"/>
        <v>0</v>
      </c>
      <c r="S780">
        <f t="shared" ca="1" si="57"/>
        <v>0</v>
      </c>
      <c r="T780">
        <f t="shared" ca="1" si="57"/>
        <v>0</v>
      </c>
      <c r="U780">
        <f t="shared" ca="1" si="57"/>
        <v>0</v>
      </c>
      <c r="V780" s="8">
        <f t="shared" ref="V780:AE785" ca="1" si="58">IF(ISBLANK($A780),0,VLOOKUP($A780,INDIRECT(CONCATENATE("Aug",$A$710)),MATCH(V$1,AugStatHeader,0),0)
+VLOOKUP(LEFT($A780,FIND(" (",$A780,1)-1),INDIRECT("BaseAugArmor"),MATCH(V$1,StatHeader,0),0))</f>
        <v>0.03</v>
      </c>
      <c r="W780" s="8">
        <f t="shared" ca="1" si="58"/>
        <v>0</v>
      </c>
      <c r="X780" s="8">
        <f t="shared" ca="1" si="58"/>
        <v>0</v>
      </c>
      <c r="Y780" s="8">
        <f t="shared" ca="1" si="58"/>
        <v>0</v>
      </c>
      <c r="Z780" s="8">
        <f t="shared" ca="1" si="58"/>
        <v>0</v>
      </c>
      <c r="AA780">
        <f t="shared" ca="1" si="58"/>
        <v>0</v>
      </c>
      <c r="AB780">
        <f t="shared" ca="1" si="58"/>
        <v>51</v>
      </c>
      <c r="AC780" s="8">
        <f t="shared" ca="1" si="58"/>
        <v>0</v>
      </c>
      <c r="AD780" s="8">
        <f t="shared" ca="1" si="58"/>
        <v>0</v>
      </c>
      <c r="AE780">
        <f t="shared" ca="1" si="58"/>
        <v>0</v>
      </c>
      <c r="AF780">
        <f t="shared" ref="AF780:AN785" ca="1" si="59">IF(ISBLANK($A780),0,VLOOKUP($A780,INDIRECT(CONCATENATE("Aug",$A$710)),MATCH(AF$1,AugStatHeader,0),0)
+VLOOKUP(LEFT($A780,FIND(" (",$A780,1)-1),INDIRECT("BaseAugArmor"),MATCH(AF$1,StatHeader,0),0))</f>
        <v>0</v>
      </c>
      <c r="AG780">
        <f t="shared" ca="1" si="59"/>
        <v>0</v>
      </c>
      <c r="AH780" s="8">
        <f t="shared" ca="1" si="59"/>
        <v>0</v>
      </c>
      <c r="AI780">
        <f t="shared" ca="1" si="59"/>
        <v>0</v>
      </c>
      <c r="AJ780">
        <f t="shared" ca="1" si="59"/>
        <v>0</v>
      </c>
      <c r="AK780">
        <f t="shared" ca="1" si="59"/>
        <v>0</v>
      </c>
      <c r="AL780">
        <f t="shared" ca="1" si="59"/>
        <v>0</v>
      </c>
      <c r="AM780" s="8">
        <f t="shared" ca="1" si="59"/>
        <v>0</v>
      </c>
      <c r="AN780">
        <f t="shared" ca="1" si="59"/>
        <v>0</v>
      </c>
      <c r="AQ780" s="8"/>
    </row>
    <row r="781" spans="1:43" x14ac:dyDescent="0.2">
      <c r="A781" t="str">
        <f>Augments!A91</f>
        <v>Valorous Hose (Custom 2)</v>
      </c>
      <c r="B781">
        <f t="shared" ca="1" si="56"/>
        <v>0</v>
      </c>
      <c r="C781">
        <f t="shared" ca="1" si="56"/>
        <v>0</v>
      </c>
      <c r="D781">
        <f t="shared" ca="1" si="56"/>
        <v>0</v>
      </c>
      <c r="E781">
        <f t="shared" ca="1" si="56"/>
        <v>0</v>
      </c>
      <c r="F781">
        <f t="shared" ca="1" si="56"/>
        <v>0</v>
      </c>
      <c r="G781">
        <f t="shared" ca="1" si="56"/>
        <v>39</v>
      </c>
      <c r="H781">
        <f t="shared" ca="1" si="56"/>
        <v>0</v>
      </c>
      <c r="I781">
        <f t="shared" ca="1" si="56"/>
        <v>26</v>
      </c>
      <c r="J781">
        <f t="shared" ca="1" si="56"/>
        <v>16</v>
      </c>
      <c r="K781">
        <f t="shared" ca="1" si="56"/>
        <v>24</v>
      </c>
      <c r="L781">
        <f t="shared" ca="1" si="57"/>
        <v>14</v>
      </c>
      <c r="M781">
        <f t="shared" ca="1" si="57"/>
        <v>11</v>
      </c>
      <c r="N781">
        <f t="shared" ca="1" si="57"/>
        <v>0</v>
      </c>
      <c r="O781">
        <f t="shared" ca="1" si="57"/>
        <v>15</v>
      </c>
      <c r="P781" s="8">
        <f t="shared" ca="1" si="57"/>
        <v>0</v>
      </c>
      <c r="Q781">
        <f t="shared" ca="1" si="57"/>
        <v>0</v>
      </c>
      <c r="R781">
        <f t="shared" ca="1" si="57"/>
        <v>0</v>
      </c>
      <c r="S781">
        <f t="shared" ca="1" si="57"/>
        <v>0</v>
      </c>
      <c r="T781">
        <f t="shared" ca="1" si="57"/>
        <v>0</v>
      </c>
      <c r="U781">
        <f t="shared" ca="1" si="57"/>
        <v>0</v>
      </c>
      <c r="V781" s="8">
        <f t="shared" ca="1" si="58"/>
        <v>0.03</v>
      </c>
      <c r="W781" s="8">
        <f t="shared" ca="1" si="58"/>
        <v>0</v>
      </c>
      <c r="X781" s="8">
        <f t="shared" ca="1" si="58"/>
        <v>0</v>
      </c>
      <c r="Y781" s="8">
        <f t="shared" ca="1" si="58"/>
        <v>0</v>
      </c>
      <c r="Z781" s="8">
        <f t="shared" ca="1" si="58"/>
        <v>0</v>
      </c>
      <c r="AA781">
        <f t="shared" ca="1" si="58"/>
        <v>0</v>
      </c>
      <c r="AB781">
        <f t="shared" ca="1" si="58"/>
        <v>51</v>
      </c>
      <c r="AC781" s="8">
        <f t="shared" ca="1" si="58"/>
        <v>0</v>
      </c>
      <c r="AD781" s="8">
        <f t="shared" ca="1" si="58"/>
        <v>0</v>
      </c>
      <c r="AE781">
        <f t="shared" ca="1" si="58"/>
        <v>0</v>
      </c>
      <c r="AF781">
        <f t="shared" ca="1" si="59"/>
        <v>0</v>
      </c>
      <c r="AG781">
        <f t="shared" ca="1" si="59"/>
        <v>0</v>
      </c>
      <c r="AH781" s="8">
        <f t="shared" ca="1" si="59"/>
        <v>0</v>
      </c>
      <c r="AI781">
        <f t="shared" ca="1" si="59"/>
        <v>0</v>
      </c>
      <c r="AJ781">
        <f t="shared" ca="1" si="59"/>
        <v>0</v>
      </c>
      <c r="AK781">
        <f t="shared" ca="1" si="59"/>
        <v>0</v>
      </c>
      <c r="AL781">
        <f t="shared" ca="1" si="59"/>
        <v>0</v>
      </c>
      <c r="AM781" s="8">
        <f t="shared" ca="1" si="59"/>
        <v>0</v>
      </c>
      <c r="AN781">
        <f t="shared" ca="1" si="59"/>
        <v>0</v>
      </c>
      <c r="AQ781" s="8"/>
    </row>
    <row r="782" spans="1:43" x14ac:dyDescent="0.2">
      <c r="A782" t="str">
        <f>Augments!A92</f>
        <v>Valorous Hose (Custom 3)</v>
      </c>
      <c r="B782">
        <f t="shared" ca="1" si="56"/>
        <v>0</v>
      </c>
      <c r="C782">
        <f t="shared" ca="1" si="56"/>
        <v>0</v>
      </c>
      <c r="D782">
        <f t="shared" ca="1" si="56"/>
        <v>0</v>
      </c>
      <c r="E782">
        <f t="shared" ca="1" si="56"/>
        <v>0</v>
      </c>
      <c r="F782">
        <f t="shared" ca="1" si="56"/>
        <v>0</v>
      </c>
      <c r="G782">
        <f t="shared" ca="1" si="56"/>
        <v>39</v>
      </c>
      <c r="H782">
        <f t="shared" ca="1" si="56"/>
        <v>0</v>
      </c>
      <c r="I782">
        <f t="shared" ca="1" si="56"/>
        <v>26</v>
      </c>
      <c r="J782">
        <f t="shared" ca="1" si="56"/>
        <v>16</v>
      </c>
      <c r="K782">
        <f t="shared" ca="1" si="56"/>
        <v>24</v>
      </c>
      <c r="L782">
        <f t="shared" ca="1" si="57"/>
        <v>14</v>
      </c>
      <c r="M782">
        <f t="shared" ca="1" si="57"/>
        <v>11</v>
      </c>
      <c r="N782">
        <f t="shared" ca="1" si="57"/>
        <v>0</v>
      </c>
      <c r="O782">
        <f t="shared" ca="1" si="57"/>
        <v>15</v>
      </c>
      <c r="P782" s="8">
        <f t="shared" ca="1" si="57"/>
        <v>0</v>
      </c>
      <c r="Q782">
        <f t="shared" ca="1" si="57"/>
        <v>0</v>
      </c>
      <c r="R782">
        <f t="shared" ca="1" si="57"/>
        <v>0</v>
      </c>
      <c r="S782">
        <f t="shared" ca="1" si="57"/>
        <v>0</v>
      </c>
      <c r="T782">
        <f t="shared" ca="1" si="57"/>
        <v>0</v>
      </c>
      <c r="U782">
        <f t="shared" ca="1" si="57"/>
        <v>0</v>
      </c>
      <c r="V782" s="8">
        <f t="shared" ca="1" si="58"/>
        <v>0.03</v>
      </c>
      <c r="W782" s="8">
        <f t="shared" ca="1" si="58"/>
        <v>0</v>
      </c>
      <c r="X782" s="8">
        <f t="shared" ca="1" si="58"/>
        <v>0</v>
      </c>
      <c r="Y782" s="8">
        <f t="shared" ca="1" si="58"/>
        <v>0</v>
      </c>
      <c r="Z782" s="8">
        <f t="shared" ca="1" si="58"/>
        <v>0</v>
      </c>
      <c r="AA782">
        <f t="shared" ca="1" si="58"/>
        <v>0</v>
      </c>
      <c r="AB782">
        <f t="shared" ca="1" si="58"/>
        <v>51</v>
      </c>
      <c r="AC782" s="8">
        <f t="shared" ca="1" si="58"/>
        <v>0</v>
      </c>
      <c r="AD782" s="8">
        <f t="shared" ca="1" si="58"/>
        <v>0</v>
      </c>
      <c r="AE782">
        <f t="shared" ca="1" si="58"/>
        <v>0</v>
      </c>
      <c r="AF782">
        <f t="shared" ca="1" si="59"/>
        <v>0</v>
      </c>
      <c r="AG782">
        <f t="shared" ca="1" si="59"/>
        <v>0</v>
      </c>
      <c r="AH782" s="8">
        <f t="shared" ca="1" si="59"/>
        <v>0</v>
      </c>
      <c r="AI782">
        <f t="shared" ca="1" si="59"/>
        <v>0</v>
      </c>
      <c r="AJ782">
        <f t="shared" ca="1" si="59"/>
        <v>0</v>
      </c>
      <c r="AK782">
        <f t="shared" ca="1" si="59"/>
        <v>0</v>
      </c>
      <c r="AL782">
        <f t="shared" ca="1" si="59"/>
        <v>0</v>
      </c>
      <c r="AM782" s="8">
        <f t="shared" ca="1" si="59"/>
        <v>0</v>
      </c>
      <c r="AN782">
        <f t="shared" ca="1" si="59"/>
        <v>0</v>
      </c>
      <c r="AQ782" s="8"/>
    </row>
    <row r="783" spans="1:43" x14ac:dyDescent="0.2">
      <c r="A783" t="str">
        <f>Augments!A93</f>
        <v>Valorous Hose (Custom 4)</v>
      </c>
      <c r="B783">
        <f t="shared" ca="1" si="56"/>
        <v>0</v>
      </c>
      <c r="C783">
        <f t="shared" ca="1" si="56"/>
        <v>0</v>
      </c>
      <c r="D783">
        <f t="shared" ca="1" si="56"/>
        <v>0</v>
      </c>
      <c r="E783">
        <f t="shared" ca="1" si="56"/>
        <v>0</v>
      </c>
      <c r="F783">
        <f t="shared" ca="1" si="56"/>
        <v>0</v>
      </c>
      <c r="G783">
        <f t="shared" ca="1" si="56"/>
        <v>39</v>
      </c>
      <c r="H783">
        <f t="shared" ca="1" si="56"/>
        <v>0</v>
      </c>
      <c r="I783">
        <f t="shared" ca="1" si="56"/>
        <v>26</v>
      </c>
      <c r="J783">
        <f t="shared" ca="1" si="56"/>
        <v>16</v>
      </c>
      <c r="K783">
        <f t="shared" ca="1" si="56"/>
        <v>24</v>
      </c>
      <c r="L783">
        <f t="shared" ca="1" si="57"/>
        <v>14</v>
      </c>
      <c r="M783">
        <f t="shared" ca="1" si="57"/>
        <v>11</v>
      </c>
      <c r="N783">
        <f t="shared" ca="1" si="57"/>
        <v>0</v>
      </c>
      <c r="O783">
        <f t="shared" ca="1" si="57"/>
        <v>15</v>
      </c>
      <c r="P783" s="8">
        <f t="shared" ca="1" si="57"/>
        <v>0</v>
      </c>
      <c r="Q783">
        <f t="shared" ca="1" si="57"/>
        <v>0</v>
      </c>
      <c r="R783">
        <f t="shared" ca="1" si="57"/>
        <v>0</v>
      </c>
      <c r="S783">
        <f t="shared" ca="1" si="57"/>
        <v>0</v>
      </c>
      <c r="T783">
        <f t="shared" ca="1" si="57"/>
        <v>0</v>
      </c>
      <c r="U783">
        <f t="shared" ca="1" si="57"/>
        <v>0</v>
      </c>
      <c r="V783" s="8">
        <f t="shared" ca="1" si="58"/>
        <v>0.03</v>
      </c>
      <c r="W783" s="8">
        <f t="shared" ca="1" si="58"/>
        <v>0</v>
      </c>
      <c r="X783" s="8">
        <f t="shared" ca="1" si="58"/>
        <v>0</v>
      </c>
      <c r="Y783" s="8">
        <f t="shared" ca="1" si="58"/>
        <v>0</v>
      </c>
      <c r="Z783" s="8">
        <f t="shared" ca="1" si="58"/>
        <v>0</v>
      </c>
      <c r="AA783">
        <f t="shared" ca="1" si="58"/>
        <v>0</v>
      </c>
      <c r="AB783">
        <f t="shared" ca="1" si="58"/>
        <v>51</v>
      </c>
      <c r="AC783" s="8">
        <f t="shared" ca="1" si="58"/>
        <v>0</v>
      </c>
      <c r="AD783" s="8">
        <f t="shared" ca="1" si="58"/>
        <v>0</v>
      </c>
      <c r="AE783">
        <f t="shared" ca="1" si="58"/>
        <v>0</v>
      </c>
      <c r="AF783">
        <f t="shared" ca="1" si="59"/>
        <v>0</v>
      </c>
      <c r="AG783">
        <f t="shared" ca="1" si="59"/>
        <v>0</v>
      </c>
      <c r="AH783" s="8">
        <f t="shared" ca="1" si="59"/>
        <v>0</v>
      </c>
      <c r="AI783">
        <f t="shared" ca="1" si="59"/>
        <v>0</v>
      </c>
      <c r="AJ783">
        <f t="shared" ca="1" si="59"/>
        <v>0</v>
      </c>
      <c r="AK783">
        <f t="shared" ca="1" si="59"/>
        <v>0</v>
      </c>
      <c r="AL783">
        <f t="shared" ca="1" si="59"/>
        <v>0</v>
      </c>
      <c r="AM783" s="8">
        <f t="shared" ca="1" si="59"/>
        <v>0</v>
      </c>
      <c r="AN783">
        <f t="shared" ca="1" si="59"/>
        <v>0</v>
      </c>
      <c r="AQ783" s="8"/>
    </row>
    <row r="784" spans="1:43" x14ac:dyDescent="0.2">
      <c r="A784" t="str">
        <f>Augments!A94</f>
        <v>Valorous Hose (Custom 5)</v>
      </c>
      <c r="B784">
        <f t="shared" ca="1" si="56"/>
        <v>0</v>
      </c>
      <c r="C784">
        <f t="shared" ca="1" si="56"/>
        <v>0</v>
      </c>
      <c r="D784">
        <f t="shared" ca="1" si="56"/>
        <v>0</v>
      </c>
      <c r="E784">
        <f t="shared" ca="1" si="56"/>
        <v>0</v>
      </c>
      <c r="F784">
        <f t="shared" ca="1" si="56"/>
        <v>0</v>
      </c>
      <c r="G784">
        <f t="shared" ca="1" si="56"/>
        <v>39</v>
      </c>
      <c r="H784">
        <f t="shared" ca="1" si="56"/>
        <v>0</v>
      </c>
      <c r="I784">
        <f t="shared" ca="1" si="56"/>
        <v>26</v>
      </c>
      <c r="J784">
        <f t="shared" ca="1" si="56"/>
        <v>16</v>
      </c>
      <c r="K784">
        <f t="shared" ca="1" si="56"/>
        <v>24</v>
      </c>
      <c r="L784">
        <f t="shared" ca="1" si="57"/>
        <v>14</v>
      </c>
      <c r="M784">
        <f t="shared" ca="1" si="57"/>
        <v>11</v>
      </c>
      <c r="N784">
        <f t="shared" ca="1" si="57"/>
        <v>0</v>
      </c>
      <c r="O784">
        <f t="shared" ca="1" si="57"/>
        <v>15</v>
      </c>
      <c r="P784" s="8">
        <f t="shared" ca="1" si="57"/>
        <v>0</v>
      </c>
      <c r="Q784">
        <f t="shared" ca="1" si="57"/>
        <v>0</v>
      </c>
      <c r="R784">
        <f t="shared" ca="1" si="57"/>
        <v>0</v>
      </c>
      <c r="S784">
        <f t="shared" ca="1" si="57"/>
        <v>0</v>
      </c>
      <c r="T784">
        <f t="shared" ca="1" si="57"/>
        <v>0</v>
      </c>
      <c r="U784">
        <f t="shared" ca="1" si="57"/>
        <v>0</v>
      </c>
      <c r="V784" s="8">
        <f t="shared" ca="1" si="58"/>
        <v>0.03</v>
      </c>
      <c r="W784" s="8">
        <f t="shared" ca="1" si="58"/>
        <v>0</v>
      </c>
      <c r="X784" s="8">
        <f t="shared" ca="1" si="58"/>
        <v>0</v>
      </c>
      <c r="Y784" s="8">
        <f t="shared" ca="1" si="58"/>
        <v>0</v>
      </c>
      <c r="Z784" s="8">
        <f t="shared" ca="1" si="58"/>
        <v>0</v>
      </c>
      <c r="AA784">
        <f t="shared" ca="1" si="58"/>
        <v>0</v>
      </c>
      <c r="AB784">
        <f t="shared" ca="1" si="58"/>
        <v>51</v>
      </c>
      <c r="AC784" s="8">
        <f t="shared" ca="1" si="58"/>
        <v>0</v>
      </c>
      <c r="AD784" s="8">
        <f t="shared" ca="1" si="58"/>
        <v>0</v>
      </c>
      <c r="AE784">
        <f t="shared" ca="1" si="58"/>
        <v>0</v>
      </c>
      <c r="AF784">
        <f t="shared" ca="1" si="59"/>
        <v>0</v>
      </c>
      <c r="AG784">
        <f t="shared" ca="1" si="59"/>
        <v>0</v>
      </c>
      <c r="AH784" s="8">
        <f t="shared" ca="1" si="59"/>
        <v>0</v>
      </c>
      <c r="AI784">
        <f t="shared" ca="1" si="59"/>
        <v>0</v>
      </c>
      <c r="AJ784">
        <f t="shared" ca="1" si="59"/>
        <v>0</v>
      </c>
      <c r="AK784">
        <f t="shared" ca="1" si="59"/>
        <v>0</v>
      </c>
      <c r="AL784">
        <f t="shared" ca="1" si="59"/>
        <v>0</v>
      </c>
      <c r="AM784" s="8">
        <f t="shared" ca="1" si="59"/>
        <v>0</v>
      </c>
      <c r="AN784">
        <f t="shared" ca="1" si="59"/>
        <v>0</v>
      </c>
      <c r="AQ784" s="8"/>
    </row>
    <row r="785" spans="1:43" x14ac:dyDescent="0.2">
      <c r="A785" t="str">
        <f>Augments!A95</f>
        <v>Valorous Hose (Custom 6)</v>
      </c>
      <c r="B785">
        <f t="shared" ca="1" si="56"/>
        <v>0</v>
      </c>
      <c r="C785">
        <f t="shared" ca="1" si="56"/>
        <v>0</v>
      </c>
      <c r="D785">
        <f t="shared" ca="1" si="56"/>
        <v>0</v>
      </c>
      <c r="E785">
        <f t="shared" ca="1" si="56"/>
        <v>0</v>
      </c>
      <c r="F785">
        <f t="shared" ca="1" si="56"/>
        <v>0</v>
      </c>
      <c r="G785">
        <f t="shared" ca="1" si="56"/>
        <v>39</v>
      </c>
      <c r="H785">
        <f t="shared" ca="1" si="56"/>
        <v>0</v>
      </c>
      <c r="I785">
        <f t="shared" ca="1" si="56"/>
        <v>26</v>
      </c>
      <c r="J785">
        <f t="shared" ca="1" si="56"/>
        <v>16</v>
      </c>
      <c r="K785">
        <f t="shared" ca="1" si="56"/>
        <v>24</v>
      </c>
      <c r="L785">
        <f t="shared" ca="1" si="57"/>
        <v>14</v>
      </c>
      <c r="M785">
        <f t="shared" ca="1" si="57"/>
        <v>11</v>
      </c>
      <c r="N785">
        <f t="shared" ca="1" si="57"/>
        <v>0</v>
      </c>
      <c r="O785">
        <f t="shared" ca="1" si="57"/>
        <v>15</v>
      </c>
      <c r="P785" s="8">
        <f t="shared" ca="1" si="57"/>
        <v>0</v>
      </c>
      <c r="Q785">
        <f t="shared" ca="1" si="57"/>
        <v>0</v>
      </c>
      <c r="R785">
        <f t="shared" ca="1" si="57"/>
        <v>0</v>
      </c>
      <c r="S785">
        <f t="shared" ca="1" si="57"/>
        <v>0</v>
      </c>
      <c r="T785">
        <f t="shared" ca="1" si="57"/>
        <v>0</v>
      </c>
      <c r="U785">
        <f t="shared" ca="1" si="57"/>
        <v>0</v>
      </c>
      <c r="V785" s="8">
        <f t="shared" ca="1" si="58"/>
        <v>0.03</v>
      </c>
      <c r="W785" s="8">
        <f t="shared" ca="1" si="58"/>
        <v>0</v>
      </c>
      <c r="X785" s="8">
        <f t="shared" ca="1" si="58"/>
        <v>0</v>
      </c>
      <c r="Y785" s="8">
        <f t="shared" ca="1" si="58"/>
        <v>0</v>
      </c>
      <c r="Z785" s="8">
        <f t="shared" ca="1" si="58"/>
        <v>0</v>
      </c>
      <c r="AA785">
        <f t="shared" ca="1" si="58"/>
        <v>0</v>
      </c>
      <c r="AB785">
        <f t="shared" ca="1" si="58"/>
        <v>51</v>
      </c>
      <c r="AC785" s="8">
        <f t="shared" ca="1" si="58"/>
        <v>0</v>
      </c>
      <c r="AD785" s="8">
        <f t="shared" ca="1" si="58"/>
        <v>0</v>
      </c>
      <c r="AE785">
        <f t="shared" ca="1" si="58"/>
        <v>0</v>
      </c>
      <c r="AF785">
        <f t="shared" ca="1" si="59"/>
        <v>0</v>
      </c>
      <c r="AG785">
        <f t="shared" ca="1" si="59"/>
        <v>0</v>
      </c>
      <c r="AH785" s="8">
        <f t="shared" ca="1" si="59"/>
        <v>0</v>
      </c>
      <c r="AI785">
        <f t="shared" ca="1" si="59"/>
        <v>0</v>
      </c>
      <c r="AJ785">
        <f t="shared" ca="1" si="59"/>
        <v>0</v>
      </c>
      <c r="AK785">
        <f t="shared" ca="1" si="59"/>
        <v>0</v>
      </c>
      <c r="AL785">
        <f t="shared" ca="1" si="59"/>
        <v>0</v>
      </c>
      <c r="AM785" s="8">
        <f t="shared" ca="1" si="59"/>
        <v>0</v>
      </c>
      <c r="AN785">
        <f t="shared" ca="1" si="59"/>
        <v>0</v>
      </c>
      <c r="AQ785" s="8"/>
    </row>
    <row r="786" spans="1:43" x14ac:dyDescent="0.2">
      <c r="A786" t="s">
        <v>922</v>
      </c>
      <c r="G786">
        <v>21</v>
      </c>
      <c r="H786">
        <v>10</v>
      </c>
      <c r="I786">
        <v>12</v>
      </c>
      <c r="J786">
        <v>9</v>
      </c>
      <c r="K786">
        <v>17</v>
      </c>
      <c r="L786">
        <v>10</v>
      </c>
      <c r="M786">
        <v>8</v>
      </c>
      <c r="V786" s="8"/>
      <c r="W786" s="8"/>
      <c r="X786" s="8"/>
      <c r="Y786" s="8"/>
      <c r="Z786" s="8"/>
      <c r="AB786" s="11">
        <v>51</v>
      </c>
      <c r="AC786" s="8"/>
      <c r="AD786" s="8"/>
      <c r="AF786" s="8"/>
      <c r="AG786" s="8"/>
      <c r="AH786" s="8"/>
      <c r="AL786" s="8"/>
      <c r="AM786" s="8"/>
    </row>
    <row r="787" spans="1:43" x14ac:dyDescent="0.2">
      <c r="A787" t="s">
        <v>923</v>
      </c>
      <c r="G787">
        <v>33</v>
      </c>
      <c r="H787">
        <v>10</v>
      </c>
      <c r="I787">
        <v>19</v>
      </c>
      <c r="J787">
        <v>15</v>
      </c>
      <c r="K787">
        <v>26</v>
      </c>
      <c r="L787">
        <v>16</v>
      </c>
      <c r="M787">
        <v>12</v>
      </c>
      <c r="V787" s="8"/>
      <c r="W787" s="8"/>
      <c r="X787" s="8"/>
      <c r="Y787" s="8"/>
      <c r="Z787" s="8"/>
      <c r="AB787" s="11">
        <v>51</v>
      </c>
      <c r="AC787" s="8"/>
      <c r="AD787" s="8"/>
      <c r="AF787" s="8"/>
      <c r="AG787" s="8"/>
      <c r="AH787" s="8"/>
      <c r="AL787" s="8"/>
      <c r="AM787" s="8"/>
    </row>
    <row r="788" spans="1:43" x14ac:dyDescent="0.2">
      <c r="A788" t="s">
        <v>1698</v>
      </c>
      <c r="G788">
        <v>38</v>
      </c>
      <c r="H788">
        <v>15</v>
      </c>
      <c r="I788">
        <v>24</v>
      </c>
      <c r="J788">
        <v>20</v>
      </c>
      <c r="K788">
        <v>31</v>
      </c>
      <c r="L788">
        <v>21</v>
      </c>
      <c r="M788">
        <v>17</v>
      </c>
      <c r="N788">
        <v>39</v>
      </c>
      <c r="V788" s="8"/>
      <c r="W788" s="8"/>
      <c r="X788" s="8"/>
      <c r="Y788" s="8"/>
      <c r="Z788" s="8"/>
      <c r="AB788" s="11">
        <v>51</v>
      </c>
      <c r="AC788" s="8"/>
      <c r="AD788" s="8"/>
      <c r="AF788" s="8"/>
      <c r="AG788" s="8"/>
      <c r="AH788" s="8">
        <v>0.05</v>
      </c>
      <c r="AL788" s="8"/>
      <c r="AM788" s="8"/>
    </row>
    <row r="789" spans="1:43" x14ac:dyDescent="0.2">
      <c r="A789" t="s">
        <v>1699</v>
      </c>
      <c r="G789">
        <v>43</v>
      </c>
      <c r="H789">
        <v>20</v>
      </c>
      <c r="I789">
        <v>29</v>
      </c>
      <c r="J789">
        <v>25</v>
      </c>
      <c r="K789">
        <v>36</v>
      </c>
      <c r="L789">
        <v>26</v>
      </c>
      <c r="M789">
        <v>22</v>
      </c>
      <c r="N789">
        <v>49</v>
      </c>
      <c r="V789" s="8"/>
      <c r="W789" s="8"/>
      <c r="X789" s="8"/>
      <c r="Y789" s="8"/>
      <c r="Z789" s="8"/>
      <c r="AB789" s="11">
        <v>51</v>
      </c>
      <c r="AC789" s="8"/>
      <c r="AD789" s="8"/>
      <c r="AF789" s="8"/>
      <c r="AG789" s="8"/>
      <c r="AH789" s="8">
        <v>0.1</v>
      </c>
      <c r="AL789" s="8"/>
      <c r="AM789" s="8"/>
    </row>
    <row r="790" spans="1:43" x14ac:dyDescent="0.2">
      <c r="A790" s="3" t="s">
        <v>925</v>
      </c>
      <c r="G790">
        <v>25</v>
      </c>
      <c r="I790">
        <v>18</v>
      </c>
      <c r="J790">
        <v>13</v>
      </c>
      <c r="K790">
        <v>22</v>
      </c>
      <c r="L790">
        <v>9</v>
      </c>
      <c r="M790">
        <v>7</v>
      </c>
      <c r="N790">
        <v>10</v>
      </c>
      <c r="O790">
        <v>25</v>
      </c>
      <c r="V790" s="8">
        <v>0.02</v>
      </c>
      <c r="W790" s="8"/>
      <c r="X790" s="8"/>
      <c r="Y790" s="8"/>
      <c r="Z790" s="8"/>
      <c r="AA790" s="8"/>
      <c r="AB790" s="11">
        <v>51</v>
      </c>
      <c r="AC790" s="8"/>
      <c r="AD790" s="8"/>
      <c r="AE790" s="4">
        <v>3</v>
      </c>
      <c r="AF790" s="8"/>
      <c r="AG790" s="8"/>
      <c r="AH790" s="8"/>
      <c r="AL790" s="4"/>
      <c r="AM790" s="8"/>
    </row>
    <row r="791" spans="1:43" x14ac:dyDescent="0.2">
      <c r="A791" s="3" t="s">
        <v>926</v>
      </c>
      <c r="G791">
        <v>25</v>
      </c>
      <c r="I791">
        <v>18</v>
      </c>
      <c r="J791">
        <v>13</v>
      </c>
      <c r="K791">
        <v>22</v>
      </c>
      <c r="L791">
        <v>9</v>
      </c>
      <c r="M791">
        <v>7</v>
      </c>
      <c r="N791">
        <v>15</v>
      </c>
      <c r="O791">
        <v>10</v>
      </c>
      <c r="V791" s="8">
        <v>0.02</v>
      </c>
      <c r="W791" s="8"/>
      <c r="X791" s="8"/>
      <c r="Y791" s="8"/>
      <c r="Z791" s="8"/>
      <c r="AA791" s="8"/>
      <c r="AB791" s="11">
        <v>51</v>
      </c>
      <c r="AC791" s="8"/>
      <c r="AD791" s="8"/>
      <c r="AF791" s="8"/>
      <c r="AG791" s="8"/>
      <c r="AH791" s="8"/>
      <c r="AL791" s="4"/>
      <c r="AM791" s="8"/>
    </row>
    <row r="792" spans="1:43" x14ac:dyDescent="0.2">
      <c r="A792" s="3" t="s">
        <v>927</v>
      </c>
      <c r="G792">
        <v>25</v>
      </c>
      <c r="I792">
        <v>18</v>
      </c>
      <c r="J792">
        <v>13</v>
      </c>
      <c r="K792">
        <v>22</v>
      </c>
      <c r="L792">
        <v>9</v>
      </c>
      <c r="M792">
        <v>7</v>
      </c>
      <c r="O792">
        <v>10</v>
      </c>
      <c r="V792" s="8">
        <v>0.02</v>
      </c>
      <c r="W792" s="8"/>
      <c r="X792" s="8"/>
      <c r="Y792" s="8"/>
      <c r="Z792" s="8"/>
      <c r="AA792" s="8"/>
      <c r="AB792" s="11">
        <v>51</v>
      </c>
      <c r="AC792" s="8"/>
      <c r="AD792" s="8"/>
      <c r="AF792" s="8"/>
      <c r="AG792" s="8"/>
      <c r="AH792" s="8"/>
      <c r="AL792" s="4"/>
      <c r="AM792" s="8"/>
    </row>
    <row r="793" spans="1:43" x14ac:dyDescent="0.2">
      <c r="A793" s="3" t="s">
        <v>928</v>
      </c>
      <c r="G793">
        <v>29</v>
      </c>
      <c r="I793">
        <v>16</v>
      </c>
      <c r="J793">
        <v>20</v>
      </c>
      <c r="K793">
        <v>30</v>
      </c>
      <c r="L793">
        <v>17</v>
      </c>
      <c r="M793">
        <v>11</v>
      </c>
      <c r="V793" s="8">
        <v>0.05</v>
      </c>
      <c r="W793" s="8">
        <v>0.02</v>
      </c>
      <c r="X793" s="8"/>
      <c r="Y793" s="8"/>
      <c r="Z793" s="8"/>
      <c r="AA793" s="8"/>
      <c r="AB793" s="11">
        <v>61</v>
      </c>
      <c r="AC793" s="8"/>
      <c r="AD793" s="8"/>
      <c r="AE793" s="4">
        <v>-4</v>
      </c>
      <c r="AF793" s="8"/>
      <c r="AG793" s="8"/>
      <c r="AH793" s="8"/>
      <c r="AL793" s="8"/>
      <c r="AM793" s="8"/>
    </row>
    <row r="794" spans="1:43" x14ac:dyDescent="0.2">
      <c r="A794" s="3" t="s">
        <v>929</v>
      </c>
      <c r="G794">
        <v>29</v>
      </c>
      <c r="I794">
        <v>16</v>
      </c>
      <c r="J794">
        <v>20</v>
      </c>
      <c r="K794">
        <v>30</v>
      </c>
      <c r="L794">
        <v>17</v>
      </c>
      <c r="M794">
        <v>11</v>
      </c>
      <c r="V794" s="8">
        <v>0.01</v>
      </c>
      <c r="W794" s="8">
        <v>0.02</v>
      </c>
      <c r="X794" s="8"/>
      <c r="Y794" s="8"/>
      <c r="Z794" s="8"/>
      <c r="AA794" s="8"/>
      <c r="AB794" s="11">
        <v>61</v>
      </c>
      <c r="AC794" s="8"/>
      <c r="AD794" s="8"/>
      <c r="AE794" s="4">
        <v>-4</v>
      </c>
      <c r="AF794" s="8"/>
      <c r="AG794" s="8"/>
      <c r="AH794" s="8"/>
      <c r="AL794" s="8"/>
      <c r="AM794" s="8"/>
    </row>
    <row r="795" spans="1:43" x14ac:dyDescent="0.2">
      <c r="A795" s="3" t="s">
        <v>930</v>
      </c>
      <c r="G795">
        <v>29</v>
      </c>
      <c r="I795">
        <v>16</v>
      </c>
      <c r="J795">
        <v>20</v>
      </c>
      <c r="K795">
        <v>30</v>
      </c>
      <c r="L795">
        <v>17</v>
      </c>
      <c r="M795">
        <v>11</v>
      </c>
      <c r="V795" s="8">
        <v>0.05</v>
      </c>
      <c r="W795" s="8">
        <v>0.03</v>
      </c>
      <c r="X795" s="8"/>
      <c r="Y795" s="8"/>
      <c r="Z795" s="8"/>
      <c r="AA795" s="8"/>
      <c r="AB795" s="11">
        <v>61</v>
      </c>
      <c r="AC795" s="8"/>
      <c r="AD795" s="8"/>
      <c r="AE795" s="4">
        <v>-5</v>
      </c>
      <c r="AF795" s="8"/>
      <c r="AG795" s="8"/>
      <c r="AH795" s="8"/>
      <c r="AL795" s="8"/>
      <c r="AM795" s="8"/>
    </row>
    <row r="796" spans="1:43" x14ac:dyDescent="0.2">
      <c r="A796" s="3" t="s">
        <v>931</v>
      </c>
      <c r="G796">
        <v>29</v>
      </c>
      <c r="I796">
        <v>16</v>
      </c>
      <c r="J796">
        <v>20</v>
      </c>
      <c r="K796">
        <v>30</v>
      </c>
      <c r="L796">
        <v>17</v>
      </c>
      <c r="M796">
        <v>11</v>
      </c>
      <c r="V796" s="8">
        <v>0.01</v>
      </c>
      <c r="W796" s="8">
        <v>0.03</v>
      </c>
      <c r="X796" s="8"/>
      <c r="Y796" s="8"/>
      <c r="Z796" s="8"/>
      <c r="AA796" s="8"/>
      <c r="AB796" s="11">
        <v>61</v>
      </c>
      <c r="AC796" s="8"/>
      <c r="AD796" s="8"/>
      <c r="AE796" s="4">
        <v>-5</v>
      </c>
      <c r="AF796" s="8"/>
      <c r="AG796" s="8"/>
      <c r="AH796" s="8"/>
      <c r="AL796" s="8"/>
      <c r="AM796" s="8"/>
    </row>
    <row r="797" spans="1:43" x14ac:dyDescent="0.2">
      <c r="AC797" s="8"/>
      <c r="AD797" s="8"/>
      <c r="AF797" s="8"/>
      <c r="AG797" s="8"/>
      <c r="AH797" s="8"/>
      <c r="AL797" s="8"/>
      <c r="AM797" s="8"/>
    </row>
    <row r="799" spans="1:43" s="1" customFormat="1" x14ac:dyDescent="0.2">
      <c r="A799" s="1" t="s">
        <v>97</v>
      </c>
      <c r="B799" s="1" t="s">
        <v>72</v>
      </c>
      <c r="C799" s="1" t="s">
        <v>482</v>
      </c>
      <c r="D799" s="1" t="s">
        <v>483</v>
      </c>
      <c r="E799" s="1" t="s">
        <v>484</v>
      </c>
      <c r="F799" s="1" t="s">
        <v>492</v>
      </c>
      <c r="G799" s="1" t="s">
        <v>26</v>
      </c>
      <c r="H799" s="1" t="s">
        <v>27</v>
      </c>
      <c r="I799" s="1" t="s">
        <v>23</v>
      </c>
      <c r="J799" s="1" t="s">
        <v>25</v>
      </c>
      <c r="K799" s="1" t="s">
        <v>298</v>
      </c>
      <c r="L799" s="1" t="s">
        <v>299</v>
      </c>
      <c r="M799" s="1" t="s">
        <v>300</v>
      </c>
      <c r="N799" s="1" t="s">
        <v>74</v>
      </c>
      <c r="O799" s="1" t="s">
        <v>73</v>
      </c>
      <c r="P799" s="1" t="s">
        <v>375</v>
      </c>
      <c r="Q799" s="1" t="s">
        <v>553</v>
      </c>
      <c r="R799" s="1" t="s">
        <v>554</v>
      </c>
      <c r="S799" s="1" t="s">
        <v>555</v>
      </c>
      <c r="T799" s="213" t="s">
        <v>556</v>
      </c>
      <c r="U799" s="213" t="s">
        <v>557</v>
      </c>
      <c r="V799" s="1" t="s">
        <v>75</v>
      </c>
      <c r="W799" s="1" t="s">
        <v>76</v>
      </c>
      <c r="X799" s="1" t="s">
        <v>77</v>
      </c>
      <c r="Y799" s="1" t="s">
        <v>480</v>
      </c>
      <c r="Z799" s="1" t="s">
        <v>80</v>
      </c>
      <c r="AA799" s="1" t="s">
        <v>481</v>
      </c>
      <c r="AB799" s="1" t="s">
        <v>28</v>
      </c>
      <c r="AC799" s="1" t="s">
        <v>78</v>
      </c>
      <c r="AD799" s="1" t="s">
        <v>79</v>
      </c>
      <c r="AE799" s="213" t="s">
        <v>82</v>
      </c>
      <c r="AF799" s="1" t="s">
        <v>81</v>
      </c>
      <c r="AG799" s="1" t="s">
        <v>102</v>
      </c>
      <c r="AH799" s="1" t="s">
        <v>103</v>
      </c>
      <c r="AI799" s="213" t="s">
        <v>452</v>
      </c>
      <c r="AJ799" s="213" t="s">
        <v>453</v>
      </c>
      <c r="AK799" s="213" t="s">
        <v>440</v>
      </c>
      <c r="AL799" s="1" t="s">
        <v>349</v>
      </c>
      <c r="AM799" s="1" t="s">
        <v>524</v>
      </c>
      <c r="AN799" s="213" t="s">
        <v>109</v>
      </c>
    </row>
    <row r="800" spans="1:43" x14ac:dyDescent="0.2">
      <c r="A800" t="s">
        <v>245</v>
      </c>
      <c r="V800" s="8"/>
      <c r="W800" s="8"/>
      <c r="X800" s="8"/>
      <c r="Y800" s="8"/>
    </row>
    <row r="801" spans="1:43" x14ac:dyDescent="0.2">
      <c r="A801" t="s">
        <v>996</v>
      </c>
      <c r="G801">
        <v>15</v>
      </c>
      <c r="H801">
        <v>15</v>
      </c>
      <c r="I801">
        <v>13</v>
      </c>
      <c r="J801">
        <v>30</v>
      </c>
      <c r="L801">
        <v>8</v>
      </c>
      <c r="M801">
        <v>24</v>
      </c>
      <c r="N801">
        <v>7</v>
      </c>
      <c r="V801" s="8">
        <v>0.02</v>
      </c>
      <c r="W801" s="8"/>
      <c r="X801" s="8"/>
      <c r="Y801" s="8"/>
      <c r="AB801">
        <v>30</v>
      </c>
    </row>
    <row r="802" spans="1:43" x14ac:dyDescent="0.2">
      <c r="A802" t="str">
        <f>Augments!A99</f>
        <v>Acro Leggings (DA)</v>
      </c>
      <c r="B802">
        <f t="shared" ref="B802:K805" ca="1" si="60">IF(ISBLANK($A802),0,VLOOKUP($A802,INDIRECT(CONCATENATE("Aug",$A$799)),MATCH(B$1,AugStatHeader,0),0)
+VLOOKUP(LEFT($A802,FIND(" (",$A802,1)-1),INDIRECT("BaseAugArmor"),MATCH(B$1,StatHeader,0),0))</f>
        <v>0</v>
      </c>
      <c r="C802">
        <f t="shared" ca="1" si="60"/>
        <v>0</v>
      </c>
      <c r="D802">
        <f t="shared" ca="1" si="60"/>
        <v>0</v>
      </c>
      <c r="E802">
        <f t="shared" ca="1" si="60"/>
        <v>0</v>
      </c>
      <c r="F802">
        <f t="shared" ca="1" si="60"/>
        <v>0</v>
      </c>
      <c r="G802">
        <f t="shared" ca="1" si="60"/>
        <v>22</v>
      </c>
      <c r="H802">
        <f t="shared" ca="1" si="60"/>
        <v>22</v>
      </c>
      <c r="I802">
        <f t="shared" ca="1" si="60"/>
        <v>13</v>
      </c>
      <c r="J802">
        <f t="shared" ca="1" si="60"/>
        <v>30</v>
      </c>
      <c r="K802">
        <f t="shared" ca="1" si="60"/>
        <v>0</v>
      </c>
      <c r="L802">
        <f t="shared" ref="L802:U805" ca="1" si="61">IF(ISBLANK($A802),0,VLOOKUP($A802,INDIRECT(CONCATENATE("Aug",$A$799)),MATCH(L$1,AugStatHeader,0),0)
+VLOOKUP(LEFT($A802,FIND(" (",$A802,1)-1),INDIRECT("BaseAugArmor"),MATCH(L$1,StatHeader,0),0))</f>
        <v>8</v>
      </c>
      <c r="M802">
        <f t="shared" ca="1" si="61"/>
        <v>24</v>
      </c>
      <c r="N802">
        <f t="shared" ca="1" si="61"/>
        <v>27</v>
      </c>
      <c r="O802">
        <f t="shared" ca="1" si="61"/>
        <v>20</v>
      </c>
      <c r="P802" s="8">
        <f t="shared" ca="1" si="61"/>
        <v>0</v>
      </c>
      <c r="Q802">
        <f t="shared" ca="1" si="61"/>
        <v>0</v>
      </c>
      <c r="R802">
        <f t="shared" ca="1" si="61"/>
        <v>0</v>
      </c>
      <c r="S802">
        <f t="shared" ca="1" si="61"/>
        <v>0</v>
      </c>
      <c r="T802">
        <f t="shared" ca="1" si="61"/>
        <v>0</v>
      </c>
      <c r="U802">
        <f t="shared" ca="1" si="61"/>
        <v>0</v>
      </c>
      <c r="V802" s="8">
        <f t="shared" ref="V802:AE805" ca="1" si="62">IF(ISBLANK($A802),0,VLOOKUP($A802,INDIRECT(CONCATENATE("Aug",$A$799)),MATCH(V$1,AugStatHeader,0),0)
+VLOOKUP(LEFT($A802,FIND(" (",$A802,1)-1),INDIRECT("BaseAugArmor"),MATCH(V$1,StatHeader,0),0))</f>
        <v>0.05</v>
      </c>
      <c r="W802" s="8">
        <f t="shared" ca="1" si="62"/>
        <v>0</v>
      </c>
      <c r="X802" s="8">
        <f t="shared" ca="1" si="62"/>
        <v>0</v>
      </c>
      <c r="Y802" s="8">
        <f t="shared" ca="1" si="62"/>
        <v>0</v>
      </c>
      <c r="Z802" s="8">
        <f t="shared" ca="1" si="62"/>
        <v>0</v>
      </c>
      <c r="AA802">
        <f t="shared" ca="1" si="62"/>
        <v>0</v>
      </c>
      <c r="AB802">
        <f t="shared" ca="1" si="62"/>
        <v>30</v>
      </c>
      <c r="AC802" s="8">
        <f t="shared" ca="1" si="62"/>
        <v>0</v>
      </c>
      <c r="AD802" s="8">
        <f t="shared" ca="1" si="62"/>
        <v>0</v>
      </c>
      <c r="AE802">
        <f t="shared" ca="1" si="62"/>
        <v>0</v>
      </c>
      <c r="AF802">
        <f t="shared" ref="AF802:AN805" ca="1" si="63">IF(ISBLANK($A802),0,VLOOKUP($A802,INDIRECT(CONCATENATE("Aug",$A$799)),MATCH(AF$1,AugStatHeader,0),0)
+VLOOKUP(LEFT($A802,FIND(" (",$A802,1)-1),INDIRECT("BaseAugArmor"),MATCH(AF$1,StatHeader,0),0))</f>
        <v>0</v>
      </c>
      <c r="AG802">
        <f t="shared" ca="1" si="63"/>
        <v>0</v>
      </c>
      <c r="AH802" s="8">
        <f t="shared" ca="1" si="63"/>
        <v>0</v>
      </c>
      <c r="AI802">
        <f t="shared" ca="1" si="63"/>
        <v>0</v>
      </c>
      <c r="AJ802">
        <f t="shared" ca="1" si="63"/>
        <v>0</v>
      </c>
      <c r="AK802">
        <f t="shared" ca="1" si="63"/>
        <v>0</v>
      </c>
      <c r="AL802">
        <f t="shared" ca="1" si="63"/>
        <v>0</v>
      </c>
      <c r="AM802" s="8">
        <f t="shared" ca="1" si="63"/>
        <v>0</v>
      </c>
      <c r="AN802">
        <f t="shared" ca="1" si="63"/>
        <v>0</v>
      </c>
      <c r="AQ802" s="8"/>
    </row>
    <row r="803" spans="1:43" x14ac:dyDescent="0.2">
      <c r="A803" t="str">
        <f>Augments!A100</f>
        <v>Acro Leggings (STP)</v>
      </c>
      <c r="B803">
        <f t="shared" ca="1" si="60"/>
        <v>0</v>
      </c>
      <c r="C803">
        <f t="shared" ca="1" si="60"/>
        <v>0</v>
      </c>
      <c r="D803">
        <f t="shared" ca="1" si="60"/>
        <v>0</v>
      </c>
      <c r="E803">
        <f t="shared" ca="1" si="60"/>
        <v>0</v>
      </c>
      <c r="F803">
        <f t="shared" ca="1" si="60"/>
        <v>0</v>
      </c>
      <c r="G803">
        <f t="shared" ca="1" si="60"/>
        <v>22</v>
      </c>
      <c r="H803">
        <f t="shared" ca="1" si="60"/>
        <v>22</v>
      </c>
      <c r="I803">
        <f t="shared" ca="1" si="60"/>
        <v>13</v>
      </c>
      <c r="J803">
        <f t="shared" ca="1" si="60"/>
        <v>30</v>
      </c>
      <c r="K803">
        <f t="shared" ca="1" si="60"/>
        <v>0</v>
      </c>
      <c r="L803">
        <f t="shared" ca="1" si="61"/>
        <v>8</v>
      </c>
      <c r="M803">
        <f t="shared" ca="1" si="61"/>
        <v>24</v>
      </c>
      <c r="N803">
        <f t="shared" ca="1" si="61"/>
        <v>27</v>
      </c>
      <c r="O803">
        <f t="shared" ca="1" si="61"/>
        <v>20</v>
      </c>
      <c r="P803" s="8">
        <f t="shared" ca="1" si="61"/>
        <v>0</v>
      </c>
      <c r="Q803">
        <f t="shared" ca="1" si="61"/>
        <v>0</v>
      </c>
      <c r="R803">
        <f t="shared" ca="1" si="61"/>
        <v>0</v>
      </c>
      <c r="S803">
        <f t="shared" ca="1" si="61"/>
        <v>0</v>
      </c>
      <c r="T803">
        <f t="shared" ca="1" si="61"/>
        <v>0</v>
      </c>
      <c r="U803">
        <f t="shared" ca="1" si="61"/>
        <v>0</v>
      </c>
      <c r="V803" s="8">
        <f t="shared" ca="1" si="62"/>
        <v>0.02</v>
      </c>
      <c r="W803" s="8">
        <f t="shared" ca="1" si="62"/>
        <v>0</v>
      </c>
      <c r="X803" s="8">
        <f t="shared" ca="1" si="62"/>
        <v>0</v>
      </c>
      <c r="Y803" s="8">
        <f t="shared" ca="1" si="62"/>
        <v>0</v>
      </c>
      <c r="Z803" s="8">
        <f t="shared" ca="1" si="62"/>
        <v>0</v>
      </c>
      <c r="AA803">
        <f t="shared" ca="1" si="62"/>
        <v>0</v>
      </c>
      <c r="AB803">
        <f t="shared" ca="1" si="62"/>
        <v>30</v>
      </c>
      <c r="AC803" s="8">
        <f t="shared" ca="1" si="62"/>
        <v>0</v>
      </c>
      <c r="AD803" s="8">
        <f t="shared" ca="1" si="62"/>
        <v>0</v>
      </c>
      <c r="AE803">
        <f t="shared" ca="1" si="62"/>
        <v>6</v>
      </c>
      <c r="AF803">
        <f t="shared" ca="1" si="63"/>
        <v>0</v>
      </c>
      <c r="AG803">
        <f t="shared" ca="1" si="63"/>
        <v>0</v>
      </c>
      <c r="AH803" s="8">
        <f t="shared" ca="1" si="63"/>
        <v>0</v>
      </c>
      <c r="AI803">
        <f t="shared" ca="1" si="63"/>
        <v>0</v>
      </c>
      <c r="AJ803">
        <f t="shared" ca="1" si="63"/>
        <v>0</v>
      </c>
      <c r="AK803">
        <f t="shared" ca="1" si="63"/>
        <v>0</v>
      </c>
      <c r="AL803">
        <f t="shared" ca="1" si="63"/>
        <v>0</v>
      </c>
      <c r="AM803" s="8">
        <f t="shared" ca="1" si="63"/>
        <v>0</v>
      </c>
      <c r="AN803">
        <f t="shared" ca="1" si="63"/>
        <v>0</v>
      </c>
      <c r="AQ803" s="8"/>
    </row>
    <row r="804" spans="1:43" x14ac:dyDescent="0.2">
      <c r="A804" t="str">
        <f>Augments!A101</f>
        <v>Acro Leggings (Custom 1)</v>
      </c>
      <c r="B804">
        <f t="shared" ca="1" si="60"/>
        <v>0</v>
      </c>
      <c r="C804">
        <f t="shared" ca="1" si="60"/>
        <v>0</v>
      </c>
      <c r="D804">
        <f t="shared" ca="1" si="60"/>
        <v>0</v>
      </c>
      <c r="E804">
        <f t="shared" ca="1" si="60"/>
        <v>0</v>
      </c>
      <c r="F804">
        <f t="shared" ca="1" si="60"/>
        <v>0</v>
      </c>
      <c r="G804">
        <f t="shared" ca="1" si="60"/>
        <v>15</v>
      </c>
      <c r="H804">
        <f t="shared" ca="1" si="60"/>
        <v>15</v>
      </c>
      <c r="I804">
        <f t="shared" ca="1" si="60"/>
        <v>13</v>
      </c>
      <c r="J804">
        <f t="shared" ca="1" si="60"/>
        <v>30</v>
      </c>
      <c r="K804">
        <f t="shared" ca="1" si="60"/>
        <v>0</v>
      </c>
      <c r="L804">
        <f t="shared" ca="1" si="61"/>
        <v>8</v>
      </c>
      <c r="M804">
        <f t="shared" ca="1" si="61"/>
        <v>24</v>
      </c>
      <c r="N804">
        <f t="shared" ca="1" si="61"/>
        <v>7</v>
      </c>
      <c r="O804">
        <f t="shared" ca="1" si="61"/>
        <v>0</v>
      </c>
      <c r="P804" s="8">
        <f t="shared" ca="1" si="61"/>
        <v>0</v>
      </c>
      <c r="Q804">
        <f t="shared" ca="1" si="61"/>
        <v>0</v>
      </c>
      <c r="R804">
        <f t="shared" ca="1" si="61"/>
        <v>0</v>
      </c>
      <c r="S804">
        <f t="shared" ca="1" si="61"/>
        <v>0</v>
      </c>
      <c r="T804">
        <f t="shared" ca="1" si="61"/>
        <v>0</v>
      </c>
      <c r="U804">
        <f t="shared" ca="1" si="61"/>
        <v>0</v>
      </c>
      <c r="V804" s="8">
        <f t="shared" ca="1" si="62"/>
        <v>0.02</v>
      </c>
      <c r="W804" s="8">
        <f t="shared" ca="1" si="62"/>
        <v>0</v>
      </c>
      <c r="X804" s="8">
        <f t="shared" ca="1" si="62"/>
        <v>0</v>
      </c>
      <c r="Y804" s="8">
        <f t="shared" ca="1" si="62"/>
        <v>0</v>
      </c>
      <c r="Z804" s="8">
        <f t="shared" ca="1" si="62"/>
        <v>0</v>
      </c>
      <c r="AA804">
        <f t="shared" ca="1" si="62"/>
        <v>0</v>
      </c>
      <c r="AB804">
        <f t="shared" ca="1" si="62"/>
        <v>30</v>
      </c>
      <c r="AC804" s="8">
        <f t="shared" ca="1" si="62"/>
        <v>0</v>
      </c>
      <c r="AD804" s="8">
        <f t="shared" ca="1" si="62"/>
        <v>0</v>
      </c>
      <c r="AE804">
        <f t="shared" ca="1" si="62"/>
        <v>0</v>
      </c>
      <c r="AF804">
        <f t="shared" ca="1" si="63"/>
        <v>0</v>
      </c>
      <c r="AG804">
        <f t="shared" ca="1" si="63"/>
        <v>0</v>
      </c>
      <c r="AH804" s="8">
        <f t="shared" ca="1" si="63"/>
        <v>0</v>
      </c>
      <c r="AI804">
        <f t="shared" ca="1" si="63"/>
        <v>0</v>
      </c>
      <c r="AJ804">
        <f t="shared" ca="1" si="63"/>
        <v>0</v>
      </c>
      <c r="AK804">
        <f t="shared" ca="1" si="63"/>
        <v>0</v>
      </c>
      <c r="AL804">
        <f t="shared" ca="1" si="63"/>
        <v>0</v>
      </c>
      <c r="AM804" s="8">
        <f t="shared" ca="1" si="63"/>
        <v>0</v>
      </c>
      <c r="AN804">
        <f t="shared" ca="1" si="63"/>
        <v>0</v>
      </c>
      <c r="AQ804" s="8"/>
    </row>
    <row r="805" spans="1:43" x14ac:dyDescent="0.2">
      <c r="A805" t="str">
        <f>Augments!A102</f>
        <v>Acro Leggings (Custom 2)</v>
      </c>
      <c r="B805">
        <f t="shared" ca="1" si="60"/>
        <v>0</v>
      </c>
      <c r="C805">
        <f t="shared" ca="1" si="60"/>
        <v>0</v>
      </c>
      <c r="D805">
        <f t="shared" ca="1" si="60"/>
        <v>0</v>
      </c>
      <c r="E805">
        <f t="shared" ca="1" si="60"/>
        <v>0</v>
      </c>
      <c r="F805">
        <f t="shared" ca="1" si="60"/>
        <v>0</v>
      </c>
      <c r="G805">
        <f t="shared" ca="1" si="60"/>
        <v>15</v>
      </c>
      <c r="H805">
        <f t="shared" ca="1" si="60"/>
        <v>15</v>
      </c>
      <c r="I805">
        <f t="shared" ca="1" si="60"/>
        <v>13</v>
      </c>
      <c r="J805">
        <f t="shared" ca="1" si="60"/>
        <v>30</v>
      </c>
      <c r="K805">
        <f t="shared" ca="1" si="60"/>
        <v>0</v>
      </c>
      <c r="L805">
        <f t="shared" ca="1" si="61"/>
        <v>8</v>
      </c>
      <c r="M805">
        <f t="shared" ca="1" si="61"/>
        <v>24</v>
      </c>
      <c r="N805">
        <f t="shared" ca="1" si="61"/>
        <v>7</v>
      </c>
      <c r="O805">
        <f t="shared" ca="1" si="61"/>
        <v>0</v>
      </c>
      <c r="P805" s="8">
        <f t="shared" ca="1" si="61"/>
        <v>0</v>
      </c>
      <c r="Q805">
        <f t="shared" ca="1" si="61"/>
        <v>0</v>
      </c>
      <c r="R805">
        <f t="shared" ca="1" si="61"/>
        <v>0</v>
      </c>
      <c r="S805">
        <f t="shared" ca="1" si="61"/>
        <v>0</v>
      </c>
      <c r="T805">
        <f t="shared" ca="1" si="61"/>
        <v>0</v>
      </c>
      <c r="U805">
        <f t="shared" ca="1" si="61"/>
        <v>0</v>
      </c>
      <c r="V805" s="8">
        <f t="shared" ca="1" si="62"/>
        <v>0.02</v>
      </c>
      <c r="W805" s="8">
        <f t="shared" ca="1" si="62"/>
        <v>0</v>
      </c>
      <c r="X805" s="8">
        <f t="shared" ca="1" si="62"/>
        <v>0</v>
      </c>
      <c r="Y805" s="8">
        <f t="shared" ca="1" si="62"/>
        <v>0</v>
      </c>
      <c r="Z805" s="8">
        <f t="shared" ca="1" si="62"/>
        <v>0</v>
      </c>
      <c r="AA805">
        <f t="shared" ca="1" si="62"/>
        <v>0</v>
      </c>
      <c r="AB805">
        <f t="shared" ca="1" si="62"/>
        <v>30</v>
      </c>
      <c r="AC805" s="8">
        <f t="shared" ca="1" si="62"/>
        <v>0</v>
      </c>
      <c r="AD805" s="8">
        <f t="shared" ca="1" si="62"/>
        <v>0</v>
      </c>
      <c r="AE805">
        <f t="shared" ca="1" si="62"/>
        <v>0</v>
      </c>
      <c r="AF805">
        <f t="shared" ca="1" si="63"/>
        <v>0</v>
      </c>
      <c r="AG805">
        <f t="shared" ca="1" si="63"/>
        <v>0</v>
      </c>
      <c r="AH805" s="8">
        <f t="shared" ca="1" si="63"/>
        <v>0</v>
      </c>
      <c r="AI805">
        <f t="shared" ca="1" si="63"/>
        <v>0</v>
      </c>
      <c r="AJ805">
        <f t="shared" ca="1" si="63"/>
        <v>0</v>
      </c>
      <c r="AK805">
        <f t="shared" ca="1" si="63"/>
        <v>0</v>
      </c>
      <c r="AL805">
        <f t="shared" ca="1" si="63"/>
        <v>0</v>
      </c>
      <c r="AM805" s="8">
        <f t="shared" ca="1" si="63"/>
        <v>0</v>
      </c>
      <c r="AN805">
        <f t="shared" ca="1" si="63"/>
        <v>0</v>
      </c>
      <c r="AQ805" s="8"/>
    </row>
    <row r="806" spans="1:43" x14ac:dyDescent="0.2">
      <c r="A806" t="s">
        <v>970</v>
      </c>
      <c r="G806">
        <v>8</v>
      </c>
      <c r="H806">
        <v>17</v>
      </c>
      <c r="I806">
        <v>8</v>
      </c>
      <c r="J806">
        <v>34</v>
      </c>
      <c r="L806">
        <v>8</v>
      </c>
      <c r="M806">
        <v>22</v>
      </c>
      <c r="Q806">
        <v>10</v>
      </c>
      <c r="V806" s="8"/>
      <c r="W806" s="8"/>
      <c r="X806" s="8"/>
      <c r="Y806" s="8"/>
      <c r="Z806" s="8"/>
      <c r="AB806" s="4">
        <v>40</v>
      </c>
      <c r="AC806" s="8"/>
      <c r="AD806" s="8"/>
      <c r="AF806" s="8"/>
      <c r="AG806" s="8"/>
      <c r="AH806" s="8"/>
      <c r="AL806" s="8"/>
      <c r="AM806" s="8"/>
    </row>
    <row r="807" spans="1:43" x14ac:dyDescent="0.2">
      <c r="A807" s="144" t="s">
        <v>971</v>
      </c>
      <c r="G807">
        <v>10</v>
      </c>
      <c r="H807">
        <v>20</v>
      </c>
      <c r="I807">
        <v>10</v>
      </c>
      <c r="J807">
        <v>38</v>
      </c>
      <c r="L807">
        <v>10</v>
      </c>
      <c r="M807">
        <v>25</v>
      </c>
      <c r="Q807">
        <v>11</v>
      </c>
      <c r="V807" s="8"/>
      <c r="W807" s="8"/>
      <c r="X807" s="8"/>
      <c r="Y807" s="8"/>
      <c r="Z807" s="8"/>
      <c r="AA807" s="8"/>
      <c r="AB807" s="4">
        <v>40</v>
      </c>
      <c r="AC807" s="8"/>
      <c r="AD807" s="8"/>
      <c r="AF807" s="8"/>
      <c r="AG807" s="8"/>
      <c r="AH807" s="8"/>
      <c r="AL807" s="4"/>
      <c r="AM807" s="8"/>
    </row>
    <row r="808" spans="1:43" x14ac:dyDescent="0.2">
      <c r="A808" s="3" t="s">
        <v>995</v>
      </c>
      <c r="G808">
        <v>15</v>
      </c>
      <c r="H808">
        <v>17</v>
      </c>
      <c r="I808">
        <v>21</v>
      </c>
      <c r="J808">
        <v>32</v>
      </c>
      <c r="L808">
        <v>10</v>
      </c>
      <c r="M808">
        <v>26</v>
      </c>
      <c r="V808" s="8">
        <v>0.03</v>
      </c>
      <c r="W808" s="8"/>
      <c r="X808" s="8"/>
      <c r="Y808" s="8"/>
      <c r="Z808" s="8"/>
      <c r="AA808" s="8"/>
      <c r="AB808" s="4">
        <v>30</v>
      </c>
      <c r="AC808" s="8"/>
      <c r="AD808" s="8"/>
      <c r="AF808" s="8"/>
      <c r="AG808" s="8"/>
      <c r="AH808" s="8"/>
      <c r="AL808" s="4"/>
      <c r="AM808" s="8"/>
    </row>
    <row r="809" spans="1:43" x14ac:dyDescent="0.2">
      <c r="A809" s="3" t="s">
        <v>997</v>
      </c>
      <c r="G809">
        <v>15</v>
      </c>
      <c r="H809">
        <v>17</v>
      </c>
      <c r="I809">
        <v>31</v>
      </c>
      <c r="J809">
        <v>32</v>
      </c>
      <c r="L809">
        <v>10</v>
      </c>
      <c r="M809">
        <v>26</v>
      </c>
      <c r="N809">
        <v>15</v>
      </c>
      <c r="V809" s="8">
        <v>0.03</v>
      </c>
      <c r="W809" s="8"/>
      <c r="X809" s="8"/>
      <c r="Y809" s="8"/>
      <c r="Z809" s="8"/>
      <c r="AA809" s="8"/>
      <c r="AB809" s="4">
        <v>30</v>
      </c>
      <c r="AC809" s="8"/>
      <c r="AD809" s="8"/>
      <c r="AF809" s="8"/>
      <c r="AG809" s="8"/>
      <c r="AH809" s="8"/>
      <c r="AL809" s="4"/>
      <c r="AM809" s="8"/>
    </row>
    <row r="810" spans="1:43" x14ac:dyDescent="0.2">
      <c r="A810" s="3" t="s">
        <v>1882</v>
      </c>
      <c r="G810">
        <v>21</v>
      </c>
      <c r="H810">
        <v>20</v>
      </c>
      <c r="I810">
        <v>26</v>
      </c>
      <c r="J810">
        <v>33</v>
      </c>
      <c r="L810">
        <v>19</v>
      </c>
      <c r="M810">
        <v>31</v>
      </c>
      <c r="N810">
        <v>38</v>
      </c>
      <c r="V810" s="8"/>
      <c r="W810" s="8"/>
      <c r="X810" s="8"/>
      <c r="Y810" s="8"/>
      <c r="Z810" s="8"/>
      <c r="AA810" s="8"/>
      <c r="AB810" s="4">
        <v>30</v>
      </c>
      <c r="AC810" s="8"/>
      <c r="AD810" s="8"/>
      <c r="AF810" s="8"/>
      <c r="AG810" s="8"/>
      <c r="AH810" s="8"/>
      <c r="AL810" s="4"/>
      <c r="AM810" s="8"/>
    </row>
    <row r="811" spans="1:43" x14ac:dyDescent="0.2">
      <c r="A811" s="3" t="s">
        <v>1883</v>
      </c>
      <c r="G811">
        <v>26</v>
      </c>
      <c r="H811">
        <v>20</v>
      </c>
      <c r="I811">
        <v>31</v>
      </c>
      <c r="J811">
        <v>33</v>
      </c>
      <c r="L811">
        <v>19</v>
      </c>
      <c r="M811">
        <v>31</v>
      </c>
      <c r="N811">
        <v>48</v>
      </c>
      <c r="V811" s="8"/>
      <c r="W811" s="8"/>
      <c r="X811" s="8"/>
      <c r="Y811" s="8"/>
      <c r="Z811" s="8"/>
      <c r="AA811" s="8"/>
      <c r="AB811" s="4">
        <v>30</v>
      </c>
      <c r="AC811" s="8"/>
      <c r="AD811" s="8"/>
      <c r="AF811" s="8"/>
      <c r="AG811" s="8"/>
      <c r="AH811" s="8"/>
      <c r="AL811" s="4"/>
      <c r="AM811" s="8"/>
    </row>
    <row r="812" spans="1:43" x14ac:dyDescent="0.2">
      <c r="A812" t="s">
        <v>1008</v>
      </c>
      <c r="G812">
        <v>24</v>
      </c>
      <c r="H812">
        <v>16</v>
      </c>
      <c r="I812">
        <v>15</v>
      </c>
      <c r="J812">
        <v>33</v>
      </c>
      <c r="K812">
        <v>10</v>
      </c>
      <c r="L812">
        <v>11</v>
      </c>
      <c r="M812">
        <v>28</v>
      </c>
      <c r="V812" s="8">
        <v>0.03</v>
      </c>
      <c r="W812" s="8"/>
      <c r="X812" s="8"/>
      <c r="Y812" s="8"/>
      <c r="AB812">
        <v>40</v>
      </c>
      <c r="AE812" s="4">
        <v>7</v>
      </c>
    </row>
    <row r="813" spans="1:43" x14ac:dyDescent="0.2">
      <c r="A813" t="s">
        <v>1009</v>
      </c>
      <c r="G813">
        <v>14</v>
      </c>
      <c r="H813">
        <v>26</v>
      </c>
      <c r="I813">
        <v>15</v>
      </c>
      <c r="J813">
        <v>33</v>
      </c>
      <c r="L813">
        <v>26</v>
      </c>
      <c r="M813">
        <v>28</v>
      </c>
      <c r="N813">
        <v>10</v>
      </c>
      <c r="V813" s="8">
        <v>0.03</v>
      </c>
      <c r="W813" s="8"/>
      <c r="X813" s="8"/>
      <c r="Y813" s="8"/>
      <c r="AB813">
        <v>40</v>
      </c>
      <c r="AE813" s="4">
        <v>7</v>
      </c>
    </row>
    <row r="814" spans="1:43" x14ac:dyDescent="0.2">
      <c r="A814" t="s">
        <v>1010</v>
      </c>
      <c r="G814">
        <v>14</v>
      </c>
      <c r="H814">
        <v>16</v>
      </c>
      <c r="I814">
        <v>15</v>
      </c>
      <c r="J814">
        <v>33</v>
      </c>
      <c r="K814">
        <v>10</v>
      </c>
      <c r="L814">
        <v>21</v>
      </c>
      <c r="M814">
        <v>28</v>
      </c>
      <c r="V814" s="8">
        <v>0.03</v>
      </c>
      <c r="W814" s="8"/>
      <c r="X814" s="8"/>
      <c r="Y814" s="8"/>
      <c r="AB814">
        <v>40</v>
      </c>
      <c r="AE814" s="4">
        <v>7</v>
      </c>
    </row>
    <row r="815" spans="1:43" x14ac:dyDescent="0.2">
      <c r="A815" t="s">
        <v>1011</v>
      </c>
      <c r="G815">
        <v>14</v>
      </c>
      <c r="H815">
        <v>16</v>
      </c>
      <c r="I815">
        <v>15</v>
      </c>
      <c r="J815">
        <v>33</v>
      </c>
      <c r="L815">
        <v>11</v>
      </c>
      <c r="M815">
        <v>28</v>
      </c>
      <c r="V815" s="8">
        <v>0.03</v>
      </c>
      <c r="W815" s="8"/>
      <c r="X815" s="8"/>
      <c r="Y815" s="8"/>
      <c r="AB815">
        <v>40</v>
      </c>
      <c r="AE815" s="4">
        <v>7</v>
      </c>
    </row>
    <row r="816" spans="1:43" x14ac:dyDescent="0.2">
      <c r="A816" t="s">
        <v>1012</v>
      </c>
      <c r="G816">
        <v>26</v>
      </c>
      <c r="H816">
        <v>16</v>
      </c>
      <c r="I816">
        <v>15</v>
      </c>
      <c r="J816">
        <v>33</v>
      </c>
      <c r="K816">
        <v>12</v>
      </c>
      <c r="L816">
        <v>11</v>
      </c>
      <c r="M816">
        <v>28</v>
      </c>
      <c r="V816" s="8">
        <v>0.04</v>
      </c>
      <c r="W816" s="8"/>
      <c r="X816" s="8"/>
      <c r="Y816" s="8"/>
      <c r="AB816">
        <v>40</v>
      </c>
      <c r="AE816" s="4">
        <v>8</v>
      </c>
    </row>
    <row r="817" spans="1:40" x14ac:dyDescent="0.2">
      <c r="A817" t="s">
        <v>1013</v>
      </c>
      <c r="G817">
        <v>14</v>
      </c>
      <c r="H817">
        <v>28</v>
      </c>
      <c r="I817">
        <v>15</v>
      </c>
      <c r="J817">
        <v>33</v>
      </c>
      <c r="L817">
        <v>31</v>
      </c>
      <c r="M817">
        <v>28</v>
      </c>
      <c r="N817">
        <v>12</v>
      </c>
      <c r="V817" s="8">
        <v>0.04</v>
      </c>
      <c r="W817" s="8"/>
      <c r="X817" s="8"/>
      <c r="Y817" s="8"/>
      <c r="AB817">
        <v>40</v>
      </c>
      <c r="AE817" s="4">
        <v>8</v>
      </c>
    </row>
    <row r="818" spans="1:40" x14ac:dyDescent="0.2">
      <c r="A818" t="s">
        <v>1014</v>
      </c>
      <c r="G818">
        <v>14</v>
      </c>
      <c r="H818">
        <v>16</v>
      </c>
      <c r="I818">
        <v>15</v>
      </c>
      <c r="J818">
        <v>33</v>
      </c>
      <c r="K818">
        <v>12</v>
      </c>
      <c r="L818">
        <v>23</v>
      </c>
      <c r="M818">
        <v>28</v>
      </c>
      <c r="V818" s="8">
        <v>0.04</v>
      </c>
      <c r="W818" s="8"/>
      <c r="X818" s="8"/>
      <c r="Y818" s="8"/>
      <c r="AB818">
        <v>40</v>
      </c>
      <c r="AE818" s="4">
        <v>8</v>
      </c>
    </row>
    <row r="819" spans="1:40" x14ac:dyDescent="0.2">
      <c r="A819" t="s">
        <v>1015</v>
      </c>
      <c r="G819">
        <v>14</v>
      </c>
      <c r="H819">
        <v>16</v>
      </c>
      <c r="I819">
        <v>15</v>
      </c>
      <c r="J819">
        <v>33</v>
      </c>
      <c r="L819">
        <v>11</v>
      </c>
      <c r="M819">
        <v>28</v>
      </c>
      <c r="V819" s="8">
        <v>0.04</v>
      </c>
      <c r="W819" s="8"/>
      <c r="X819" s="8"/>
      <c r="Y819" s="8"/>
      <c r="AB819">
        <v>40</v>
      </c>
      <c r="AE819" s="4">
        <v>8</v>
      </c>
    </row>
    <row r="820" spans="1:40" x14ac:dyDescent="0.2">
      <c r="A820" t="s">
        <v>998</v>
      </c>
      <c r="G820">
        <v>14</v>
      </c>
      <c r="H820">
        <v>10</v>
      </c>
      <c r="I820">
        <v>15</v>
      </c>
      <c r="J820">
        <v>27</v>
      </c>
      <c r="L820">
        <v>8</v>
      </c>
      <c r="M820">
        <v>24</v>
      </c>
      <c r="N820">
        <v>8</v>
      </c>
      <c r="V820" s="8"/>
      <c r="W820" s="8"/>
      <c r="X820" s="8"/>
      <c r="Y820" s="8"/>
      <c r="AB820">
        <v>51</v>
      </c>
      <c r="AM820" s="8"/>
    </row>
    <row r="821" spans="1:40" x14ac:dyDescent="0.2">
      <c r="A821" t="s">
        <v>972</v>
      </c>
      <c r="G821">
        <v>16</v>
      </c>
      <c r="H821">
        <v>19</v>
      </c>
      <c r="I821">
        <v>16</v>
      </c>
      <c r="J821">
        <v>25</v>
      </c>
      <c r="L821">
        <v>5</v>
      </c>
      <c r="M821">
        <v>19</v>
      </c>
      <c r="N821">
        <v>20</v>
      </c>
      <c r="O821">
        <v>30</v>
      </c>
      <c r="V821" s="8"/>
      <c r="W821" s="8"/>
      <c r="X821" s="8"/>
      <c r="Y821" s="8"/>
      <c r="AB821">
        <v>30</v>
      </c>
    </row>
    <row r="822" spans="1:40" x14ac:dyDescent="0.2">
      <c r="A822" s="3" t="s">
        <v>1004</v>
      </c>
      <c r="G822">
        <v>19</v>
      </c>
      <c r="H822">
        <v>16</v>
      </c>
      <c r="I822">
        <v>25</v>
      </c>
      <c r="J822">
        <v>33</v>
      </c>
      <c r="L822">
        <v>11</v>
      </c>
      <c r="M822">
        <v>28</v>
      </c>
      <c r="N822">
        <v>17</v>
      </c>
      <c r="Q822">
        <v>17</v>
      </c>
      <c r="V822" s="8">
        <v>0.02</v>
      </c>
      <c r="W822" s="8"/>
      <c r="X822" s="8"/>
      <c r="Y822" s="8"/>
      <c r="Z822" s="8"/>
      <c r="AA822" s="8"/>
      <c r="AB822" s="4">
        <v>40</v>
      </c>
      <c r="AC822" s="8"/>
      <c r="AD822" s="8"/>
      <c r="AE822"/>
      <c r="AF822" s="8"/>
      <c r="AG822" s="8"/>
      <c r="AH822" s="8"/>
      <c r="AL822" s="8"/>
      <c r="AM822" s="8"/>
    </row>
    <row r="823" spans="1:40" x14ac:dyDescent="0.2">
      <c r="A823" s="3" t="s">
        <v>1005</v>
      </c>
      <c r="G823">
        <v>31</v>
      </c>
      <c r="H823">
        <v>16</v>
      </c>
      <c r="I823">
        <v>22</v>
      </c>
      <c r="J823">
        <v>33</v>
      </c>
      <c r="L823">
        <v>11</v>
      </c>
      <c r="M823">
        <v>28</v>
      </c>
      <c r="N823">
        <v>17</v>
      </c>
      <c r="Q823">
        <v>17</v>
      </c>
      <c r="V823" s="8">
        <v>0.02</v>
      </c>
      <c r="W823" s="8"/>
      <c r="X823" s="8"/>
      <c r="Y823" s="8"/>
      <c r="Z823" s="8"/>
      <c r="AA823" s="8"/>
      <c r="AB823" s="4">
        <v>60</v>
      </c>
      <c r="AC823" s="8"/>
      <c r="AD823" s="8"/>
      <c r="AE823"/>
      <c r="AF823" s="8"/>
      <c r="AG823" s="8"/>
      <c r="AH823" s="8"/>
      <c r="AL823" s="8"/>
      <c r="AM823" s="8"/>
    </row>
    <row r="824" spans="1:40" x14ac:dyDescent="0.2">
      <c r="A824" s="3" t="s">
        <v>1006</v>
      </c>
      <c r="G824">
        <v>19</v>
      </c>
      <c r="H824">
        <v>16</v>
      </c>
      <c r="I824">
        <v>15</v>
      </c>
      <c r="J824">
        <v>33</v>
      </c>
      <c r="L824">
        <v>11</v>
      </c>
      <c r="M824">
        <v>28</v>
      </c>
      <c r="N824">
        <v>27</v>
      </c>
      <c r="Q824">
        <v>17</v>
      </c>
      <c r="V824" s="8">
        <v>0.02</v>
      </c>
      <c r="W824" s="8"/>
      <c r="X824" s="8"/>
      <c r="Y824" s="8"/>
      <c r="Z824" s="8"/>
      <c r="AA824" s="8"/>
      <c r="AB824" s="4">
        <v>40</v>
      </c>
      <c r="AC824" s="8"/>
      <c r="AD824" s="8"/>
      <c r="AE824"/>
      <c r="AF824" s="8"/>
      <c r="AG824" s="8"/>
      <c r="AH824" s="8"/>
      <c r="AL824" s="8"/>
      <c r="AM824" s="8"/>
    </row>
    <row r="825" spans="1:40" x14ac:dyDescent="0.2">
      <c r="A825" s="3" t="s">
        <v>1007</v>
      </c>
      <c r="G825">
        <v>26</v>
      </c>
      <c r="H825">
        <v>26</v>
      </c>
      <c r="I825">
        <v>15</v>
      </c>
      <c r="J825">
        <v>33</v>
      </c>
      <c r="L825">
        <v>11</v>
      </c>
      <c r="M825">
        <v>28</v>
      </c>
      <c r="N825">
        <v>17</v>
      </c>
      <c r="Q825">
        <v>17</v>
      </c>
      <c r="V825" s="8">
        <v>0.02</v>
      </c>
      <c r="W825" s="8"/>
      <c r="X825" s="8"/>
      <c r="Y825" s="8"/>
      <c r="Z825" s="8"/>
      <c r="AA825" s="8"/>
      <c r="AB825" s="4">
        <v>40</v>
      </c>
      <c r="AC825" s="8"/>
      <c r="AD825" s="8"/>
      <c r="AE825"/>
      <c r="AF825" s="8"/>
      <c r="AG825" s="8"/>
      <c r="AH825" s="8"/>
      <c r="AL825" s="8"/>
      <c r="AM825" s="8"/>
    </row>
    <row r="826" spans="1:40" x14ac:dyDescent="0.2">
      <c r="A826" t="s">
        <v>999</v>
      </c>
      <c r="G826">
        <v>13</v>
      </c>
      <c r="H826">
        <v>15</v>
      </c>
      <c r="I826">
        <v>13</v>
      </c>
      <c r="J826">
        <v>27</v>
      </c>
      <c r="L826">
        <v>8</v>
      </c>
      <c r="M826">
        <v>23</v>
      </c>
      <c r="N826">
        <v>12</v>
      </c>
      <c r="V826" s="8"/>
      <c r="W826" s="8">
        <v>0.01</v>
      </c>
      <c r="X826" s="8"/>
      <c r="Y826" s="8"/>
      <c r="AB826">
        <v>51</v>
      </c>
    </row>
    <row r="827" spans="1:40" x14ac:dyDescent="0.2">
      <c r="A827" s="3" t="s">
        <v>1016</v>
      </c>
      <c r="G827">
        <v>27</v>
      </c>
      <c r="H827">
        <v>23</v>
      </c>
      <c r="I827">
        <v>12</v>
      </c>
      <c r="J827">
        <v>38</v>
      </c>
      <c r="L827">
        <v>16</v>
      </c>
      <c r="M827">
        <v>32</v>
      </c>
      <c r="N827">
        <v>23</v>
      </c>
      <c r="O827">
        <v>38</v>
      </c>
      <c r="V827" s="8"/>
      <c r="W827" s="8"/>
      <c r="X827" s="8"/>
      <c r="Y827" s="8"/>
      <c r="AB827">
        <v>30</v>
      </c>
      <c r="AL827" s="4"/>
      <c r="AN827"/>
    </row>
    <row r="828" spans="1:40" x14ac:dyDescent="0.2">
      <c r="A828" s="3" t="s">
        <v>1017</v>
      </c>
      <c r="G828">
        <v>17</v>
      </c>
      <c r="H828">
        <v>33</v>
      </c>
      <c r="I828">
        <v>12</v>
      </c>
      <c r="J828">
        <v>38</v>
      </c>
      <c r="L828">
        <v>16</v>
      </c>
      <c r="M828">
        <v>32</v>
      </c>
      <c r="N828">
        <v>38</v>
      </c>
      <c r="O828">
        <v>23</v>
      </c>
      <c r="V828" s="8"/>
      <c r="W828" s="8"/>
      <c r="X828" s="8"/>
      <c r="Y828" s="8"/>
      <c r="AB828">
        <v>30</v>
      </c>
      <c r="AL828" s="4"/>
      <c r="AN828"/>
    </row>
    <row r="829" spans="1:40" x14ac:dyDescent="0.2">
      <c r="A829" s="3" t="s">
        <v>1018</v>
      </c>
      <c r="G829">
        <v>17</v>
      </c>
      <c r="H829">
        <v>23</v>
      </c>
      <c r="I829">
        <v>12</v>
      </c>
      <c r="J829">
        <v>38</v>
      </c>
      <c r="L829">
        <v>16</v>
      </c>
      <c r="M829">
        <v>32</v>
      </c>
      <c r="N829">
        <v>23</v>
      </c>
      <c r="O829">
        <v>23</v>
      </c>
      <c r="V829" s="8"/>
      <c r="W829" s="8"/>
      <c r="X829" s="8"/>
      <c r="Y829" s="8"/>
      <c r="AB829">
        <v>30</v>
      </c>
      <c r="AL829" s="4"/>
      <c r="AN829"/>
    </row>
    <row r="830" spans="1:40" x14ac:dyDescent="0.2">
      <c r="A830" s="3" t="s">
        <v>1019</v>
      </c>
      <c r="G830">
        <v>17</v>
      </c>
      <c r="H830">
        <v>23</v>
      </c>
      <c r="I830">
        <v>12</v>
      </c>
      <c r="J830">
        <v>38</v>
      </c>
      <c r="L830">
        <v>16</v>
      </c>
      <c r="M830">
        <v>32</v>
      </c>
      <c r="N830">
        <v>23</v>
      </c>
      <c r="O830">
        <v>43</v>
      </c>
      <c r="V830" s="8"/>
      <c r="W830" s="8"/>
      <c r="X830" s="8"/>
      <c r="Y830" s="8"/>
      <c r="AB830">
        <v>30</v>
      </c>
      <c r="AL830" s="4"/>
      <c r="AN830"/>
    </row>
    <row r="831" spans="1:40" x14ac:dyDescent="0.2">
      <c r="A831" t="s">
        <v>1020</v>
      </c>
      <c r="G831">
        <v>29</v>
      </c>
      <c r="H831">
        <v>23</v>
      </c>
      <c r="I831">
        <v>12</v>
      </c>
      <c r="J831">
        <v>38</v>
      </c>
      <c r="L831">
        <v>16</v>
      </c>
      <c r="M831">
        <v>32</v>
      </c>
      <c r="N831">
        <v>33</v>
      </c>
      <c r="O831">
        <v>53</v>
      </c>
      <c r="V831" s="8"/>
      <c r="W831" s="8"/>
      <c r="X831" s="8"/>
      <c r="Y831" s="8"/>
      <c r="Z831" s="8"/>
      <c r="AB831" s="4">
        <v>30</v>
      </c>
      <c r="AC831" s="8"/>
      <c r="AD831" s="8"/>
      <c r="AF831" s="8"/>
      <c r="AG831" s="8"/>
      <c r="AH831" s="8"/>
      <c r="AL831" s="8"/>
      <c r="AM831" s="8"/>
    </row>
    <row r="832" spans="1:40" x14ac:dyDescent="0.2">
      <c r="A832" t="s">
        <v>1021</v>
      </c>
      <c r="G832">
        <v>17</v>
      </c>
      <c r="H832">
        <v>35</v>
      </c>
      <c r="I832">
        <v>12</v>
      </c>
      <c r="J832">
        <v>38</v>
      </c>
      <c r="L832">
        <v>16</v>
      </c>
      <c r="M832">
        <v>32</v>
      </c>
      <c r="N832">
        <v>53</v>
      </c>
      <c r="O832">
        <v>33</v>
      </c>
      <c r="V832" s="8"/>
      <c r="W832" s="8"/>
      <c r="X832" s="8"/>
      <c r="Y832" s="8"/>
      <c r="Z832" s="8"/>
      <c r="AB832" s="4">
        <v>30</v>
      </c>
      <c r="AC832" s="8"/>
      <c r="AD832" s="8"/>
      <c r="AF832" s="8"/>
      <c r="AG832" s="8"/>
      <c r="AH832" s="8"/>
      <c r="AL832" s="8"/>
      <c r="AM832" s="8"/>
    </row>
    <row r="833" spans="1:40" x14ac:dyDescent="0.2">
      <c r="A833" t="s">
        <v>1022</v>
      </c>
      <c r="G833">
        <v>17</v>
      </c>
      <c r="H833">
        <v>23</v>
      </c>
      <c r="I833">
        <v>12</v>
      </c>
      <c r="J833">
        <v>38</v>
      </c>
      <c r="L833">
        <v>16</v>
      </c>
      <c r="M833">
        <v>32</v>
      </c>
      <c r="N833">
        <v>33</v>
      </c>
      <c r="O833">
        <v>33</v>
      </c>
      <c r="V833" s="8"/>
      <c r="W833" s="8"/>
      <c r="X833" s="8"/>
      <c r="Y833" s="8"/>
      <c r="Z833" s="8"/>
      <c r="AB833" s="4">
        <v>30</v>
      </c>
      <c r="AC833" s="8"/>
      <c r="AD833" s="8"/>
      <c r="AF833" s="8"/>
      <c r="AG833" s="8"/>
      <c r="AH833" s="8"/>
      <c r="AL833" s="8"/>
      <c r="AM833" s="8"/>
    </row>
    <row r="834" spans="1:40" x14ac:dyDescent="0.2">
      <c r="A834" t="s">
        <v>1023</v>
      </c>
      <c r="G834">
        <v>17</v>
      </c>
      <c r="H834">
        <v>23</v>
      </c>
      <c r="I834">
        <v>12</v>
      </c>
      <c r="J834">
        <v>38</v>
      </c>
      <c r="L834">
        <v>16</v>
      </c>
      <c r="M834">
        <v>32</v>
      </c>
      <c r="N834">
        <v>33</v>
      </c>
      <c r="O834">
        <v>58</v>
      </c>
      <c r="V834" s="8"/>
      <c r="W834" s="8"/>
      <c r="X834" s="8"/>
      <c r="Y834" s="8"/>
      <c r="Z834" s="8"/>
      <c r="AB834" s="4">
        <v>30</v>
      </c>
      <c r="AC834" s="8"/>
      <c r="AD834" s="8"/>
      <c r="AF834" s="8"/>
      <c r="AG834" s="8"/>
      <c r="AH834" s="8"/>
      <c r="AL834" s="8"/>
      <c r="AM834" s="8"/>
    </row>
    <row r="835" spans="1:40" x14ac:dyDescent="0.2">
      <c r="A835" t="s">
        <v>973</v>
      </c>
      <c r="G835">
        <v>10</v>
      </c>
      <c r="H835">
        <v>20</v>
      </c>
      <c r="I835">
        <v>10</v>
      </c>
      <c r="J835">
        <v>33</v>
      </c>
      <c r="L835">
        <v>10</v>
      </c>
      <c r="M835">
        <v>26</v>
      </c>
      <c r="N835">
        <v>4</v>
      </c>
      <c r="V835" s="8"/>
      <c r="W835" s="8"/>
      <c r="X835" s="8"/>
      <c r="Y835" s="8"/>
      <c r="Z835" s="8"/>
      <c r="AB835" s="4">
        <v>30</v>
      </c>
      <c r="AC835" s="8"/>
      <c r="AD835" s="8"/>
      <c r="AF835" s="8"/>
      <c r="AG835" s="8"/>
      <c r="AH835" s="8"/>
      <c r="AL835" s="8"/>
      <c r="AM835" s="8"/>
    </row>
    <row r="836" spans="1:40" x14ac:dyDescent="0.2">
      <c r="A836" t="s">
        <v>1387</v>
      </c>
      <c r="G836">
        <v>20</v>
      </c>
      <c r="H836">
        <v>23</v>
      </c>
      <c r="I836">
        <v>20</v>
      </c>
      <c r="J836">
        <v>26</v>
      </c>
      <c r="L836">
        <v>6</v>
      </c>
      <c r="M836">
        <v>20</v>
      </c>
      <c r="N836">
        <v>24</v>
      </c>
      <c r="S836">
        <v>24</v>
      </c>
      <c r="V836" s="8">
        <v>0.03</v>
      </c>
      <c r="W836" s="8"/>
      <c r="X836" s="8"/>
      <c r="Y836" s="8"/>
      <c r="Z836" s="8"/>
      <c r="AB836" s="4">
        <v>20</v>
      </c>
      <c r="AC836" s="8"/>
      <c r="AD836" s="8"/>
      <c r="AE836" s="4">
        <v>3</v>
      </c>
      <c r="AF836" s="8"/>
      <c r="AG836" s="8"/>
      <c r="AH836" s="8"/>
      <c r="AL836" s="8"/>
      <c r="AM836" s="8"/>
    </row>
    <row r="837" spans="1:40" x14ac:dyDescent="0.2">
      <c r="A837" t="s">
        <v>1388</v>
      </c>
      <c r="G837">
        <v>27</v>
      </c>
      <c r="H837">
        <v>30</v>
      </c>
      <c r="I837">
        <v>20</v>
      </c>
      <c r="J837">
        <v>26</v>
      </c>
      <c r="L837">
        <v>6</v>
      </c>
      <c r="M837">
        <v>20</v>
      </c>
      <c r="N837">
        <v>36</v>
      </c>
      <c r="S837">
        <v>36</v>
      </c>
      <c r="V837" s="8">
        <v>0.05</v>
      </c>
      <c r="W837" s="8"/>
      <c r="X837" s="8"/>
      <c r="Y837" s="8"/>
      <c r="Z837" s="8"/>
      <c r="AB837" s="4">
        <v>20</v>
      </c>
      <c r="AC837" s="8"/>
      <c r="AD837" s="8"/>
      <c r="AE837" s="4">
        <v>5</v>
      </c>
      <c r="AF837" s="8"/>
      <c r="AG837" s="8"/>
      <c r="AH837" s="8"/>
      <c r="AL837" s="8"/>
      <c r="AM837" s="8"/>
    </row>
    <row r="838" spans="1:40" s="279" customFormat="1" x14ac:dyDescent="0.2">
      <c r="A838" s="279" t="s">
        <v>1886</v>
      </c>
      <c r="G838" s="279">
        <v>31</v>
      </c>
      <c r="H838" s="279">
        <v>34</v>
      </c>
      <c r="I838" s="279">
        <v>20</v>
      </c>
      <c r="J838" s="279">
        <v>26</v>
      </c>
      <c r="L838" s="279">
        <v>6</v>
      </c>
      <c r="M838" s="279">
        <v>20</v>
      </c>
      <c r="N838" s="279">
        <v>42</v>
      </c>
      <c r="S838" s="279">
        <v>42</v>
      </c>
      <c r="V838" s="280">
        <v>0.06</v>
      </c>
      <c r="W838" s="280"/>
      <c r="X838" s="280"/>
      <c r="Y838" s="280"/>
      <c r="Z838" s="280"/>
      <c r="AB838" s="281">
        <v>20</v>
      </c>
      <c r="AC838" s="280"/>
      <c r="AD838" s="280"/>
      <c r="AE838" s="281">
        <v>6</v>
      </c>
      <c r="AF838" s="280"/>
      <c r="AG838" s="280"/>
      <c r="AH838" s="280"/>
      <c r="AI838" s="281"/>
      <c r="AJ838" s="281"/>
      <c r="AK838" s="281"/>
      <c r="AL838" s="280"/>
      <c r="AM838" s="280"/>
      <c r="AN838" s="281"/>
    </row>
    <row r="839" spans="1:40" x14ac:dyDescent="0.2">
      <c r="A839" t="s">
        <v>1000</v>
      </c>
      <c r="G839">
        <v>19</v>
      </c>
      <c r="H839">
        <v>21</v>
      </c>
      <c r="I839">
        <v>19</v>
      </c>
      <c r="J839">
        <v>28</v>
      </c>
      <c r="L839">
        <v>7</v>
      </c>
      <c r="M839">
        <v>21</v>
      </c>
      <c r="N839">
        <v>20</v>
      </c>
      <c r="T839">
        <v>20</v>
      </c>
      <c r="V839" s="8">
        <v>0.02</v>
      </c>
      <c r="W839" s="8"/>
      <c r="X839" s="8"/>
      <c r="Y839" s="8"/>
      <c r="Z839" s="8"/>
      <c r="AB839" s="4">
        <v>30</v>
      </c>
      <c r="AC839" s="8"/>
      <c r="AD839" s="8"/>
      <c r="AF839" s="8"/>
      <c r="AG839" s="8"/>
      <c r="AH839" s="8"/>
      <c r="AL839" s="8"/>
      <c r="AM839" s="8"/>
    </row>
    <row r="840" spans="1:40" x14ac:dyDescent="0.2">
      <c r="A840" t="s">
        <v>1001</v>
      </c>
      <c r="G840">
        <v>19</v>
      </c>
      <c r="H840">
        <v>21</v>
      </c>
      <c r="I840">
        <v>29</v>
      </c>
      <c r="J840">
        <v>28</v>
      </c>
      <c r="L840">
        <v>7</v>
      </c>
      <c r="M840">
        <v>21</v>
      </c>
      <c r="N840">
        <v>35</v>
      </c>
      <c r="T840">
        <v>35</v>
      </c>
      <c r="V840" s="8">
        <v>0.02</v>
      </c>
      <c r="W840" s="8"/>
      <c r="X840" s="8"/>
      <c r="Y840" s="8"/>
      <c r="Z840" s="8"/>
      <c r="AB840" s="4">
        <v>30</v>
      </c>
      <c r="AC840" s="8"/>
      <c r="AD840" s="8"/>
      <c r="AF840" s="8"/>
      <c r="AG840" s="8"/>
      <c r="AH840" s="8"/>
      <c r="AL840" s="8"/>
      <c r="AM840" s="8"/>
    </row>
    <row r="841" spans="1:40" x14ac:dyDescent="0.2">
      <c r="A841" t="s">
        <v>974</v>
      </c>
      <c r="G841">
        <v>17</v>
      </c>
      <c r="H841">
        <v>19</v>
      </c>
      <c r="I841">
        <v>15</v>
      </c>
      <c r="J841">
        <v>32</v>
      </c>
      <c r="L841">
        <v>10</v>
      </c>
      <c r="M841">
        <v>26</v>
      </c>
      <c r="O841">
        <v>7</v>
      </c>
      <c r="V841" s="8"/>
      <c r="W841" s="8"/>
      <c r="X841" s="8"/>
      <c r="Y841" s="8"/>
      <c r="Z841" s="8"/>
      <c r="AB841" s="4">
        <v>30</v>
      </c>
      <c r="AC841" s="8"/>
      <c r="AD841" s="8"/>
      <c r="AF841" s="8"/>
      <c r="AG841" s="8"/>
      <c r="AH841" s="8"/>
      <c r="AL841" s="8"/>
      <c r="AM841" s="8"/>
    </row>
    <row r="842" spans="1:40" x14ac:dyDescent="0.2">
      <c r="A842" t="s">
        <v>991</v>
      </c>
      <c r="G842">
        <v>18</v>
      </c>
      <c r="H842">
        <v>20</v>
      </c>
      <c r="I842">
        <v>15</v>
      </c>
      <c r="J842">
        <v>32</v>
      </c>
      <c r="L842">
        <v>10</v>
      </c>
      <c r="M842">
        <v>26</v>
      </c>
      <c r="O842">
        <v>8</v>
      </c>
      <c r="V842" s="8"/>
      <c r="W842" s="8"/>
      <c r="X842" s="8"/>
      <c r="Y842" s="8"/>
      <c r="Z842" s="8"/>
      <c r="AA842" s="8"/>
      <c r="AB842" s="4">
        <v>30</v>
      </c>
      <c r="AC842" s="8"/>
      <c r="AD842" s="8"/>
      <c r="AE842"/>
      <c r="AF842" s="8"/>
      <c r="AG842" s="8"/>
      <c r="AH842" s="8"/>
      <c r="AL842" s="8"/>
      <c r="AM842" s="8"/>
    </row>
    <row r="843" spans="1:40" x14ac:dyDescent="0.2">
      <c r="A843" s="144" t="s">
        <v>975</v>
      </c>
      <c r="G843">
        <v>25</v>
      </c>
      <c r="H843">
        <v>-7</v>
      </c>
      <c r="I843">
        <v>-7</v>
      </c>
      <c r="V843" s="8"/>
      <c r="W843" s="8"/>
      <c r="X843" s="8"/>
      <c r="Y843" s="8"/>
      <c r="Z843" s="8"/>
      <c r="AA843" s="8"/>
      <c r="AB843" s="4"/>
      <c r="AC843" s="8"/>
      <c r="AD843" s="8"/>
      <c r="AE843"/>
      <c r="AF843" s="8"/>
      <c r="AG843" s="8"/>
      <c r="AH843" s="8"/>
      <c r="AL843" s="8"/>
      <c r="AM843" s="8"/>
    </row>
    <row r="844" spans="1:40" x14ac:dyDescent="0.2">
      <c r="A844" t="s">
        <v>976</v>
      </c>
      <c r="G844">
        <v>19</v>
      </c>
      <c r="H844">
        <v>16</v>
      </c>
      <c r="I844">
        <v>16</v>
      </c>
      <c r="J844">
        <v>27</v>
      </c>
      <c r="L844">
        <v>9</v>
      </c>
      <c r="M844">
        <v>25</v>
      </c>
      <c r="N844">
        <v>14</v>
      </c>
      <c r="O844">
        <v>14</v>
      </c>
      <c r="V844" s="8"/>
      <c r="W844" s="8"/>
      <c r="X844" s="8"/>
      <c r="Y844" s="8"/>
      <c r="Z844" s="8"/>
      <c r="AA844" s="8"/>
      <c r="AB844" s="4">
        <v>30</v>
      </c>
      <c r="AC844" s="8"/>
      <c r="AD844" s="8"/>
      <c r="AE844"/>
      <c r="AF844" s="8"/>
      <c r="AG844" s="8"/>
      <c r="AH844" s="8"/>
      <c r="AL844" s="8"/>
      <c r="AM844" s="8"/>
    </row>
    <row r="845" spans="1:40" x14ac:dyDescent="0.2">
      <c r="A845" t="s">
        <v>1024</v>
      </c>
      <c r="G845">
        <v>34</v>
      </c>
      <c r="H845">
        <v>30</v>
      </c>
      <c r="O845">
        <v>15</v>
      </c>
      <c r="V845" s="8">
        <v>0.02</v>
      </c>
      <c r="W845" s="8"/>
      <c r="X845" s="8"/>
      <c r="Y845" s="8"/>
      <c r="Z845" s="8"/>
      <c r="AA845" s="8"/>
      <c r="AB845" s="4">
        <v>-51</v>
      </c>
      <c r="AC845" s="8"/>
      <c r="AD845" s="8"/>
      <c r="AE845"/>
      <c r="AF845" s="8"/>
      <c r="AG845" s="8"/>
      <c r="AH845" s="8"/>
      <c r="AL845" s="8"/>
      <c r="AM845" s="8"/>
    </row>
    <row r="846" spans="1:40" x14ac:dyDescent="0.2">
      <c r="A846" t="s">
        <v>1025</v>
      </c>
      <c r="G846">
        <v>29</v>
      </c>
      <c r="H846">
        <v>35</v>
      </c>
      <c r="N846">
        <v>15</v>
      </c>
      <c r="V846" s="8"/>
      <c r="W846" s="8"/>
      <c r="X846" s="8"/>
      <c r="Y846" s="8"/>
      <c r="Z846" s="8"/>
      <c r="AA846" s="8"/>
      <c r="AB846" s="4">
        <v>-51</v>
      </c>
      <c r="AC846" s="8">
        <v>0.02</v>
      </c>
      <c r="AD846" s="8"/>
      <c r="AE846"/>
      <c r="AF846" s="8"/>
      <c r="AG846" s="8"/>
      <c r="AH846" s="8"/>
      <c r="AL846" s="8"/>
      <c r="AM846" s="8"/>
    </row>
    <row r="847" spans="1:40" x14ac:dyDescent="0.2">
      <c r="A847" t="s">
        <v>1026</v>
      </c>
      <c r="G847">
        <v>29</v>
      </c>
      <c r="H847">
        <v>30</v>
      </c>
      <c r="N847">
        <v>8</v>
      </c>
      <c r="O847">
        <v>8</v>
      </c>
      <c r="V847" s="8"/>
      <c r="W847" s="8"/>
      <c r="X847" s="8"/>
      <c r="Y847" s="8"/>
      <c r="Z847" s="8"/>
      <c r="AA847" s="8"/>
      <c r="AB847" s="4">
        <v>-51</v>
      </c>
      <c r="AC847" s="8"/>
      <c r="AD847" s="8"/>
      <c r="AE847">
        <v>4</v>
      </c>
      <c r="AF847" s="8"/>
      <c r="AG847" s="8"/>
      <c r="AH847" s="8"/>
      <c r="AL847" s="8"/>
      <c r="AM847" s="8"/>
    </row>
    <row r="848" spans="1:40" x14ac:dyDescent="0.2">
      <c r="A848" t="s">
        <v>1027</v>
      </c>
      <c r="G848">
        <v>39</v>
      </c>
      <c r="H848">
        <v>40</v>
      </c>
      <c r="V848" s="8"/>
      <c r="W848" s="8"/>
      <c r="X848" s="8"/>
      <c r="Y848" s="8"/>
      <c r="Z848" s="8"/>
      <c r="AA848" s="8"/>
      <c r="AB848" s="4">
        <v>-51</v>
      </c>
      <c r="AC848" s="8"/>
      <c r="AD848" s="8"/>
      <c r="AE848"/>
      <c r="AF848" s="8"/>
      <c r="AG848" s="8"/>
      <c r="AH848" s="8"/>
      <c r="AL848" s="8"/>
      <c r="AM848" s="8"/>
    </row>
    <row r="849" spans="1:43" x14ac:dyDescent="0.2">
      <c r="A849" t="s">
        <v>1028</v>
      </c>
      <c r="G849">
        <v>40</v>
      </c>
      <c r="H849">
        <v>33</v>
      </c>
      <c r="O849">
        <v>20</v>
      </c>
      <c r="V849" s="8">
        <v>0.03</v>
      </c>
      <c r="W849" s="8"/>
      <c r="X849" s="8"/>
      <c r="Y849" s="8"/>
      <c r="Z849" s="8"/>
      <c r="AB849" s="4">
        <v>-71</v>
      </c>
      <c r="AC849" s="8"/>
      <c r="AD849" s="8"/>
      <c r="AF849" s="8"/>
      <c r="AG849" s="8"/>
      <c r="AH849" s="8"/>
      <c r="AL849" s="8"/>
      <c r="AM849" s="8"/>
    </row>
    <row r="850" spans="1:43" x14ac:dyDescent="0.2">
      <c r="A850" t="s">
        <v>1029</v>
      </c>
      <c r="G850">
        <v>32</v>
      </c>
      <c r="H850">
        <v>41</v>
      </c>
      <c r="N850">
        <v>20</v>
      </c>
      <c r="V850" s="8"/>
      <c r="W850" s="8"/>
      <c r="X850" s="8"/>
      <c r="Y850" s="8"/>
      <c r="Z850" s="8"/>
      <c r="AB850" s="4">
        <v>-71</v>
      </c>
      <c r="AC850" s="8">
        <v>0.03</v>
      </c>
      <c r="AD850" s="8"/>
      <c r="AF850" s="8"/>
      <c r="AG850" s="8"/>
      <c r="AH850" s="8"/>
      <c r="AL850" s="8"/>
      <c r="AM850" s="8"/>
    </row>
    <row r="851" spans="1:43" x14ac:dyDescent="0.2">
      <c r="A851" t="s">
        <v>1030</v>
      </c>
      <c r="G851">
        <v>32</v>
      </c>
      <c r="H851">
        <v>33</v>
      </c>
      <c r="N851">
        <v>10</v>
      </c>
      <c r="O851">
        <v>10</v>
      </c>
      <c r="V851" s="8"/>
      <c r="W851" s="8"/>
      <c r="X851" s="8"/>
      <c r="Y851" s="8"/>
      <c r="Z851" s="8"/>
      <c r="AB851" s="4">
        <v>-71</v>
      </c>
      <c r="AC851" s="8"/>
      <c r="AD851" s="8"/>
      <c r="AE851" s="4">
        <v>5</v>
      </c>
      <c r="AF851" s="8"/>
      <c r="AG851" s="8"/>
      <c r="AH851" s="8"/>
      <c r="AL851" s="8"/>
      <c r="AM851" s="8"/>
    </row>
    <row r="852" spans="1:43" x14ac:dyDescent="0.2">
      <c r="A852" t="s">
        <v>1031</v>
      </c>
      <c r="G852">
        <v>47</v>
      </c>
      <c r="H852">
        <v>48</v>
      </c>
      <c r="V852" s="8"/>
      <c r="W852" s="8"/>
      <c r="X852" s="8"/>
      <c r="Y852" s="8"/>
      <c r="Z852" s="8"/>
      <c r="AB852" s="4">
        <v>-71</v>
      </c>
      <c r="AC852" s="8"/>
      <c r="AD852" s="8"/>
      <c r="AF852" s="8"/>
      <c r="AG852" s="8"/>
      <c r="AH852" s="8"/>
      <c r="AL852" s="8"/>
      <c r="AM852" s="8"/>
    </row>
    <row r="853" spans="1:43" s="144" customFormat="1" x14ac:dyDescent="0.2">
      <c r="A853" s="144" t="s">
        <v>977</v>
      </c>
      <c r="G853" s="144">
        <v>15</v>
      </c>
      <c r="H853" s="144">
        <v>17</v>
      </c>
      <c r="I853" s="144">
        <v>22</v>
      </c>
      <c r="J853" s="144">
        <v>32</v>
      </c>
      <c r="L853" s="144">
        <v>10</v>
      </c>
      <c r="M853" s="144">
        <v>26</v>
      </c>
      <c r="N853" s="144">
        <v>23</v>
      </c>
      <c r="V853" s="177"/>
      <c r="W853" s="177"/>
      <c r="X853" s="177"/>
      <c r="Y853" s="177"/>
      <c r="Z853" s="177"/>
      <c r="AA853" s="177"/>
      <c r="AB853" s="178">
        <v>30</v>
      </c>
      <c r="AC853" s="177"/>
      <c r="AD853" s="177"/>
      <c r="AF853" s="178"/>
      <c r="AG853" s="177"/>
      <c r="AH853" s="177"/>
      <c r="AI853" s="178"/>
      <c r="AJ853" s="178"/>
      <c r="AK853" s="178"/>
      <c r="AL853" s="178"/>
    </row>
    <row r="854" spans="1:43" x14ac:dyDescent="0.2">
      <c r="A854" t="s">
        <v>978</v>
      </c>
      <c r="G854">
        <v>14</v>
      </c>
      <c r="H854">
        <v>16</v>
      </c>
      <c r="I854">
        <v>15</v>
      </c>
      <c r="J854">
        <v>38</v>
      </c>
      <c r="L854">
        <v>11</v>
      </c>
      <c r="M854">
        <v>28</v>
      </c>
      <c r="N854">
        <v>20</v>
      </c>
      <c r="V854" s="8">
        <v>0.02</v>
      </c>
      <c r="W854" s="8"/>
      <c r="X854" s="8"/>
      <c r="Y854" s="8"/>
      <c r="Z854" s="8"/>
      <c r="AB854" s="4">
        <v>40</v>
      </c>
      <c r="AC854" s="8"/>
      <c r="AD854" s="8"/>
      <c r="AF854" s="8"/>
      <c r="AG854" s="8"/>
      <c r="AH854" s="8"/>
      <c r="AL854" s="8"/>
      <c r="AM854" s="8"/>
      <c r="AN854" s="4">
        <v>40</v>
      </c>
    </row>
    <row r="855" spans="1:43" x14ac:dyDescent="0.2">
      <c r="A855" s="144" t="s">
        <v>979</v>
      </c>
      <c r="G855">
        <v>10</v>
      </c>
      <c r="H855">
        <v>12</v>
      </c>
      <c r="I855">
        <v>14</v>
      </c>
      <c r="J855">
        <v>16</v>
      </c>
      <c r="L855">
        <v>3</v>
      </c>
      <c r="M855">
        <v>12</v>
      </c>
      <c r="N855">
        <v>14</v>
      </c>
      <c r="O855">
        <v>14</v>
      </c>
      <c r="V855" s="8"/>
      <c r="W855" s="8"/>
      <c r="X855" s="8"/>
      <c r="Y855" s="8"/>
      <c r="Z855" s="8"/>
      <c r="AA855" s="8"/>
      <c r="AB855" s="4">
        <v>51</v>
      </c>
      <c r="AC855" s="8"/>
      <c r="AD855" s="8"/>
      <c r="AE855"/>
      <c r="AF855" s="8"/>
      <c r="AG855" s="8"/>
      <c r="AH855" s="8"/>
      <c r="AL855" s="4"/>
      <c r="AM855" s="8"/>
    </row>
    <row r="856" spans="1:43" x14ac:dyDescent="0.2">
      <c r="A856" s="144" t="s">
        <v>980</v>
      </c>
      <c r="G856">
        <v>16</v>
      </c>
      <c r="H856">
        <v>19</v>
      </c>
      <c r="I856">
        <v>20</v>
      </c>
      <c r="J856">
        <v>25</v>
      </c>
      <c r="L856">
        <v>5</v>
      </c>
      <c r="M856">
        <v>19</v>
      </c>
      <c r="N856">
        <v>24</v>
      </c>
      <c r="O856">
        <v>24</v>
      </c>
      <c r="V856" s="8"/>
      <c r="W856" s="8"/>
      <c r="X856" s="8"/>
      <c r="Y856" s="8"/>
      <c r="Z856" s="8"/>
      <c r="AA856" s="8"/>
      <c r="AB856" s="4">
        <v>61</v>
      </c>
      <c r="AC856" s="8"/>
      <c r="AD856" s="8"/>
      <c r="AE856"/>
      <c r="AF856" s="8"/>
      <c r="AG856" s="8"/>
      <c r="AH856" s="8"/>
      <c r="AL856" s="8"/>
      <c r="AM856" s="8"/>
    </row>
    <row r="857" spans="1:43" x14ac:dyDescent="0.2">
      <c r="A857" s="144" t="s">
        <v>981</v>
      </c>
      <c r="G857">
        <v>12</v>
      </c>
      <c r="H857">
        <v>11</v>
      </c>
      <c r="I857">
        <v>9</v>
      </c>
      <c r="J857">
        <v>20</v>
      </c>
      <c r="L857">
        <v>6</v>
      </c>
      <c r="M857">
        <v>17</v>
      </c>
      <c r="N857">
        <v>9</v>
      </c>
      <c r="O857">
        <v>9</v>
      </c>
      <c r="V857" s="8"/>
      <c r="W857" s="8"/>
      <c r="X857" s="8"/>
      <c r="Y857" s="8"/>
      <c r="Z857" s="8"/>
      <c r="AA857" s="8"/>
      <c r="AB857" s="4">
        <v>30</v>
      </c>
      <c r="AC857" s="8"/>
      <c r="AD857" s="8"/>
      <c r="AE857"/>
      <c r="AF857" s="8"/>
      <c r="AG857" s="8"/>
      <c r="AH857" s="8"/>
      <c r="AL857" s="4"/>
      <c r="AM857" s="8"/>
    </row>
    <row r="858" spans="1:43" x14ac:dyDescent="0.2">
      <c r="A858" t="s">
        <v>982</v>
      </c>
      <c r="G858">
        <v>18</v>
      </c>
      <c r="H858">
        <v>17</v>
      </c>
      <c r="I858">
        <v>15</v>
      </c>
      <c r="J858">
        <v>32</v>
      </c>
      <c r="L858">
        <v>10</v>
      </c>
      <c r="M858">
        <v>26</v>
      </c>
      <c r="N858">
        <v>12</v>
      </c>
      <c r="O858">
        <v>12</v>
      </c>
      <c r="V858" s="8"/>
      <c r="W858" s="8"/>
      <c r="X858" s="8"/>
      <c r="Y858" s="8"/>
      <c r="Z858" s="8"/>
      <c r="AB858" s="4">
        <v>30</v>
      </c>
      <c r="AC858" s="8"/>
      <c r="AD858" s="8"/>
      <c r="AF858" s="8"/>
      <c r="AG858" s="8"/>
      <c r="AH858" s="8"/>
      <c r="AL858" s="8"/>
      <c r="AM858" s="8"/>
    </row>
    <row r="859" spans="1:43" x14ac:dyDescent="0.2">
      <c r="A859" t="s">
        <v>983</v>
      </c>
      <c r="G859">
        <v>10</v>
      </c>
      <c r="H859">
        <v>23</v>
      </c>
      <c r="I859">
        <v>12</v>
      </c>
      <c r="J859">
        <v>33</v>
      </c>
      <c r="L859">
        <v>12</v>
      </c>
      <c r="M859">
        <v>29</v>
      </c>
      <c r="N859">
        <v>10</v>
      </c>
      <c r="O859">
        <v>10</v>
      </c>
      <c r="V859" s="8"/>
      <c r="W859" s="8"/>
      <c r="X859" s="8"/>
      <c r="Y859" s="8"/>
      <c r="Z859" s="8"/>
      <c r="AB859" s="4">
        <v>40</v>
      </c>
      <c r="AC859" s="8"/>
      <c r="AD859" s="8"/>
      <c r="AF859" s="8"/>
      <c r="AG859" s="8"/>
      <c r="AH859" s="8"/>
      <c r="AL859" s="8"/>
      <c r="AM859" s="8"/>
    </row>
    <row r="860" spans="1:43" x14ac:dyDescent="0.2">
      <c r="A860" t="s">
        <v>984</v>
      </c>
      <c r="G860">
        <v>21</v>
      </c>
      <c r="H860">
        <v>11</v>
      </c>
      <c r="I860">
        <v>21</v>
      </c>
      <c r="J860">
        <v>26</v>
      </c>
      <c r="L860">
        <v>10</v>
      </c>
      <c r="M860">
        <v>24</v>
      </c>
      <c r="N860">
        <v>24</v>
      </c>
      <c r="O860">
        <v>28</v>
      </c>
      <c r="V860" s="8"/>
      <c r="W860" s="8"/>
      <c r="X860" s="8"/>
      <c r="Y860" s="8"/>
      <c r="Z860" s="8"/>
      <c r="AB860" s="4">
        <v>10</v>
      </c>
      <c r="AC860" s="8"/>
      <c r="AD860" s="8"/>
      <c r="AG860" s="8"/>
      <c r="AH860" s="8">
        <v>0.05</v>
      </c>
      <c r="AL860" s="8"/>
      <c r="AM860" s="8"/>
    </row>
    <row r="861" spans="1:43" x14ac:dyDescent="0.2">
      <c r="A861" t="s">
        <v>985</v>
      </c>
      <c r="G861">
        <v>26</v>
      </c>
      <c r="H861">
        <v>16</v>
      </c>
      <c r="I861">
        <v>26</v>
      </c>
      <c r="J861">
        <v>26</v>
      </c>
      <c r="L861">
        <v>15</v>
      </c>
      <c r="M861">
        <v>29</v>
      </c>
      <c r="N861">
        <v>36</v>
      </c>
      <c r="O861">
        <v>40</v>
      </c>
      <c r="V861" s="8"/>
      <c r="W861" s="8"/>
      <c r="X861" s="8"/>
      <c r="Y861" s="8"/>
      <c r="Z861" s="8"/>
      <c r="AB861" s="4">
        <v>10</v>
      </c>
      <c r="AC861" s="8"/>
      <c r="AD861" s="8"/>
      <c r="AG861" s="8"/>
      <c r="AH861" s="8">
        <v>0.06</v>
      </c>
      <c r="AL861" s="8"/>
      <c r="AM861" s="8"/>
    </row>
    <row r="862" spans="1:43" x14ac:dyDescent="0.2">
      <c r="A862" t="s">
        <v>1873</v>
      </c>
      <c r="G862">
        <v>29</v>
      </c>
      <c r="H862">
        <v>19</v>
      </c>
      <c r="I862">
        <v>29</v>
      </c>
      <c r="J862">
        <v>26</v>
      </c>
      <c r="L862">
        <v>18</v>
      </c>
      <c r="M862">
        <v>32</v>
      </c>
      <c r="N862">
        <v>42</v>
      </c>
      <c r="O862">
        <v>46</v>
      </c>
      <c r="V862" s="8"/>
      <c r="W862" s="8"/>
      <c r="X862" s="8"/>
      <c r="Y862" s="8"/>
      <c r="Z862" s="8"/>
      <c r="AB862" s="4">
        <v>10</v>
      </c>
      <c r="AC862" s="8"/>
      <c r="AD862" s="8"/>
      <c r="AG862" s="8"/>
      <c r="AH862" s="8">
        <v>7.0000000000000007E-2</v>
      </c>
      <c r="AL862" s="8"/>
      <c r="AM862" s="8"/>
    </row>
    <row r="863" spans="1:43" x14ac:dyDescent="0.2">
      <c r="A863" t="s">
        <v>1002</v>
      </c>
      <c r="G863">
        <v>10</v>
      </c>
      <c r="H863">
        <v>22</v>
      </c>
      <c r="I863">
        <v>10</v>
      </c>
      <c r="J863">
        <v>37</v>
      </c>
      <c r="L863">
        <v>10</v>
      </c>
      <c r="M863">
        <v>28</v>
      </c>
      <c r="N863">
        <v>7</v>
      </c>
      <c r="Q863">
        <v>7</v>
      </c>
      <c r="S863">
        <v>7</v>
      </c>
      <c r="V863" s="8"/>
      <c r="W863" s="8"/>
      <c r="X863" s="8"/>
      <c r="Y863" s="8"/>
      <c r="Z863" s="8"/>
      <c r="AA863">
        <v>4</v>
      </c>
      <c r="AB863" s="4">
        <v>40</v>
      </c>
      <c r="AC863" s="8"/>
      <c r="AD863" s="8"/>
      <c r="AF863" s="8"/>
      <c r="AG863" s="8"/>
      <c r="AH863" s="8"/>
      <c r="AL863" s="8"/>
      <c r="AM863" s="8"/>
    </row>
    <row r="864" spans="1:43" x14ac:dyDescent="0.2">
      <c r="A864" t="str">
        <f>Augments!A103</f>
        <v>Taeon Boots (TA)</v>
      </c>
      <c r="B864">
        <f t="shared" ref="B864:K867" ca="1" si="64">IF(ISBLANK($A864),0,VLOOKUP($A864,INDIRECT(CONCATENATE("Aug",$A$799)),MATCH(B$1,AugStatHeader,0),0)
+VLOOKUP(LEFT($A864,FIND(" (",$A864,1)-1),INDIRECT("BaseAugArmor"),MATCH(B$1,StatHeader,0),0))</f>
        <v>0</v>
      </c>
      <c r="C864">
        <f t="shared" ca="1" si="64"/>
        <v>0</v>
      </c>
      <c r="D864">
        <f t="shared" ca="1" si="64"/>
        <v>0</v>
      </c>
      <c r="E864">
        <f t="shared" ca="1" si="64"/>
        <v>0</v>
      </c>
      <c r="F864">
        <f t="shared" ca="1" si="64"/>
        <v>0</v>
      </c>
      <c r="G864">
        <f t="shared" ca="1" si="64"/>
        <v>17</v>
      </c>
      <c r="H864">
        <f t="shared" ca="1" si="64"/>
        <v>29</v>
      </c>
      <c r="I864">
        <f t="shared" ca="1" si="64"/>
        <v>10</v>
      </c>
      <c r="J864">
        <f t="shared" ca="1" si="64"/>
        <v>37</v>
      </c>
      <c r="K864">
        <f t="shared" ca="1" si="64"/>
        <v>0</v>
      </c>
      <c r="L864">
        <f t="shared" ref="L864:U867" ca="1" si="65">IF(ISBLANK($A864),0,VLOOKUP($A864,INDIRECT(CONCATENATE("Aug",$A$799)),MATCH(L$1,AugStatHeader,0),0)
+VLOOKUP(LEFT($A864,FIND(" (",$A864,1)-1),INDIRECT("BaseAugArmor"),MATCH(L$1,StatHeader,0),0))</f>
        <v>10</v>
      </c>
      <c r="M864">
        <f t="shared" ca="1" si="65"/>
        <v>28</v>
      </c>
      <c r="N864">
        <f t="shared" ca="1" si="65"/>
        <v>27</v>
      </c>
      <c r="O864">
        <f t="shared" ca="1" si="65"/>
        <v>20</v>
      </c>
      <c r="P864" s="8">
        <f t="shared" ca="1" si="65"/>
        <v>0</v>
      </c>
      <c r="Q864">
        <f t="shared" ca="1" si="65"/>
        <v>7</v>
      </c>
      <c r="R864">
        <f t="shared" ca="1" si="65"/>
        <v>0</v>
      </c>
      <c r="S864">
        <f t="shared" ca="1" si="65"/>
        <v>7</v>
      </c>
      <c r="T864">
        <f t="shared" ca="1" si="65"/>
        <v>0</v>
      </c>
      <c r="U864">
        <f t="shared" ca="1" si="65"/>
        <v>0</v>
      </c>
      <c r="V864" s="8">
        <f t="shared" ref="V864:AE867" ca="1" si="66">IF(ISBLANK($A864),0,VLOOKUP($A864,INDIRECT(CONCATENATE("Aug",$A$799)),MATCH(V$1,AugStatHeader,0),0)
+VLOOKUP(LEFT($A864,FIND(" (",$A864,1)-1),INDIRECT("BaseAugArmor"),MATCH(V$1,StatHeader,0),0))</f>
        <v>0</v>
      </c>
      <c r="W864" s="8">
        <f t="shared" ca="1" si="66"/>
        <v>0.02</v>
      </c>
      <c r="X864" s="8">
        <f t="shared" ca="1" si="66"/>
        <v>0</v>
      </c>
      <c r="Y864" s="8">
        <f t="shared" ca="1" si="66"/>
        <v>0</v>
      </c>
      <c r="Z864" s="8">
        <f t="shared" ca="1" si="66"/>
        <v>0</v>
      </c>
      <c r="AA864">
        <f t="shared" ca="1" si="66"/>
        <v>4</v>
      </c>
      <c r="AB864">
        <f t="shared" ca="1" si="66"/>
        <v>40</v>
      </c>
      <c r="AC864" s="8">
        <f t="shared" ca="1" si="66"/>
        <v>0</v>
      </c>
      <c r="AD864" s="8">
        <f t="shared" ca="1" si="66"/>
        <v>0</v>
      </c>
      <c r="AE864">
        <f t="shared" ca="1" si="66"/>
        <v>0</v>
      </c>
      <c r="AF864">
        <f t="shared" ref="AF864:AN867" ca="1" si="67">IF(ISBLANK($A864),0,VLOOKUP($A864,INDIRECT(CONCATENATE("Aug",$A$799)),MATCH(AF$1,AugStatHeader,0),0)
+VLOOKUP(LEFT($A864,FIND(" (",$A864,1)-1),INDIRECT("BaseAugArmor"),MATCH(AF$1,StatHeader,0),0))</f>
        <v>0</v>
      </c>
      <c r="AG864">
        <f t="shared" ca="1" si="67"/>
        <v>0</v>
      </c>
      <c r="AH864" s="8">
        <f t="shared" ca="1" si="67"/>
        <v>0</v>
      </c>
      <c r="AI864">
        <f t="shared" ca="1" si="67"/>
        <v>0</v>
      </c>
      <c r="AJ864">
        <f t="shared" ca="1" si="67"/>
        <v>0</v>
      </c>
      <c r="AK864">
        <f t="shared" ca="1" si="67"/>
        <v>0</v>
      </c>
      <c r="AL864">
        <f t="shared" ca="1" si="67"/>
        <v>0</v>
      </c>
      <c r="AM864" s="8">
        <f t="shared" ca="1" si="67"/>
        <v>0</v>
      </c>
      <c r="AN864">
        <f t="shared" ca="1" si="67"/>
        <v>0</v>
      </c>
      <c r="AQ864" s="8"/>
    </row>
    <row r="865" spans="1:43" x14ac:dyDescent="0.2">
      <c r="A865" t="str">
        <f>Augments!A104</f>
        <v>Taeon Boots (C.Rate)</v>
      </c>
      <c r="B865">
        <f t="shared" ca="1" si="64"/>
        <v>0</v>
      </c>
      <c r="C865">
        <f t="shared" ca="1" si="64"/>
        <v>0</v>
      </c>
      <c r="D865">
        <f t="shared" ca="1" si="64"/>
        <v>0</v>
      </c>
      <c r="E865">
        <f t="shared" ca="1" si="64"/>
        <v>0</v>
      </c>
      <c r="F865">
        <f t="shared" ca="1" si="64"/>
        <v>0</v>
      </c>
      <c r="G865">
        <f t="shared" ca="1" si="64"/>
        <v>17</v>
      </c>
      <c r="H865">
        <f t="shared" ca="1" si="64"/>
        <v>29</v>
      </c>
      <c r="I865">
        <f t="shared" ca="1" si="64"/>
        <v>10</v>
      </c>
      <c r="J865">
        <f t="shared" ca="1" si="64"/>
        <v>37</v>
      </c>
      <c r="K865">
        <f t="shared" ca="1" si="64"/>
        <v>0</v>
      </c>
      <c r="L865">
        <f t="shared" ca="1" si="65"/>
        <v>10</v>
      </c>
      <c r="M865">
        <f t="shared" ca="1" si="65"/>
        <v>28</v>
      </c>
      <c r="N865">
        <f t="shared" ca="1" si="65"/>
        <v>27</v>
      </c>
      <c r="O865">
        <f t="shared" ca="1" si="65"/>
        <v>20</v>
      </c>
      <c r="P865" s="8">
        <f t="shared" ca="1" si="65"/>
        <v>0</v>
      </c>
      <c r="Q865">
        <f t="shared" ca="1" si="65"/>
        <v>7</v>
      </c>
      <c r="R865">
        <f t="shared" ca="1" si="65"/>
        <v>0</v>
      </c>
      <c r="S865">
        <f t="shared" ca="1" si="65"/>
        <v>7</v>
      </c>
      <c r="T865">
        <f t="shared" ca="1" si="65"/>
        <v>0</v>
      </c>
      <c r="U865">
        <f t="shared" ca="1" si="65"/>
        <v>0</v>
      </c>
      <c r="V865" s="8">
        <f t="shared" ca="1" si="66"/>
        <v>0</v>
      </c>
      <c r="W865" s="8">
        <f t="shared" ca="1" si="66"/>
        <v>0</v>
      </c>
      <c r="X865" s="8">
        <f t="shared" ca="1" si="66"/>
        <v>0</v>
      </c>
      <c r="Y865" s="8">
        <f t="shared" ca="1" si="66"/>
        <v>0</v>
      </c>
      <c r="Z865" s="8">
        <f t="shared" ca="1" si="66"/>
        <v>0</v>
      </c>
      <c r="AA865">
        <f t="shared" ca="1" si="66"/>
        <v>4</v>
      </c>
      <c r="AB865">
        <f t="shared" ca="1" si="66"/>
        <v>40</v>
      </c>
      <c r="AC865" s="8">
        <f t="shared" ca="1" si="66"/>
        <v>0.03</v>
      </c>
      <c r="AD865" s="8">
        <f t="shared" ca="1" si="66"/>
        <v>0</v>
      </c>
      <c r="AE865">
        <f t="shared" ca="1" si="66"/>
        <v>0</v>
      </c>
      <c r="AF865">
        <f t="shared" ca="1" si="67"/>
        <v>0</v>
      </c>
      <c r="AG865">
        <f t="shared" ca="1" si="67"/>
        <v>0</v>
      </c>
      <c r="AH865" s="8">
        <f t="shared" ca="1" si="67"/>
        <v>0</v>
      </c>
      <c r="AI865">
        <f t="shared" ca="1" si="67"/>
        <v>0</v>
      </c>
      <c r="AJ865">
        <f t="shared" ca="1" si="67"/>
        <v>0</v>
      </c>
      <c r="AK865">
        <f t="shared" ca="1" si="67"/>
        <v>0</v>
      </c>
      <c r="AL865">
        <f t="shared" ca="1" si="67"/>
        <v>0</v>
      </c>
      <c r="AM865" s="8">
        <f t="shared" ca="1" si="67"/>
        <v>0</v>
      </c>
      <c r="AN865">
        <f t="shared" ca="1" si="67"/>
        <v>0</v>
      </c>
      <c r="AQ865" s="8"/>
    </row>
    <row r="866" spans="1:43" x14ac:dyDescent="0.2">
      <c r="A866" t="str">
        <f>Augments!A105</f>
        <v>Taeon Boots (Custom 1)</v>
      </c>
      <c r="B866">
        <f t="shared" ca="1" si="64"/>
        <v>0</v>
      </c>
      <c r="C866">
        <f t="shared" ca="1" si="64"/>
        <v>0</v>
      </c>
      <c r="D866">
        <f t="shared" ca="1" si="64"/>
        <v>0</v>
      </c>
      <c r="E866">
        <f t="shared" ca="1" si="64"/>
        <v>0</v>
      </c>
      <c r="F866">
        <f t="shared" ca="1" si="64"/>
        <v>0</v>
      </c>
      <c r="G866">
        <f t="shared" ca="1" si="64"/>
        <v>10</v>
      </c>
      <c r="H866">
        <f t="shared" ca="1" si="64"/>
        <v>22</v>
      </c>
      <c r="I866">
        <f t="shared" ca="1" si="64"/>
        <v>10</v>
      </c>
      <c r="J866">
        <f t="shared" ca="1" si="64"/>
        <v>37</v>
      </c>
      <c r="K866">
        <f t="shared" ca="1" si="64"/>
        <v>0</v>
      </c>
      <c r="L866">
        <f t="shared" ca="1" si="65"/>
        <v>10</v>
      </c>
      <c r="M866">
        <f t="shared" ca="1" si="65"/>
        <v>28</v>
      </c>
      <c r="N866">
        <f t="shared" ca="1" si="65"/>
        <v>7</v>
      </c>
      <c r="O866">
        <f t="shared" ca="1" si="65"/>
        <v>0</v>
      </c>
      <c r="P866" s="8">
        <f t="shared" ca="1" si="65"/>
        <v>0</v>
      </c>
      <c r="Q866">
        <f t="shared" ca="1" si="65"/>
        <v>7</v>
      </c>
      <c r="R866">
        <f t="shared" ca="1" si="65"/>
        <v>0</v>
      </c>
      <c r="S866">
        <f t="shared" ca="1" si="65"/>
        <v>7</v>
      </c>
      <c r="T866">
        <f t="shared" ca="1" si="65"/>
        <v>0</v>
      </c>
      <c r="U866">
        <f t="shared" ca="1" si="65"/>
        <v>0</v>
      </c>
      <c r="V866" s="8">
        <f t="shared" ca="1" si="66"/>
        <v>0</v>
      </c>
      <c r="W866" s="8">
        <f t="shared" ca="1" si="66"/>
        <v>0</v>
      </c>
      <c r="X866" s="8">
        <f t="shared" ca="1" si="66"/>
        <v>0</v>
      </c>
      <c r="Y866" s="8">
        <f t="shared" ca="1" si="66"/>
        <v>0</v>
      </c>
      <c r="Z866" s="8">
        <f t="shared" ca="1" si="66"/>
        <v>0</v>
      </c>
      <c r="AA866">
        <f t="shared" ca="1" si="66"/>
        <v>4</v>
      </c>
      <c r="AB866">
        <f t="shared" ca="1" si="66"/>
        <v>40</v>
      </c>
      <c r="AC866" s="8">
        <f t="shared" ca="1" si="66"/>
        <v>0</v>
      </c>
      <c r="AD866" s="8">
        <f t="shared" ca="1" si="66"/>
        <v>0</v>
      </c>
      <c r="AE866">
        <f t="shared" ca="1" si="66"/>
        <v>0</v>
      </c>
      <c r="AF866">
        <f t="shared" ca="1" si="67"/>
        <v>0</v>
      </c>
      <c r="AG866">
        <f t="shared" ca="1" si="67"/>
        <v>0</v>
      </c>
      <c r="AH866" s="8">
        <f t="shared" ca="1" si="67"/>
        <v>0</v>
      </c>
      <c r="AI866">
        <f t="shared" ca="1" si="67"/>
        <v>0</v>
      </c>
      <c r="AJ866">
        <f t="shared" ca="1" si="67"/>
        <v>0</v>
      </c>
      <c r="AK866">
        <f t="shared" ca="1" si="67"/>
        <v>0</v>
      </c>
      <c r="AL866">
        <f t="shared" ca="1" si="67"/>
        <v>0</v>
      </c>
      <c r="AM866" s="8">
        <f t="shared" ca="1" si="67"/>
        <v>0</v>
      </c>
      <c r="AN866">
        <f t="shared" ca="1" si="67"/>
        <v>0</v>
      </c>
      <c r="AQ866" s="8"/>
    </row>
    <row r="867" spans="1:43" x14ac:dyDescent="0.2">
      <c r="A867" t="str">
        <f>Augments!A106</f>
        <v>Taeon Boots (Custom 2)</v>
      </c>
      <c r="B867">
        <f t="shared" ca="1" si="64"/>
        <v>0</v>
      </c>
      <c r="C867">
        <f t="shared" ca="1" si="64"/>
        <v>0</v>
      </c>
      <c r="D867">
        <f t="shared" ca="1" si="64"/>
        <v>0</v>
      </c>
      <c r="E867">
        <f t="shared" ca="1" si="64"/>
        <v>0</v>
      </c>
      <c r="F867">
        <f t="shared" ca="1" si="64"/>
        <v>0</v>
      </c>
      <c r="G867">
        <f t="shared" ca="1" si="64"/>
        <v>10</v>
      </c>
      <c r="H867">
        <f t="shared" ca="1" si="64"/>
        <v>22</v>
      </c>
      <c r="I867">
        <f t="shared" ca="1" si="64"/>
        <v>10</v>
      </c>
      <c r="J867">
        <f t="shared" ca="1" si="64"/>
        <v>37</v>
      </c>
      <c r="K867">
        <f t="shared" ca="1" si="64"/>
        <v>0</v>
      </c>
      <c r="L867">
        <f t="shared" ca="1" si="65"/>
        <v>10</v>
      </c>
      <c r="M867">
        <f t="shared" ca="1" si="65"/>
        <v>28</v>
      </c>
      <c r="N867">
        <f t="shared" ca="1" si="65"/>
        <v>7</v>
      </c>
      <c r="O867">
        <f t="shared" ca="1" si="65"/>
        <v>0</v>
      </c>
      <c r="P867" s="8">
        <f t="shared" ca="1" si="65"/>
        <v>0</v>
      </c>
      <c r="Q867">
        <f t="shared" ca="1" si="65"/>
        <v>7</v>
      </c>
      <c r="R867">
        <f t="shared" ca="1" si="65"/>
        <v>0</v>
      </c>
      <c r="S867">
        <f t="shared" ca="1" si="65"/>
        <v>7</v>
      </c>
      <c r="T867">
        <f t="shared" ca="1" si="65"/>
        <v>0</v>
      </c>
      <c r="U867">
        <f t="shared" ca="1" si="65"/>
        <v>0</v>
      </c>
      <c r="V867" s="8">
        <f t="shared" ca="1" si="66"/>
        <v>0</v>
      </c>
      <c r="W867" s="8">
        <f t="shared" ca="1" si="66"/>
        <v>0</v>
      </c>
      <c r="X867" s="8">
        <f t="shared" ca="1" si="66"/>
        <v>0</v>
      </c>
      <c r="Y867" s="8">
        <f t="shared" ca="1" si="66"/>
        <v>0</v>
      </c>
      <c r="Z867" s="8">
        <f t="shared" ca="1" si="66"/>
        <v>0</v>
      </c>
      <c r="AA867">
        <f t="shared" ca="1" si="66"/>
        <v>4</v>
      </c>
      <c r="AB867">
        <f t="shared" ca="1" si="66"/>
        <v>40</v>
      </c>
      <c r="AC867" s="8">
        <f t="shared" ca="1" si="66"/>
        <v>0</v>
      </c>
      <c r="AD867" s="8">
        <f t="shared" ca="1" si="66"/>
        <v>0</v>
      </c>
      <c r="AE867">
        <f t="shared" ca="1" si="66"/>
        <v>0</v>
      </c>
      <c r="AF867">
        <f t="shared" ca="1" si="67"/>
        <v>0</v>
      </c>
      <c r="AG867">
        <f t="shared" ca="1" si="67"/>
        <v>0</v>
      </c>
      <c r="AH867" s="8">
        <f t="shared" ca="1" si="67"/>
        <v>0</v>
      </c>
      <c r="AI867">
        <f t="shared" ca="1" si="67"/>
        <v>0</v>
      </c>
      <c r="AJ867">
        <f t="shared" ca="1" si="67"/>
        <v>0</v>
      </c>
      <c r="AK867">
        <f t="shared" ca="1" si="67"/>
        <v>0</v>
      </c>
      <c r="AL867">
        <f t="shared" ca="1" si="67"/>
        <v>0</v>
      </c>
      <c r="AM867" s="8">
        <f t="shared" ca="1" si="67"/>
        <v>0</v>
      </c>
      <c r="AN867">
        <f t="shared" ca="1" si="67"/>
        <v>0</v>
      </c>
      <c r="AQ867" s="8"/>
    </row>
    <row r="868" spans="1:43" x14ac:dyDescent="0.2">
      <c r="A868" t="s">
        <v>986</v>
      </c>
      <c r="G868">
        <v>13</v>
      </c>
      <c r="H868">
        <v>28</v>
      </c>
      <c r="I868">
        <v>13</v>
      </c>
      <c r="J868">
        <v>38</v>
      </c>
      <c r="K868">
        <v>1</v>
      </c>
      <c r="L868">
        <v>13</v>
      </c>
      <c r="M868">
        <v>31</v>
      </c>
      <c r="O868">
        <v>25</v>
      </c>
      <c r="R868">
        <v>25</v>
      </c>
      <c r="V868" s="8"/>
      <c r="W868" s="8"/>
      <c r="X868" s="8"/>
      <c r="Y868" s="8"/>
      <c r="Z868" s="8"/>
      <c r="AB868" s="4">
        <v>40</v>
      </c>
      <c r="AC868" s="8">
        <v>0.04</v>
      </c>
      <c r="AD868" s="8">
        <v>0.05</v>
      </c>
      <c r="AF868" s="8"/>
      <c r="AG868" s="8"/>
      <c r="AH868" s="8"/>
      <c r="AL868" s="8"/>
      <c r="AM868" s="8"/>
    </row>
    <row r="869" spans="1:43" x14ac:dyDescent="0.2">
      <c r="A869" t="s">
        <v>1003</v>
      </c>
      <c r="G869">
        <v>17</v>
      </c>
      <c r="H869">
        <v>20</v>
      </c>
      <c r="I869">
        <v>17</v>
      </c>
      <c r="J869">
        <v>26</v>
      </c>
      <c r="L869">
        <v>6</v>
      </c>
      <c r="M869">
        <v>20</v>
      </c>
      <c r="N869">
        <v>12</v>
      </c>
      <c r="O869">
        <v>12</v>
      </c>
      <c r="V869" s="8"/>
      <c r="W869" s="8"/>
      <c r="X869" s="8"/>
      <c r="Y869" s="8"/>
      <c r="Z869" s="8"/>
      <c r="AA869" s="8"/>
      <c r="AB869" s="4">
        <v>30</v>
      </c>
      <c r="AC869" s="8"/>
      <c r="AD869" s="8">
        <v>0.04</v>
      </c>
      <c r="AE869">
        <v>5</v>
      </c>
      <c r="AF869" s="8"/>
      <c r="AG869" s="8"/>
      <c r="AH869" s="8"/>
      <c r="AL869" s="8"/>
      <c r="AM869" s="8"/>
    </row>
    <row r="870" spans="1:43" x14ac:dyDescent="0.2">
      <c r="A870" t="str">
        <f>Augments!A107</f>
        <v>Valorous Greaves (Custom 1)</v>
      </c>
      <c r="B870">
        <f t="shared" ref="B870:K875" ca="1" si="68">IF(ISBLANK($A870),0,VLOOKUP($A870,INDIRECT(CONCATENATE("Aug",$A$799)),MATCH(B$1,AugStatHeader,0),0)
+VLOOKUP(LEFT($A870,FIND(" (",$A870,1)-1),INDIRECT("BaseAugArmor"),MATCH(B$1,StatHeader,0),0))</f>
        <v>0</v>
      </c>
      <c r="C870">
        <f t="shared" ca="1" si="68"/>
        <v>0</v>
      </c>
      <c r="D870">
        <f t="shared" ca="1" si="68"/>
        <v>0</v>
      </c>
      <c r="E870">
        <f t="shared" ca="1" si="68"/>
        <v>0</v>
      </c>
      <c r="F870">
        <f t="shared" ca="1" si="68"/>
        <v>0</v>
      </c>
      <c r="G870">
        <f t="shared" ca="1" si="68"/>
        <v>17</v>
      </c>
      <c r="H870">
        <f t="shared" ca="1" si="68"/>
        <v>20</v>
      </c>
      <c r="I870">
        <f t="shared" ca="1" si="68"/>
        <v>17</v>
      </c>
      <c r="J870">
        <f t="shared" ca="1" si="68"/>
        <v>26</v>
      </c>
      <c r="K870">
        <f t="shared" ca="1" si="68"/>
        <v>0</v>
      </c>
      <c r="L870">
        <f t="shared" ref="L870:U875" ca="1" si="69">IF(ISBLANK($A870),0,VLOOKUP($A870,INDIRECT(CONCATENATE("Aug",$A$799)),MATCH(L$1,AugStatHeader,0),0)
+VLOOKUP(LEFT($A870,FIND(" (",$A870,1)-1),INDIRECT("BaseAugArmor"),MATCH(L$1,StatHeader,0),0))</f>
        <v>6</v>
      </c>
      <c r="M870">
        <f t="shared" ca="1" si="69"/>
        <v>20</v>
      </c>
      <c r="N870">
        <f t="shared" ca="1" si="69"/>
        <v>12</v>
      </c>
      <c r="O870">
        <f t="shared" ca="1" si="69"/>
        <v>12</v>
      </c>
      <c r="P870" s="8">
        <f t="shared" ca="1" si="69"/>
        <v>0</v>
      </c>
      <c r="Q870">
        <f t="shared" ca="1" si="69"/>
        <v>0</v>
      </c>
      <c r="R870">
        <f t="shared" ca="1" si="69"/>
        <v>0</v>
      </c>
      <c r="S870">
        <f t="shared" ca="1" si="69"/>
        <v>0</v>
      </c>
      <c r="T870">
        <f t="shared" ca="1" si="69"/>
        <v>0</v>
      </c>
      <c r="U870">
        <f t="shared" ca="1" si="69"/>
        <v>0</v>
      </c>
      <c r="V870" s="8">
        <f t="shared" ref="V870:AE875" ca="1" si="70">IF(ISBLANK($A870),0,VLOOKUP($A870,INDIRECT(CONCATENATE("Aug",$A$799)),MATCH(V$1,AugStatHeader,0),0)
+VLOOKUP(LEFT($A870,FIND(" (",$A870,1)-1),INDIRECT("BaseAugArmor"),MATCH(V$1,StatHeader,0),0))</f>
        <v>0</v>
      </c>
      <c r="W870" s="8">
        <f t="shared" ca="1" si="70"/>
        <v>0</v>
      </c>
      <c r="X870" s="8">
        <f t="shared" ca="1" si="70"/>
        <v>0</v>
      </c>
      <c r="Y870" s="8">
        <f t="shared" ca="1" si="70"/>
        <v>0</v>
      </c>
      <c r="Z870" s="8">
        <f t="shared" ca="1" si="70"/>
        <v>0</v>
      </c>
      <c r="AA870">
        <f t="shared" ca="1" si="70"/>
        <v>0</v>
      </c>
      <c r="AB870">
        <f t="shared" ca="1" si="70"/>
        <v>30</v>
      </c>
      <c r="AC870" s="8">
        <f t="shared" ca="1" si="70"/>
        <v>0</v>
      </c>
      <c r="AD870" s="8">
        <f t="shared" ca="1" si="70"/>
        <v>0.04</v>
      </c>
      <c r="AE870">
        <f t="shared" ca="1" si="70"/>
        <v>5</v>
      </c>
      <c r="AF870">
        <f t="shared" ref="AF870:AN875" ca="1" si="71">IF(ISBLANK($A870),0,VLOOKUP($A870,INDIRECT(CONCATENATE("Aug",$A$799)),MATCH(AF$1,AugStatHeader,0),0)
+VLOOKUP(LEFT($A870,FIND(" (",$A870,1)-1),INDIRECT("BaseAugArmor"),MATCH(AF$1,StatHeader,0),0))</f>
        <v>0</v>
      </c>
      <c r="AG870">
        <f t="shared" ca="1" si="71"/>
        <v>0</v>
      </c>
      <c r="AH870" s="8">
        <f t="shared" ca="1" si="71"/>
        <v>0</v>
      </c>
      <c r="AI870">
        <f t="shared" ca="1" si="71"/>
        <v>0</v>
      </c>
      <c r="AJ870">
        <f t="shared" ca="1" si="71"/>
        <v>0</v>
      </c>
      <c r="AK870">
        <f t="shared" ca="1" si="71"/>
        <v>0</v>
      </c>
      <c r="AL870">
        <f t="shared" ca="1" si="71"/>
        <v>0</v>
      </c>
      <c r="AM870" s="8">
        <f t="shared" ca="1" si="71"/>
        <v>0</v>
      </c>
      <c r="AN870">
        <f t="shared" ca="1" si="71"/>
        <v>0</v>
      </c>
      <c r="AQ870" s="8"/>
    </row>
    <row r="871" spans="1:43" x14ac:dyDescent="0.2">
      <c r="A871" t="str">
        <f>Augments!A108</f>
        <v>Valorous Greaves (Custom 2)</v>
      </c>
      <c r="B871">
        <f t="shared" ca="1" si="68"/>
        <v>0</v>
      </c>
      <c r="C871">
        <f t="shared" ca="1" si="68"/>
        <v>0</v>
      </c>
      <c r="D871">
        <f t="shared" ca="1" si="68"/>
        <v>0</v>
      </c>
      <c r="E871">
        <f t="shared" ca="1" si="68"/>
        <v>0</v>
      </c>
      <c r="F871">
        <f t="shared" ca="1" si="68"/>
        <v>0</v>
      </c>
      <c r="G871">
        <f t="shared" ca="1" si="68"/>
        <v>17</v>
      </c>
      <c r="H871">
        <f t="shared" ca="1" si="68"/>
        <v>20</v>
      </c>
      <c r="I871">
        <f t="shared" ca="1" si="68"/>
        <v>17</v>
      </c>
      <c r="J871">
        <f t="shared" ca="1" si="68"/>
        <v>26</v>
      </c>
      <c r="K871">
        <f t="shared" ca="1" si="68"/>
        <v>0</v>
      </c>
      <c r="L871">
        <f t="shared" ca="1" si="69"/>
        <v>6</v>
      </c>
      <c r="M871">
        <f t="shared" ca="1" si="69"/>
        <v>20</v>
      </c>
      <c r="N871">
        <f t="shared" ca="1" si="69"/>
        <v>12</v>
      </c>
      <c r="O871">
        <f t="shared" ca="1" si="69"/>
        <v>12</v>
      </c>
      <c r="P871" s="8">
        <f t="shared" ca="1" si="69"/>
        <v>0</v>
      </c>
      <c r="Q871">
        <f t="shared" ca="1" si="69"/>
        <v>0</v>
      </c>
      <c r="R871">
        <f t="shared" ca="1" si="69"/>
        <v>0</v>
      </c>
      <c r="S871">
        <f t="shared" ca="1" si="69"/>
        <v>0</v>
      </c>
      <c r="T871">
        <f t="shared" ca="1" si="69"/>
        <v>0</v>
      </c>
      <c r="U871">
        <f t="shared" ca="1" si="69"/>
        <v>0</v>
      </c>
      <c r="V871" s="8">
        <f t="shared" ca="1" si="70"/>
        <v>0</v>
      </c>
      <c r="W871" s="8">
        <f t="shared" ca="1" si="70"/>
        <v>0</v>
      </c>
      <c r="X871" s="8">
        <f t="shared" ca="1" si="70"/>
        <v>0</v>
      </c>
      <c r="Y871" s="8">
        <f t="shared" ca="1" si="70"/>
        <v>0</v>
      </c>
      <c r="Z871" s="8">
        <f t="shared" ca="1" si="70"/>
        <v>0</v>
      </c>
      <c r="AA871">
        <f t="shared" ca="1" si="70"/>
        <v>0</v>
      </c>
      <c r="AB871">
        <f t="shared" ca="1" si="70"/>
        <v>30</v>
      </c>
      <c r="AC871" s="8">
        <f t="shared" ca="1" si="70"/>
        <v>0</v>
      </c>
      <c r="AD871" s="8">
        <f t="shared" ca="1" si="70"/>
        <v>0.04</v>
      </c>
      <c r="AE871">
        <f t="shared" ca="1" si="70"/>
        <v>5</v>
      </c>
      <c r="AF871">
        <f t="shared" ca="1" si="71"/>
        <v>0</v>
      </c>
      <c r="AG871">
        <f t="shared" ca="1" si="71"/>
        <v>0</v>
      </c>
      <c r="AH871" s="8">
        <f t="shared" ca="1" si="71"/>
        <v>0</v>
      </c>
      <c r="AI871">
        <f t="shared" ca="1" si="71"/>
        <v>0</v>
      </c>
      <c r="AJ871">
        <f t="shared" ca="1" si="71"/>
        <v>0</v>
      </c>
      <c r="AK871">
        <f t="shared" ca="1" si="71"/>
        <v>0</v>
      </c>
      <c r="AL871">
        <f t="shared" ca="1" si="71"/>
        <v>0</v>
      </c>
      <c r="AM871" s="8">
        <f t="shared" ca="1" si="71"/>
        <v>0</v>
      </c>
      <c r="AN871">
        <f t="shared" ca="1" si="71"/>
        <v>0</v>
      </c>
      <c r="AQ871" s="8"/>
    </row>
    <row r="872" spans="1:43" x14ac:dyDescent="0.2">
      <c r="A872" t="str">
        <f>Augments!A109</f>
        <v>Valorous Greaves (Custom 3)</v>
      </c>
      <c r="B872">
        <f t="shared" ca="1" si="68"/>
        <v>0</v>
      </c>
      <c r="C872">
        <f t="shared" ca="1" si="68"/>
        <v>0</v>
      </c>
      <c r="D872">
        <f t="shared" ca="1" si="68"/>
        <v>0</v>
      </c>
      <c r="E872">
        <f t="shared" ca="1" si="68"/>
        <v>0</v>
      </c>
      <c r="F872">
        <f t="shared" ca="1" si="68"/>
        <v>0</v>
      </c>
      <c r="G872">
        <f t="shared" ca="1" si="68"/>
        <v>17</v>
      </c>
      <c r="H872">
        <f t="shared" ca="1" si="68"/>
        <v>20</v>
      </c>
      <c r="I872">
        <f t="shared" ca="1" si="68"/>
        <v>17</v>
      </c>
      <c r="J872">
        <f t="shared" ca="1" si="68"/>
        <v>26</v>
      </c>
      <c r="K872">
        <f t="shared" ca="1" si="68"/>
        <v>0</v>
      </c>
      <c r="L872">
        <f t="shared" ca="1" si="69"/>
        <v>6</v>
      </c>
      <c r="M872">
        <f t="shared" ca="1" si="69"/>
        <v>20</v>
      </c>
      <c r="N872">
        <f t="shared" ca="1" si="69"/>
        <v>12</v>
      </c>
      <c r="O872">
        <f t="shared" ca="1" si="69"/>
        <v>12</v>
      </c>
      <c r="P872" s="8">
        <f t="shared" ca="1" si="69"/>
        <v>0</v>
      </c>
      <c r="Q872">
        <f t="shared" ca="1" si="69"/>
        <v>0</v>
      </c>
      <c r="R872">
        <f t="shared" ca="1" si="69"/>
        <v>0</v>
      </c>
      <c r="S872">
        <f t="shared" ca="1" si="69"/>
        <v>0</v>
      </c>
      <c r="T872">
        <f t="shared" ca="1" si="69"/>
        <v>0</v>
      </c>
      <c r="U872">
        <f t="shared" ca="1" si="69"/>
        <v>0</v>
      </c>
      <c r="V872" s="8">
        <f t="shared" ca="1" si="70"/>
        <v>0</v>
      </c>
      <c r="W872" s="8">
        <f t="shared" ca="1" si="70"/>
        <v>0</v>
      </c>
      <c r="X872" s="8">
        <f t="shared" ca="1" si="70"/>
        <v>0</v>
      </c>
      <c r="Y872" s="8">
        <f t="shared" ca="1" si="70"/>
        <v>0</v>
      </c>
      <c r="Z872" s="8">
        <f t="shared" ca="1" si="70"/>
        <v>0</v>
      </c>
      <c r="AA872">
        <f t="shared" ca="1" si="70"/>
        <v>0</v>
      </c>
      <c r="AB872">
        <f t="shared" ca="1" si="70"/>
        <v>30</v>
      </c>
      <c r="AC872" s="8">
        <f t="shared" ca="1" si="70"/>
        <v>0</v>
      </c>
      <c r="AD872" s="8">
        <f t="shared" ca="1" si="70"/>
        <v>0.04</v>
      </c>
      <c r="AE872">
        <f t="shared" ca="1" si="70"/>
        <v>5</v>
      </c>
      <c r="AF872">
        <f t="shared" ca="1" si="71"/>
        <v>0</v>
      </c>
      <c r="AG872">
        <f t="shared" ca="1" si="71"/>
        <v>0</v>
      </c>
      <c r="AH872" s="8">
        <f t="shared" ca="1" si="71"/>
        <v>0</v>
      </c>
      <c r="AI872">
        <f t="shared" ca="1" si="71"/>
        <v>0</v>
      </c>
      <c r="AJ872">
        <f t="shared" ca="1" si="71"/>
        <v>0</v>
      </c>
      <c r="AK872">
        <f t="shared" ca="1" si="71"/>
        <v>0</v>
      </c>
      <c r="AL872">
        <f t="shared" ca="1" si="71"/>
        <v>0</v>
      </c>
      <c r="AM872" s="8">
        <f t="shared" ca="1" si="71"/>
        <v>0</v>
      </c>
      <c r="AN872">
        <f t="shared" ca="1" si="71"/>
        <v>0</v>
      </c>
      <c r="AQ872" s="8"/>
    </row>
    <row r="873" spans="1:43" x14ac:dyDescent="0.2">
      <c r="A873" t="str">
        <f>Augments!A110</f>
        <v>Valorous Greaves (Custom 4)</v>
      </c>
      <c r="B873">
        <f t="shared" ca="1" si="68"/>
        <v>0</v>
      </c>
      <c r="C873">
        <f t="shared" ca="1" si="68"/>
        <v>0</v>
      </c>
      <c r="D873">
        <f t="shared" ca="1" si="68"/>
        <v>0</v>
      </c>
      <c r="E873">
        <f t="shared" ca="1" si="68"/>
        <v>0</v>
      </c>
      <c r="F873">
        <f t="shared" ca="1" si="68"/>
        <v>0</v>
      </c>
      <c r="G873">
        <f t="shared" ca="1" si="68"/>
        <v>17</v>
      </c>
      <c r="H873">
        <f t="shared" ca="1" si="68"/>
        <v>20</v>
      </c>
      <c r="I873">
        <f t="shared" ca="1" si="68"/>
        <v>17</v>
      </c>
      <c r="J873">
        <f t="shared" ca="1" si="68"/>
        <v>26</v>
      </c>
      <c r="K873">
        <f t="shared" ca="1" si="68"/>
        <v>0</v>
      </c>
      <c r="L873">
        <f t="shared" ca="1" si="69"/>
        <v>6</v>
      </c>
      <c r="M873">
        <f t="shared" ca="1" si="69"/>
        <v>20</v>
      </c>
      <c r="N873">
        <f t="shared" ca="1" si="69"/>
        <v>12</v>
      </c>
      <c r="O873">
        <f t="shared" ca="1" si="69"/>
        <v>12</v>
      </c>
      <c r="P873" s="8">
        <f t="shared" ca="1" si="69"/>
        <v>0</v>
      </c>
      <c r="Q873">
        <f t="shared" ca="1" si="69"/>
        <v>0</v>
      </c>
      <c r="R873">
        <f t="shared" ca="1" si="69"/>
        <v>0</v>
      </c>
      <c r="S873">
        <f t="shared" ca="1" si="69"/>
        <v>0</v>
      </c>
      <c r="T873">
        <f t="shared" ca="1" si="69"/>
        <v>0</v>
      </c>
      <c r="U873">
        <f t="shared" ca="1" si="69"/>
        <v>0</v>
      </c>
      <c r="V873" s="8">
        <f t="shared" ca="1" si="70"/>
        <v>0</v>
      </c>
      <c r="W873" s="8">
        <f t="shared" ca="1" si="70"/>
        <v>0</v>
      </c>
      <c r="X873" s="8">
        <f t="shared" ca="1" si="70"/>
        <v>0</v>
      </c>
      <c r="Y873" s="8">
        <f t="shared" ca="1" si="70"/>
        <v>0</v>
      </c>
      <c r="Z873" s="8">
        <f t="shared" ca="1" si="70"/>
        <v>0</v>
      </c>
      <c r="AA873">
        <f t="shared" ca="1" si="70"/>
        <v>0</v>
      </c>
      <c r="AB873">
        <f t="shared" ca="1" si="70"/>
        <v>30</v>
      </c>
      <c r="AC873" s="8">
        <f t="shared" ca="1" si="70"/>
        <v>0</v>
      </c>
      <c r="AD873" s="8">
        <f t="shared" ca="1" si="70"/>
        <v>0.04</v>
      </c>
      <c r="AE873">
        <f t="shared" ca="1" si="70"/>
        <v>5</v>
      </c>
      <c r="AF873">
        <f t="shared" ca="1" si="71"/>
        <v>0</v>
      </c>
      <c r="AG873">
        <f t="shared" ca="1" si="71"/>
        <v>0</v>
      </c>
      <c r="AH873" s="8">
        <f t="shared" ca="1" si="71"/>
        <v>0</v>
      </c>
      <c r="AI873">
        <f t="shared" ca="1" si="71"/>
        <v>0</v>
      </c>
      <c r="AJ873">
        <f t="shared" ca="1" si="71"/>
        <v>0</v>
      </c>
      <c r="AK873">
        <f t="shared" ca="1" si="71"/>
        <v>0</v>
      </c>
      <c r="AL873">
        <f t="shared" ca="1" si="71"/>
        <v>0</v>
      </c>
      <c r="AM873" s="8">
        <f t="shared" ca="1" si="71"/>
        <v>0</v>
      </c>
      <c r="AN873">
        <f t="shared" ca="1" si="71"/>
        <v>0</v>
      </c>
      <c r="AQ873" s="8"/>
    </row>
    <row r="874" spans="1:43" x14ac:dyDescent="0.2">
      <c r="A874" t="str">
        <f>Augments!A111</f>
        <v>Valorous Greaves (Custom 5)</v>
      </c>
      <c r="B874">
        <f t="shared" ca="1" si="68"/>
        <v>0</v>
      </c>
      <c r="C874">
        <f t="shared" ca="1" si="68"/>
        <v>0</v>
      </c>
      <c r="D874">
        <f t="shared" ca="1" si="68"/>
        <v>0</v>
      </c>
      <c r="E874">
        <f t="shared" ca="1" si="68"/>
        <v>0</v>
      </c>
      <c r="F874">
        <f t="shared" ca="1" si="68"/>
        <v>0</v>
      </c>
      <c r="G874">
        <f t="shared" ca="1" si="68"/>
        <v>17</v>
      </c>
      <c r="H874">
        <f t="shared" ca="1" si="68"/>
        <v>20</v>
      </c>
      <c r="I874">
        <f t="shared" ca="1" si="68"/>
        <v>17</v>
      </c>
      <c r="J874">
        <f t="shared" ca="1" si="68"/>
        <v>26</v>
      </c>
      <c r="K874">
        <f t="shared" ca="1" si="68"/>
        <v>0</v>
      </c>
      <c r="L874">
        <f t="shared" ca="1" si="69"/>
        <v>6</v>
      </c>
      <c r="M874">
        <f t="shared" ca="1" si="69"/>
        <v>20</v>
      </c>
      <c r="N874">
        <f t="shared" ca="1" si="69"/>
        <v>12</v>
      </c>
      <c r="O874">
        <f t="shared" ca="1" si="69"/>
        <v>12</v>
      </c>
      <c r="P874" s="8">
        <f t="shared" ca="1" si="69"/>
        <v>0</v>
      </c>
      <c r="Q874">
        <f t="shared" ca="1" si="69"/>
        <v>0</v>
      </c>
      <c r="R874">
        <f t="shared" ca="1" si="69"/>
        <v>0</v>
      </c>
      <c r="S874">
        <f t="shared" ca="1" si="69"/>
        <v>0</v>
      </c>
      <c r="T874">
        <f t="shared" ca="1" si="69"/>
        <v>0</v>
      </c>
      <c r="U874">
        <f t="shared" ca="1" si="69"/>
        <v>0</v>
      </c>
      <c r="V874" s="8">
        <f t="shared" ca="1" si="70"/>
        <v>0</v>
      </c>
      <c r="W874" s="8">
        <f t="shared" ca="1" si="70"/>
        <v>0</v>
      </c>
      <c r="X874" s="8">
        <f t="shared" ca="1" si="70"/>
        <v>0</v>
      </c>
      <c r="Y874" s="8">
        <f t="shared" ca="1" si="70"/>
        <v>0</v>
      </c>
      <c r="Z874" s="8">
        <f t="shared" ca="1" si="70"/>
        <v>0</v>
      </c>
      <c r="AA874">
        <f t="shared" ca="1" si="70"/>
        <v>0</v>
      </c>
      <c r="AB874">
        <f t="shared" ca="1" si="70"/>
        <v>30</v>
      </c>
      <c r="AC874" s="8">
        <f t="shared" ca="1" si="70"/>
        <v>0</v>
      </c>
      <c r="AD874" s="8">
        <f t="shared" ca="1" si="70"/>
        <v>0.04</v>
      </c>
      <c r="AE874">
        <f t="shared" ca="1" si="70"/>
        <v>5</v>
      </c>
      <c r="AF874">
        <f t="shared" ca="1" si="71"/>
        <v>0</v>
      </c>
      <c r="AG874">
        <f t="shared" ca="1" si="71"/>
        <v>0</v>
      </c>
      <c r="AH874" s="8">
        <f t="shared" ca="1" si="71"/>
        <v>0</v>
      </c>
      <c r="AI874">
        <f t="shared" ca="1" si="71"/>
        <v>0</v>
      </c>
      <c r="AJ874">
        <f t="shared" ca="1" si="71"/>
        <v>0</v>
      </c>
      <c r="AK874">
        <f t="shared" ca="1" si="71"/>
        <v>0</v>
      </c>
      <c r="AL874">
        <f t="shared" ca="1" si="71"/>
        <v>0</v>
      </c>
      <c r="AM874" s="8">
        <f t="shared" ca="1" si="71"/>
        <v>0</v>
      </c>
      <c r="AN874">
        <f t="shared" ca="1" si="71"/>
        <v>0</v>
      </c>
      <c r="AQ874" s="8"/>
    </row>
    <row r="875" spans="1:43" x14ac:dyDescent="0.2">
      <c r="A875" t="str">
        <f>Augments!A112</f>
        <v>Valorous Greaves (Custom 6)</v>
      </c>
      <c r="B875">
        <f t="shared" ca="1" si="68"/>
        <v>0</v>
      </c>
      <c r="C875">
        <f t="shared" ca="1" si="68"/>
        <v>0</v>
      </c>
      <c r="D875">
        <f t="shared" ca="1" si="68"/>
        <v>0</v>
      </c>
      <c r="E875">
        <f t="shared" ca="1" si="68"/>
        <v>0</v>
      </c>
      <c r="F875">
        <f t="shared" ca="1" si="68"/>
        <v>0</v>
      </c>
      <c r="G875">
        <f t="shared" ca="1" si="68"/>
        <v>17</v>
      </c>
      <c r="H875">
        <f t="shared" ca="1" si="68"/>
        <v>20</v>
      </c>
      <c r="I875">
        <f t="shared" ca="1" si="68"/>
        <v>17</v>
      </c>
      <c r="J875">
        <f t="shared" ca="1" si="68"/>
        <v>26</v>
      </c>
      <c r="K875">
        <f t="shared" ca="1" si="68"/>
        <v>0</v>
      </c>
      <c r="L875">
        <f t="shared" ca="1" si="69"/>
        <v>6</v>
      </c>
      <c r="M875">
        <f t="shared" ca="1" si="69"/>
        <v>20</v>
      </c>
      <c r="N875">
        <f t="shared" ca="1" si="69"/>
        <v>12</v>
      </c>
      <c r="O875">
        <f t="shared" ca="1" si="69"/>
        <v>12</v>
      </c>
      <c r="P875" s="8">
        <f t="shared" ca="1" si="69"/>
        <v>0</v>
      </c>
      <c r="Q875">
        <f t="shared" ca="1" si="69"/>
        <v>0</v>
      </c>
      <c r="R875">
        <f t="shared" ca="1" si="69"/>
        <v>0</v>
      </c>
      <c r="S875">
        <f t="shared" ca="1" si="69"/>
        <v>0</v>
      </c>
      <c r="T875">
        <f t="shared" ca="1" si="69"/>
        <v>0</v>
      </c>
      <c r="U875">
        <f t="shared" ca="1" si="69"/>
        <v>0</v>
      </c>
      <c r="V875" s="8">
        <f t="shared" ca="1" si="70"/>
        <v>0</v>
      </c>
      <c r="W875" s="8">
        <f t="shared" ca="1" si="70"/>
        <v>0</v>
      </c>
      <c r="X875" s="8">
        <f t="shared" ca="1" si="70"/>
        <v>0</v>
      </c>
      <c r="Y875" s="8">
        <f t="shared" ca="1" si="70"/>
        <v>0</v>
      </c>
      <c r="Z875" s="8">
        <f t="shared" ca="1" si="70"/>
        <v>0</v>
      </c>
      <c r="AA875">
        <f t="shared" ca="1" si="70"/>
        <v>0</v>
      </c>
      <c r="AB875">
        <f t="shared" ca="1" si="70"/>
        <v>30</v>
      </c>
      <c r="AC875" s="8">
        <f t="shared" ca="1" si="70"/>
        <v>0</v>
      </c>
      <c r="AD875" s="8">
        <f t="shared" ca="1" si="70"/>
        <v>0.04</v>
      </c>
      <c r="AE875">
        <f t="shared" ca="1" si="70"/>
        <v>5</v>
      </c>
      <c r="AF875">
        <f t="shared" ca="1" si="71"/>
        <v>0</v>
      </c>
      <c r="AG875">
        <f t="shared" ca="1" si="71"/>
        <v>0</v>
      </c>
      <c r="AH875" s="8">
        <f t="shared" ca="1" si="71"/>
        <v>0</v>
      </c>
      <c r="AI875">
        <f t="shared" ca="1" si="71"/>
        <v>0</v>
      </c>
      <c r="AJ875">
        <f t="shared" ca="1" si="71"/>
        <v>0</v>
      </c>
      <c r="AK875">
        <f t="shared" ca="1" si="71"/>
        <v>0</v>
      </c>
      <c r="AL875">
        <f t="shared" ca="1" si="71"/>
        <v>0</v>
      </c>
      <c r="AM875" s="8">
        <f t="shared" ca="1" si="71"/>
        <v>0</v>
      </c>
      <c r="AN875">
        <f t="shared" ca="1" si="71"/>
        <v>0</v>
      </c>
      <c r="AQ875" s="8"/>
    </row>
    <row r="876" spans="1:43" x14ac:dyDescent="0.2">
      <c r="A876" s="144" t="s">
        <v>987</v>
      </c>
      <c r="G876">
        <v>12</v>
      </c>
      <c r="H876">
        <v>29</v>
      </c>
      <c r="I876">
        <v>12</v>
      </c>
      <c r="J876">
        <v>42</v>
      </c>
      <c r="L876">
        <v>12</v>
      </c>
      <c r="M876">
        <v>30</v>
      </c>
      <c r="Q876">
        <v>16</v>
      </c>
      <c r="V876" s="8"/>
      <c r="W876" s="8"/>
      <c r="X876" s="8"/>
      <c r="Y876" s="8"/>
      <c r="Z876" s="8"/>
      <c r="AA876" s="8"/>
      <c r="AB876" s="4">
        <v>40</v>
      </c>
      <c r="AC876" s="8"/>
      <c r="AD876" s="8"/>
      <c r="AE876"/>
      <c r="AF876" s="8"/>
      <c r="AG876" s="8"/>
      <c r="AH876" s="8"/>
      <c r="AL876" s="8"/>
      <c r="AM876" s="8"/>
    </row>
    <row r="877" spans="1:43" x14ac:dyDescent="0.2">
      <c r="A877" t="s">
        <v>988</v>
      </c>
      <c r="G877">
        <v>14</v>
      </c>
      <c r="H877">
        <v>11</v>
      </c>
      <c r="I877">
        <v>9</v>
      </c>
      <c r="J877">
        <v>20</v>
      </c>
      <c r="L877">
        <v>6</v>
      </c>
      <c r="M877">
        <v>17</v>
      </c>
      <c r="O877">
        <v>10</v>
      </c>
      <c r="V877" s="8"/>
      <c r="W877" s="8"/>
      <c r="X877" s="8"/>
      <c r="Y877" s="8"/>
      <c r="Z877" s="8"/>
      <c r="AB877" s="4">
        <v>30</v>
      </c>
      <c r="AC877" s="8"/>
      <c r="AD877" s="8"/>
      <c r="AF877" s="8"/>
      <c r="AG877" s="8"/>
      <c r="AH877" s="8"/>
      <c r="AL877" s="8"/>
      <c r="AM877" s="8"/>
    </row>
    <row r="878" spans="1:43" x14ac:dyDescent="0.2">
      <c r="A878" t="s">
        <v>989</v>
      </c>
      <c r="G878">
        <v>20</v>
      </c>
      <c r="H878">
        <v>17</v>
      </c>
      <c r="I878">
        <v>15</v>
      </c>
      <c r="J878">
        <v>32</v>
      </c>
      <c r="L878">
        <v>10</v>
      </c>
      <c r="M878">
        <v>26</v>
      </c>
      <c r="O878">
        <v>10</v>
      </c>
      <c r="V878" s="8"/>
      <c r="W878" s="8"/>
      <c r="X878" s="8"/>
      <c r="Y878" s="8"/>
      <c r="Z878" s="8"/>
      <c r="AB878" s="4">
        <v>30</v>
      </c>
      <c r="AC878" s="8"/>
      <c r="AD878" s="8"/>
      <c r="AF878" s="8"/>
      <c r="AG878" s="8"/>
      <c r="AH878" s="8"/>
      <c r="AL878" s="8"/>
      <c r="AM878" s="8"/>
    </row>
    <row r="879" spans="1:43" x14ac:dyDescent="0.2">
      <c r="A879" t="s">
        <v>1700</v>
      </c>
      <c r="G879">
        <v>25</v>
      </c>
      <c r="H879">
        <v>22</v>
      </c>
      <c r="I879">
        <v>20</v>
      </c>
      <c r="J879">
        <v>37</v>
      </c>
      <c r="L879">
        <v>15</v>
      </c>
      <c r="M879">
        <v>31</v>
      </c>
      <c r="N879">
        <v>36</v>
      </c>
      <c r="O879">
        <v>20</v>
      </c>
      <c r="V879" s="8"/>
      <c r="W879" s="8"/>
      <c r="X879" s="8"/>
      <c r="Y879" s="8"/>
      <c r="Z879" s="8"/>
      <c r="AB879" s="4">
        <v>30</v>
      </c>
      <c r="AC879" s="8"/>
      <c r="AD879" s="8"/>
      <c r="AF879" s="8"/>
      <c r="AG879" s="8"/>
      <c r="AH879" s="8"/>
      <c r="AL879" s="8"/>
      <c r="AM879" s="8"/>
    </row>
    <row r="880" spans="1:43" x14ac:dyDescent="0.2">
      <c r="A880" t="s">
        <v>1701</v>
      </c>
      <c r="G880">
        <v>30</v>
      </c>
      <c r="H880">
        <v>27</v>
      </c>
      <c r="I880">
        <v>25</v>
      </c>
      <c r="J880">
        <v>42</v>
      </c>
      <c r="L880">
        <v>20</v>
      </c>
      <c r="M880">
        <v>36</v>
      </c>
      <c r="N880">
        <v>46</v>
      </c>
      <c r="O880">
        <v>30</v>
      </c>
      <c r="V880" s="8"/>
      <c r="W880" s="8"/>
      <c r="X880" s="8"/>
      <c r="Y880" s="8"/>
      <c r="Z880" s="8"/>
      <c r="AB880" s="4">
        <v>30</v>
      </c>
      <c r="AC880" s="8"/>
      <c r="AD880" s="8"/>
      <c r="AF880" s="8"/>
      <c r="AG880" s="8"/>
      <c r="AH880" s="8"/>
      <c r="AL880" s="8"/>
      <c r="AM880" s="8"/>
    </row>
    <row r="881" spans="1:63" x14ac:dyDescent="0.2">
      <c r="A881" t="s">
        <v>990</v>
      </c>
      <c r="G881">
        <v>15</v>
      </c>
      <c r="H881">
        <v>17</v>
      </c>
      <c r="I881">
        <v>15</v>
      </c>
      <c r="J881">
        <v>32</v>
      </c>
      <c r="L881">
        <v>15</v>
      </c>
      <c r="M881">
        <v>26</v>
      </c>
      <c r="N881">
        <v>13</v>
      </c>
      <c r="O881">
        <v>20</v>
      </c>
      <c r="V881" s="8"/>
      <c r="W881" s="8"/>
      <c r="X881" s="8"/>
      <c r="Y881" s="8"/>
      <c r="Z881" s="8"/>
      <c r="AB881" s="4">
        <v>51</v>
      </c>
      <c r="AC881" s="8"/>
      <c r="AD881" s="8"/>
      <c r="AF881" s="8"/>
      <c r="AG881" s="8"/>
      <c r="AH881" s="8"/>
      <c r="AL881" s="8"/>
      <c r="AM881" s="8"/>
    </row>
    <row r="882" spans="1:63" x14ac:dyDescent="0.2">
      <c r="A882" s="3" t="s">
        <v>992</v>
      </c>
      <c r="G882">
        <v>11</v>
      </c>
      <c r="H882">
        <v>9</v>
      </c>
      <c r="I882">
        <v>12</v>
      </c>
      <c r="J882">
        <v>26</v>
      </c>
      <c r="L882">
        <v>7</v>
      </c>
      <c r="M882">
        <v>23</v>
      </c>
      <c r="N882">
        <v>20</v>
      </c>
      <c r="O882">
        <v>15</v>
      </c>
      <c r="V882" s="8"/>
      <c r="W882" s="8"/>
      <c r="X882" s="8"/>
      <c r="Y882" s="8"/>
      <c r="Z882" s="8"/>
      <c r="AA882" s="8"/>
      <c r="AB882" s="4">
        <v>30</v>
      </c>
      <c r="AC882" s="8"/>
      <c r="AD882" s="8"/>
      <c r="AE882">
        <v>3</v>
      </c>
      <c r="AF882" s="8"/>
      <c r="AG882" s="8"/>
      <c r="AH882" s="8"/>
      <c r="AL882" s="4"/>
      <c r="AM882" s="8"/>
    </row>
    <row r="883" spans="1:63" x14ac:dyDescent="0.2">
      <c r="A883" s="3" t="s">
        <v>993</v>
      </c>
      <c r="G883">
        <v>11</v>
      </c>
      <c r="H883">
        <v>9</v>
      </c>
      <c r="I883">
        <v>12</v>
      </c>
      <c r="J883">
        <v>26</v>
      </c>
      <c r="L883">
        <v>7</v>
      </c>
      <c r="M883">
        <v>23</v>
      </c>
      <c r="N883">
        <v>25</v>
      </c>
      <c r="V883" s="8"/>
      <c r="W883" s="8"/>
      <c r="X883" s="8"/>
      <c r="Y883" s="8"/>
      <c r="Z883" s="8"/>
      <c r="AA883" s="8"/>
      <c r="AB883" s="4">
        <v>30</v>
      </c>
      <c r="AC883" s="8"/>
      <c r="AD883" s="8"/>
      <c r="AE883"/>
      <c r="AF883" s="8"/>
      <c r="AG883" s="8"/>
      <c r="AH883" s="8"/>
      <c r="AL883" s="4"/>
      <c r="AM883" s="8"/>
    </row>
    <row r="884" spans="1:63" x14ac:dyDescent="0.2">
      <c r="A884" s="3" t="s">
        <v>994</v>
      </c>
      <c r="G884">
        <v>18</v>
      </c>
      <c r="H884">
        <v>9</v>
      </c>
      <c r="I884">
        <v>12</v>
      </c>
      <c r="J884">
        <v>26</v>
      </c>
      <c r="L884">
        <v>7</v>
      </c>
      <c r="M884">
        <v>23</v>
      </c>
      <c r="N884">
        <v>10</v>
      </c>
      <c r="O884">
        <v>15</v>
      </c>
      <c r="V884" s="8">
        <v>0.02</v>
      </c>
      <c r="W884" s="8"/>
      <c r="X884" s="8"/>
      <c r="Y884" s="8"/>
      <c r="Z884" s="8"/>
      <c r="AA884" s="8"/>
      <c r="AB884" s="4">
        <v>30</v>
      </c>
      <c r="AC884" s="8"/>
      <c r="AD884" s="8"/>
      <c r="AE884"/>
      <c r="AF884" s="8"/>
      <c r="AG884" s="8"/>
      <c r="AH884" s="8"/>
      <c r="AL884" s="4"/>
      <c r="AM884" s="8"/>
    </row>
    <row r="885" spans="1:63" x14ac:dyDescent="0.2">
      <c r="AC885" s="8"/>
      <c r="AD885" s="8"/>
      <c r="AF885" s="8"/>
      <c r="AG885" s="8"/>
      <c r="AH885" s="8"/>
      <c r="AL885" s="8"/>
      <c r="AM885" s="8"/>
    </row>
    <row r="886" spans="1:63" x14ac:dyDescent="0.2">
      <c r="AC886" s="8"/>
      <c r="AD886" s="8"/>
      <c r="AF886" s="8"/>
      <c r="AG886" s="8"/>
      <c r="AH886" s="8"/>
      <c r="AL886" s="8"/>
      <c r="AM886" s="8"/>
    </row>
    <row r="887" spans="1:63" x14ac:dyDescent="0.2">
      <c r="AC887" s="8"/>
      <c r="AD887" s="8"/>
      <c r="AF887" s="8"/>
      <c r="AG887" s="8"/>
      <c r="AH887" s="8"/>
      <c r="AL887" s="8"/>
      <c r="AM887" s="8"/>
    </row>
    <row r="889" spans="1:63" x14ac:dyDescent="0.2">
      <c r="A889" s="1" t="s">
        <v>1433</v>
      </c>
      <c r="B889" s="1" t="s">
        <v>72</v>
      </c>
      <c r="C889" s="1" t="s">
        <v>482</v>
      </c>
      <c r="D889" s="1" t="s">
        <v>483</v>
      </c>
      <c r="E889" s="1" t="s">
        <v>484</v>
      </c>
      <c r="F889" s="1" t="s">
        <v>492</v>
      </c>
      <c r="G889" s="1" t="s">
        <v>26</v>
      </c>
      <c r="H889" s="1" t="s">
        <v>27</v>
      </c>
      <c r="I889" s="1" t="s">
        <v>23</v>
      </c>
      <c r="J889" s="1" t="s">
        <v>25</v>
      </c>
      <c r="K889" s="1" t="s">
        <v>298</v>
      </c>
      <c r="L889" s="1" t="s">
        <v>299</v>
      </c>
      <c r="M889" s="1" t="s">
        <v>300</v>
      </c>
      <c r="N889" s="1" t="s">
        <v>74</v>
      </c>
      <c r="O889" s="1" t="s">
        <v>73</v>
      </c>
      <c r="P889" s="1" t="s">
        <v>375</v>
      </c>
      <c r="Q889" s="1" t="s">
        <v>553</v>
      </c>
      <c r="R889" s="1" t="s">
        <v>554</v>
      </c>
      <c r="S889" s="1" t="s">
        <v>555</v>
      </c>
      <c r="T889" s="213" t="s">
        <v>556</v>
      </c>
      <c r="U889" s="213" t="s">
        <v>557</v>
      </c>
      <c r="V889" s="1" t="s">
        <v>75</v>
      </c>
      <c r="W889" s="1" t="s">
        <v>76</v>
      </c>
      <c r="X889" s="1" t="s">
        <v>77</v>
      </c>
      <c r="Y889" s="1" t="s">
        <v>480</v>
      </c>
      <c r="Z889" s="1" t="s">
        <v>80</v>
      </c>
      <c r="AA889" s="1" t="s">
        <v>481</v>
      </c>
      <c r="AB889" s="1" t="s">
        <v>28</v>
      </c>
      <c r="AC889" s="1" t="s">
        <v>78</v>
      </c>
      <c r="AD889" s="1" t="s">
        <v>79</v>
      </c>
      <c r="AE889" s="213" t="s">
        <v>82</v>
      </c>
      <c r="AF889" s="1" t="s">
        <v>81</v>
      </c>
      <c r="AG889" s="1" t="s">
        <v>102</v>
      </c>
      <c r="AH889" s="1" t="s">
        <v>103</v>
      </c>
      <c r="AI889" s="213" t="s">
        <v>452</v>
      </c>
      <c r="AJ889" s="213" t="s">
        <v>453</v>
      </c>
      <c r="AK889" s="213" t="s">
        <v>440</v>
      </c>
      <c r="AL889" s="1" t="s">
        <v>349</v>
      </c>
      <c r="AM889" s="1" t="s">
        <v>524</v>
      </c>
      <c r="AN889" s="213" t="s">
        <v>109</v>
      </c>
      <c r="AO889" s="1" t="s">
        <v>233</v>
      </c>
      <c r="AP889" s="1" t="s">
        <v>244</v>
      </c>
    </row>
    <row r="890" spans="1:63" x14ac:dyDescent="0.2">
      <c r="A890" s="3" t="s">
        <v>1675</v>
      </c>
      <c r="B890" s="3">
        <v>242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>
        <v>15</v>
      </c>
      <c r="O890" s="3"/>
      <c r="P890" s="3"/>
      <c r="Q890" s="3"/>
      <c r="R890" s="3"/>
      <c r="S890" s="3"/>
      <c r="T890" s="26"/>
      <c r="U890" s="26"/>
      <c r="V890" s="25">
        <v>0.03</v>
      </c>
      <c r="W890" s="3"/>
      <c r="X890" s="3"/>
      <c r="Y890" s="3"/>
      <c r="Z890" s="25">
        <v>0.06</v>
      </c>
      <c r="AA890" s="3"/>
      <c r="AB890" s="3"/>
      <c r="AC890" s="3"/>
      <c r="AD890" s="3"/>
      <c r="AE890" s="26"/>
      <c r="AF890" s="3"/>
      <c r="AG890" s="3"/>
      <c r="AH890" s="3"/>
      <c r="AI890" s="26"/>
      <c r="AJ890" s="26"/>
      <c r="AK890" s="26"/>
      <c r="AL890" s="3"/>
      <c r="AM890" s="3"/>
      <c r="AN890" s="26"/>
      <c r="AO890" s="3">
        <v>271</v>
      </c>
      <c r="AP890" s="3">
        <v>480</v>
      </c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</row>
    <row r="891" spans="1:63" x14ac:dyDescent="0.2">
      <c r="A891" s="3" t="s">
        <v>1674</v>
      </c>
      <c r="B891" s="3">
        <v>188</v>
      </c>
      <c r="C891" s="3"/>
      <c r="D891" s="3"/>
      <c r="E891" s="3"/>
      <c r="F891" s="3"/>
      <c r="G891" s="3">
        <v>12</v>
      </c>
      <c r="H891" s="3"/>
      <c r="I891" s="3">
        <v>12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26"/>
      <c r="U891" s="26"/>
      <c r="V891" s="3"/>
      <c r="W891" s="3"/>
      <c r="X891" s="3"/>
      <c r="Y891" s="3"/>
      <c r="Z891" s="3"/>
      <c r="AA891" s="3"/>
      <c r="AB891" s="3">
        <v>20</v>
      </c>
      <c r="AC891" s="3"/>
      <c r="AD891" s="3"/>
      <c r="AE891" s="26"/>
      <c r="AF891" s="3"/>
      <c r="AG891" s="3"/>
      <c r="AH891" s="3"/>
      <c r="AI891" s="26"/>
      <c r="AJ891" s="26"/>
      <c r="AK891" s="26"/>
      <c r="AL891" s="3"/>
      <c r="AM891" s="3"/>
      <c r="AN891" s="26"/>
      <c r="AO891" s="3">
        <v>239</v>
      </c>
      <c r="AP891" s="3">
        <v>492</v>
      </c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</row>
    <row r="892" spans="1:63" x14ac:dyDescent="0.2">
      <c r="A892" t="s">
        <v>1390</v>
      </c>
      <c r="B892">
        <v>242</v>
      </c>
      <c r="AO892">
        <v>277</v>
      </c>
      <c r="AP892">
        <v>528</v>
      </c>
    </row>
    <row r="893" spans="1:63" x14ac:dyDescent="0.2">
      <c r="A893" t="s">
        <v>1676</v>
      </c>
      <c r="B893">
        <v>242</v>
      </c>
      <c r="AO893">
        <v>240</v>
      </c>
      <c r="AP893">
        <v>492</v>
      </c>
    </row>
    <row r="894" spans="1:63" x14ac:dyDescent="0.2">
      <c r="A894" t="s">
        <v>1391</v>
      </c>
      <c r="B894">
        <v>242</v>
      </c>
      <c r="G894">
        <v>20</v>
      </c>
      <c r="N894">
        <v>20</v>
      </c>
      <c r="O894">
        <v>10</v>
      </c>
      <c r="AC894" s="8">
        <v>0.03</v>
      </c>
      <c r="AO894">
        <v>282</v>
      </c>
      <c r="AP894">
        <v>480</v>
      </c>
    </row>
    <row r="895" spans="1:63" x14ac:dyDescent="0.2">
      <c r="AC895" s="8"/>
      <c r="AD895" s="8"/>
      <c r="AF895" s="8"/>
      <c r="AG895" s="8"/>
      <c r="AH895" s="8"/>
      <c r="AL895" s="8"/>
      <c r="AM895" s="8"/>
    </row>
    <row r="897" spans="1:42" x14ac:dyDescent="0.2">
      <c r="A897" s="1" t="s">
        <v>1430</v>
      </c>
      <c r="B897" s="1" t="s">
        <v>72</v>
      </c>
      <c r="C897" s="1" t="s">
        <v>482</v>
      </c>
      <c r="D897" s="1" t="s">
        <v>483</v>
      </c>
      <c r="E897" s="1" t="s">
        <v>484</v>
      </c>
      <c r="F897" s="1" t="s">
        <v>492</v>
      </c>
      <c r="G897" s="1" t="s">
        <v>26</v>
      </c>
      <c r="H897" s="1" t="s">
        <v>27</v>
      </c>
      <c r="I897" s="1" t="s">
        <v>23</v>
      </c>
      <c r="J897" s="1" t="s">
        <v>25</v>
      </c>
      <c r="K897" s="1" t="s">
        <v>298</v>
      </c>
      <c r="L897" s="1" t="s">
        <v>299</v>
      </c>
      <c r="M897" s="1" t="s">
        <v>300</v>
      </c>
      <c r="N897" s="1" t="s">
        <v>74</v>
      </c>
      <c r="O897" s="1" t="s">
        <v>73</v>
      </c>
      <c r="P897" s="1" t="s">
        <v>375</v>
      </c>
      <c r="Q897" s="1" t="s">
        <v>553</v>
      </c>
      <c r="R897" s="1" t="s">
        <v>554</v>
      </c>
      <c r="S897" s="1" t="s">
        <v>555</v>
      </c>
      <c r="T897" s="213" t="s">
        <v>556</v>
      </c>
      <c r="U897" s="213" t="s">
        <v>557</v>
      </c>
      <c r="V897" s="1" t="s">
        <v>75</v>
      </c>
      <c r="W897" s="1" t="s">
        <v>76</v>
      </c>
      <c r="X897" s="1" t="s">
        <v>77</v>
      </c>
      <c r="Y897" s="1" t="s">
        <v>480</v>
      </c>
      <c r="Z897" s="1" t="s">
        <v>80</v>
      </c>
      <c r="AA897" s="1" t="s">
        <v>481</v>
      </c>
      <c r="AB897" s="1" t="s">
        <v>28</v>
      </c>
      <c r="AC897" s="1" t="s">
        <v>78</v>
      </c>
      <c r="AD897" s="1" t="s">
        <v>79</v>
      </c>
      <c r="AE897" s="213" t="s">
        <v>82</v>
      </c>
      <c r="AF897" s="1" t="s">
        <v>81</v>
      </c>
      <c r="AG897" s="1" t="s">
        <v>102</v>
      </c>
      <c r="AH897" s="1" t="s">
        <v>103</v>
      </c>
      <c r="AI897" s="213" t="s">
        <v>452</v>
      </c>
      <c r="AJ897" s="213" t="s">
        <v>453</v>
      </c>
      <c r="AK897" s="213" t="s">
        <v>440</v>
      </c>
      <c r="AL897" s="1" t="s">
        <v>349</v>
      </c>
      <c r="AM897" s="1" t="s">
        <v>524</v>
      </c>
      <c r="AN897" s="213" t="s">
        <v>109</v>
      </c>
      <c r="AO897" s="1"/>
      <c r="AP897" s="1"/>
    </row>
    <row r="898" spans="1:42" x14ac:dyDescent="0.2">
      <c r="A898" s="3" t="s">
        <v>1395</v>
      </c>
      <c r="G898">
        <v>22</v>
      </c>
      <c r="H898">
        <v>18</v>
      </c>
      <c r="I898">
        <v>18</v>
      </c>
      <c r="J898">
        <v>16</v>
      </c>
      <c r="K898">
        <v>15</v>
      </c>
      <c r="L898">
        <v>15</v>
      </c>
      <c r="M898">
        <v>15</v>
      </c>
      <c r="O898">
        <v>15</v>
      </c>
      <c r="U898" s="8"/>
      <c r="V898" s="8"/>
      <c r="W898" s="8"/>
      <c r="X898" s="8"/>
      <c r="Y898" s="8"/>
      <c r="Z898" s="8"/>
      <c r="AA898" s="4"/>
      <c r="AB898" s="11">
        <v>71</v>
      </c>
      <c r="AC898" s="8"/>
      <c r="AD898" s="4"/>
      <c r="AE898" s="4">
        <v>3</v>
      </c>
      <c r="AF898" s="11"/>
      <c r="AG898" s="8"/>
      <c r="AH898" s="4"/>
      <c r="AL898" s="8"/>
      <c r="AM898" s="4"/>
      <c r="AN898"/>
    </row>
    <row r="899" spans="1:42" x14ac:dyDescent="0.2">
      <c r="A899" s="3" t="s">
        <v>1660</v>
      </c>
      <c r="G899">
        <v>23</v>
      </c>
      <c r="H899">
        <v>17</v>
      </c>
      <c r="I899">
        <v>23</v>
      </c>
      <c r="J899">
        <v>17</v>
      </c>
      <c r="K899">
        <v>15</v>
      </c>
      <c r="L899">
        <v>15</v>
      </c>
      <c r="M899">
        <v>15</v>
      </c>
      <c r="U899" s="8"/>
      <c r="V899" s="8"/>
      <c r="W899" s="8"/>
      <c r="X899" s="8"/>
      <c r="Y899" s="8"/>
      <c r="Z899" s="8"/>
      <c r="AA899" s="4"/>
      <c r="AB899" s="11">
        <v>81</v>
      </c>
      <c r="AC899" s="8"/>
      <c r="AD899" s="4"/>
      <c r="AF899" s="11"/>
      <c r="AG899" s="8"/>
      <c r="AH899" s="4"/>
      <c r="AL899" s="8"/>
      <c r="AM899" s="4"/>
      <c r="AN899"/>
    </row>
    <row r="900" spans="1:42" x14ac:dyDescent="0.2">
      <c r="A900" s="3" t="s">
        <v>1472</v>
      </c>
      <c r="G900">
        <v>24</v>
      </c>
      <c r="H900">
        <v>20</v>
      </c>
      <c r="I900">
        <v>23</v>
      </c>
      <c r="J900">
        <v>17</v>
      </c>
      <c r="K900">
        <v>14</v>
      </c>
      <c r="L900">
        <v>14</v>
      </c>
      <c r="M900">
        <v>14</v>
      </c>
      <c r="N900">
        <v>20</v>
      </c>
      <c r="S900">
        <v>20</v>
      </c>
      <c r="U900" s="8"/>
      <c r="V900" s="8">
        <v>0.02</v>
      </c>
      <c r="W900" s="8"/>
      <c r="X900" s="8"/>
      <c r="Y900" s="8"/>
      <c r="Z900" s="8"/>
      <c r="AA900" s="4"/>
      <c r="AB900" s="11">
        <v>71</v>
      </c>
      <c r="AC900" s="8"/>
      <c r="AD900" s="4"/>
      <c r="AF900" s="11"/>
      <c r="AG900" s="8"/>
      <c r="AH900" s="4"/>
      <c r="AL900" s="8"/>
      <c r="AM900" s="4"/>
      <c r="AN900"/>
    </row>
    <row r="901" spans="1:42" x14ac:dyDescent="0.2">
      <c r="A901" s="3" t="s">
        <v>1661</v>
      </c>
      <c r="G901">
        <v>21</v>
      </c>
      <c r="H901">
        <v>15</v>
      </c>
      <c r="I901">
        <v>38</v>
      </c>
      <c r="J901">
        <v>15</v>
      </c>
      <c r="K901">
        <v>8</v>
      </c>
      <c r="L901">
        <v>8</v>
      </c>
      <c r="M901">
        <v>8</v>
      </c>
      <c r="S901">
        <v>20</v>
      </c>
      <c r="T901">
        <v>20</v>
      </c>
      <c r="U901">
        <v>20</v>
      </c>
      <c r="V901" s="8"/>
      <c r="W901" s="8"/>
      <c r="X901" s="8"/>
      <c r="Y901" s="8"/>
      <c r="Z901" s="8"/>
      <c r="AA901" s="4"/>
      <c r="AB901" s="11">
        <v>71</v>
      </c>
      <c r="AC901" s="8"/>
      <c r="AD901" s="4"/>
      <c r="AF901" s="11"/>
      <c r="AG901" s="8"/>
      <c r="AH901" s="4"/>
      <c r="AL901" s="8"/>
      <c r="AM901" s="4"/>
      <c r="AN901"/>
    </row>
    <row r="902" spans="1:42" x14ac:dyDescent="0.2">
      <c r="A902" s="3" t="s">
        <v>1662</v>
      </c>
      <c r="G902">
        <v>27</v>
      </c>
      <c r="H902">
        <v>17</v>
      </c>
      <c r="I902">
        <v>22</v>
      </c>
      <c r="J902">
        <v>17</v>
      </c>
      <c r="K902">
        <v>16</v>
      </c>
      <c r="L902">
        <v>16</v>
      </c>
      <c r="M902">
        <v>16</v>
      </c>
      <c r="O902">
        <v>20</v>
      </c>
      <c r="U902" s="8"/>
      <c r="V902" s="8">
        <v>0.03</v>
      </c>
      <c r="W902" s="8"/>
      <c r="X902" s="8"/>
      <c r="Y902" s="8"/>
      <c r="Z902" s="8"/>
      <c r="AA902" s="4"/>
      <c r="AB902" s="11">
        <v>81</v>
      </c>
      <c r="AC902" s="8"/>
      <c r="AD902" s="4"/>
      <c r="AF902" s="11"/>
      <c r="AG902" s="8"/>
      <c r="AH902" s="4"/>
      <c r="AL902" s="8"/>
      <c r="AM902" s="4"/>
      <c r="AN902"/>
    </row>
    <row r="903" spans="1:42" x14ac:dyDescent="0.2">
      <c r="A903" s="3" t="s">
        <v>1663</v>
      </c>
      <c r="G903">
        <v>22</v>
      </c>
      <c r="H903">
        <v>20</v>
      </c>
      <c r="I903">
        <v>22</v>
      </c>
      <c r="J903">
        <v>20</v>
      </c>
      <c r="K903">
        <v>19</v>
      </c>
      <c r="L903">
        <v>19</v>
      </c>
      <c r="M903">
        <v>19</v>
      </c>
      <c r="O903">
        <v>20</v>
      </c>
      <c r="U903" s="8"/>
      <c r="V903" s="8"/>
      <c r="W903" s="8"/>
      <c r="X903" s="8"/>
      <c r="Y903" s="8"/>
      <c r="Z903" s="8"/>
      <c r="AA903" s="4"/>
      <c r="AB903" s="11">
        <v>71</v>
      </c>
      <c r="AC903" s="8"/>
      <c r="AD903" s="4"/>
      <c r="AF903" s="11"/>
      <c r="AG903" s="8"/>
      <c r="AH903" s="4"/>
      <c r="AL903" s="8"/>
      <c r="AM903" s="4"/>
      <c r="AN903"/>
    </row>
    <row r="904" spans="1:42" x14ac:dyDescent="0.2">
      <c r="A904" s="3" t="s">
        <v>1396</v>
      </c>
      <c r="G904">
        <v>16</v>
      </c>
      <c r="H904">
        <v>23</v>
      </c>
      <c r="I904">
        <v>16</v>
      </c>
      <c r="J904">
        <v>23</v>
      </c>
      <c r="K904">
        <v>16</v>
      </c>
      <c r="L904">
        <v>16</v>
      </c>
      <c r="M904">
        <v>17</v>
      </c>
      <c r="N904">
        <v>10</v>
      </c>
      <c r="O904">
        <v>20</v>
      </c>
      <c r="Q904">
        <v>10</v>
      </c>
      <c r="AB904">
        <v>81</v>
      </c>
      <c r="AC904" s="8">
        <v>0.02</v>
      </c>
    </row>
    <row r="905" spans="1:42" x14ac:dyDescent="0.2">
      <c r="A905" s="3" t="s">
        <v>1397</v>
      </c>
      <c r="G905">
        <v>28</v>
      </c>
      <c r="H905">
        <v>24</v>
      </c>
      <c r="I905">
        <v>23</v>
      </c>
      <c r="J905">
        <v>18</v>
      </c>
      <c r="K905">
        <v>14</v>
      </c>
      <c r="L905">
        <v>14</v>
      </c>
      <c r="M905">
        <v>14</v>
      </c>
      <c r="N905">
        <v>13</v>
      </c>
      <c r="AB905">
        <v>71</v>
      </c>
      <c r="AC905" s="8">
        <v>0.02</v>
      </c>
      <c r="AF905">
        <v>3</v>
      </c>
    </row>
    <row r="906" spans="1:42" x14ac:dyDescent="0.2">
      <c r="A906" t="s">
        <v>1402</v>
      </c>
      <c r="G906">
        <v>25</v>
      </c>
      <c r="H906">
        <v>20</v>
      </c>
      <c r="I906">
        <v>24</v>
      </c>
      <c r="J906">
        <v>19</v>
      </c>
      <c r="K906">
        <v>19</v>
      </c>
      <c r="L906">
        <v>19</v>
      </c>
      <c r="M906">
        <v>19</v>
      </c>
      <c r="N906">
        <v>10</v>
      </c>
      <c r="O906">
        <v>10</v>
      </c>
      <c r="V906" s="8">
        <v>0.02</v>
      </c>
      <c r="AB906">
        <v>30</v>
      </c>
    </row>
    <row r="907" spans="1:42" x14ac:dyDescent="0.2">
      <c r="A907" t="s">
        <v>842</v>
      </c>
      <c r="G907">
        <v>29</v>
      </c>
      <c r="H907">
        <v>19</v>
      </c>
      <c r="I907">
        <v>29</v>
      </c>
      <c r="J907">
        <v>19</v>
      </c>
      <c r="K907">
        <v>19</v>
      </c>
      <c r="L907">
        <v>19</v>
      </c>
      <c r="M907">
        <v>19</v>
      </c>
      <c r="N907">
        <v>10</v>
      </c>
      <c r="V907" s="8"/>
      <c r="AB907">
        <v>30</v>
      </c>
    </row>
    <row r="908" spans="1:42" x14ac:dyDescent="0.2">
      <c r="A908" t="s">
        <v>1664</v>
      </c>
      <c r="G908">
        <v>30</v>
      </c>
      <c r="H908">
        <v>26</v>
      </c>
      <c r="I908">
        <v>30</v>
      </c>
      <c r="J908">
        <v>21</v>
      </c>
      <c r="K908">
        <v>21</v>
      </c>
      <c r="L908">
        <v>21</v>
      </c>
      <c r="M908">
        <v>21</v>
      </c>
      <c r="N908">
        <v>20</v>
      </c>
      <c r="O908">
        <v>20</v>
      </c>
      <c r="S908">
        <v>20</v>
      </c>
      <c r="T908">
        <v>20</v>
      </c>
      <c r="V908" s="8">
        <v>0.03</v>
      </c>
      <c r="AB908">
        <v>30</v>
      </c>
    </row>
    <row r="909" spans="1:42" x14ac:dyDescent="0.2">
      <c r="A909" t="s">
        <v>1665</v>
      </c>
      <c r="G909">
        <v>29</v>
      </c>
      <c r="H909">
        <v>17</v>
      </c>
      <c r="I909">
        <v>32</v>
      </c>
      <c r="J909">
        <v>17</v>
      </c>
      <c r="K909">
        <v>16</v>
      </c>
      <c r="L909">
        <v>16</v>
      </c>
      <c r="M909">
        <v>16</v>
      </c>
      <c r="O909">
        <v>20</v>
      </c>
      <c r="T909">
        <v>20</v>
      </c>
      <c r="V909" s="8"/>
      <c r="AB909">
        <v>30</v>
      </c>
    </row>
    <row r="910" spans="1:42" x14ac:dyDescent="0.2">
      <c r="A910" t="s">
        <v>1403</v>
      </c>
      <c r="G910">
        <v>22</v>
      </c>
      <c r="H910">
        <v>29</v>
      </c>
      <c r="I910">
        <v>22</v>
      </c>
      <c r="J910">
        <v>28</v>
      </c>
      <c r="K910">
        <v>21</v>
      </c>
      <c r="L910">
        <v>21</v>
      </c>
      <c r="M910">
        <v>21</v>
      </c>
      <c r="O910">
        <v>10</v>
      </c>
      <c r="R910">
        <v>10</v>
      </c>
      <c r="AB910">
        <v>40</v>
      </c>
    </row>
    <row r="911" spans="1:42" x14ac:dyDescent="0.2">
      <c r="A911" t="s">
        <v>1404</v>
      </c>
      <c r="G911">
        <v>29</v>
      </c>
      <c r="H911">
        <v>25</v>
      </c>
      <c r="I911">
        <v>29</v>
      </c>
      <c r="J911">
        <v>20</v>
      </c>
      <c r="K911">
        <v>20</v>
      </c>
      <c r="L911">
        <v>20</v>
      </c>
      <c r="M911">
        <v>20</v>
      </c>
      <c r="N911">
        <v>20</v>
      </c>
      <c r="V911" s="8">
        <v>0.02</v>
      </c>
      <c r="AB911">
        <v>30</v>
      </c>
      <c r="AE911" s="4">
        <v>3</v>
      </c>
    </row>
    <row r="912" spans="1:42" x14ac:dyDescent="0.2">
      <c r="A912" t="s">
        <v>1405</v>
      </c>
      <c r="G912">
        <v>4</v>
      </c>
      <c r="H912">
        <v>31</v>
      </c>
      <c r="I912">
        <v>28</v>
      </c>
      <c r="J912">
        <v>5</v>
      </c>
      <c r="K912">
        <v>8</v>
      </c>
      <c r="L912">
        <v>24</v>
      </c>
      <c r="M912">
        <v>18</v>
      </c>
      <c r="O912">
        <v>7</v>
      </c>
      <c r="AB912">
        <v>40</v>
      </c>
      <c r="AE912" s="4">
        <v>4</v>
      </c>
    </row>
    <row r="913" spans="1:39" x14ac:dyDescent="0.2">
      <c r="A913" t="s">
        <v>1666</v>
      </c>
      <c r="G913">
        <v>9</v>
      </c>
      <c r="H913">
        <v>31</v>
      </c>
      <c r="I913">
        <v>27</v>
      </c>
      <c r="J913">
        <v>4</v>
      </c>
      <c r="K913">
        <v>11</v>
      </c>
      <c r="L913">
        <v>26</v>
      </c>
      <c r="M913">
        <v>15</v>
      </c>
      <c r="N913">
        <v>20</v>
      </c>
      <c r="Q913">
        <v>20</v>
      </c>
      <c r="AB913">
        <v>30</v>
      </c>
    </row>
    <row r="914" spans="1:39" x14ac:dyDescent="0.2">
      <c r="A914" t="s">
        <v>1667</v>
      </c>
      <c r="G914">
        <v>8</v>
      </c>
      <c r="H914">
        <v>27</v>
      </c>
      <c r="I914">
        <v>31</v>
      </c>
      <c r="K914">
        <v>8</v>
      </c>
      <c r="L914">
        <v>23</v>
      </c>
      <c r="M914">
        <v>17</v>
      </c>
      <c r="O914">
        <v>8</v>
      </c>
      <c r="AB914">
        <v>40</v>
      </c>
      <c r="AE914" s="4">
        <v>5</v>
      </c>
    </row>
    <row r="915" spans="1:39" x14ac:dyDescent="0.2">
      <c r="A915" t="s">
        <v>1668</v>
      </c>
      <c r="G915">
        <v>11</v>
      </c>
      <c r="H915">
        <v>34</v>
      </c>
      <c r="I915">
        <v>34</v>
      </c>
      <c r="J915">
        <v>10</v>
      </c>
      <c r="K915">
        <v>8</v>
      </c>
      <c r="L915">
        <v>25</v>
      </c>
      <c r="M915">
        <v>19</v>
      </c>
      <c r="O915">
        <v>20</v>
      </c>
      <c r="T915">
        <v>20</v>
      </c>
      <c r="V915" s="8">
        <v>0.02</v>
      </c>
      <c r="AB915">
        <v>40</v>
      </c>
    </row>
    <row r="916" spans="1:39" x14ac:dyDescent="0.2">
      <c r="A916" t="s">
        <v>1669</v>
      </c>
      <c r="G916">
        <v>11</v>
      </c>
      <c r="H916">
        <v>35</v>
      </c>
      <c r="I916">
        <v>32</v>
      </c>
      <c r="J916">
        <v>5</v>
      </c>
      <c r="K916">
        <v>12</v>
      </c>
      <c r="L916">
        <v>30</v>
      </c>
      <c r="M916">
        <v>17</v>
      </c>
      <c r="N916">
        <v>18</v>
      </c>
      <c r="S916">
        <v>18</v>
      </c>
      <c r="T916">
        <v>15</v>
      </c>
      <c r="AB916">
        <v>51</v>
      </c>
    </row>
    <row r="917" spans="1:39" x14ac:dyDescent="0.2">
      <c r="A917" s="3" t="s">
        <v>1406</v>
      </c>
      <c r="G917">
        <v>9</v>
      </c>
      <c r="H917">
        <v>35</v>
      </c>
      <c r="I917">
        <v>30</v>
      </c>
      <c r="J917">
        <v>3</v>
      </c>
      <c r="K917">
        <v>10</v>
      </c>
      <c r="L917">
        <v>28</v>
      </c>
      <c r="M917">
        <v>15</v>
      </c>
      <c r="S917">
        <v>7</v>
      </c>
      <c r="T917">
        <v>7</v>
      </c>
      <c r="AB917">
        <v>51</v>
      </c>
    </row>
    <row r="918" spans="1:39" x14ac:dyDescent="0.2">
      <c r="A918" s="3" t="s">
        <v>1407</v>
      </c>
      <c r="G918">
        <v>13</v>
      </c>
      <c r="H918">
        <v>33</v>
      </c>
      <c r="I918">
        <v>33</v>
      </c>
      <c r="J918">
        <v>8</v>
      </c>
      <c r="K918">
        <v>7</v>
      </c>
      <c r="L918">
        <v>24</v>
      </c>
      <c r="M918">
        <v>17</v>
      </c>
      <c r="N918">
        <v>10</v>
      </c>
      <c r="O918">
        <v>10</v>
      </c>
      <c r="Z918" s="8">
        <v>0.1</v>
      </c>
      <c r="AB918">
        <v>40</v>
      </c>
    </row>
    <row r="919" spans="1:39" x14ac:dyDescent="0.2">
      <c r="A919" t="s">
        <v>1408</v>
      </c>
    </row>
    <row r="920" spans="1:39" x14ac:dyDescent="0.2">
      <c r="A920" t="s">
        <v>1565</v>
      </c>
      <c r="I920">
        <v>8</v>
      </c>
      <c r="N920">
        <v>20</v>
      </c>
      <c r="O920">
        <v>20</v>
      </c>
      <c r="V920" s="8"/>
      <c r="W920" s="8"/>
      <c r="X920" s="8"/>
      <c r="Y920" s="8"/>
      <c r="Z920" s="8"/>
      <c r="AB920" s="4"/>
      <c r="AC920" s="8"/>
      <c r="AD920" s="8"/>
      <c r="AF920" s="8"/>
      <c r="AG920" s="8"/>
      <c r="AH920" s="8"/>
      <c r="AL920" s="8"/>
      <c r="AM920" s="8"/>
    </row>
    <row r="921" spans="1:39" x14ac:dyDescent="0.2">
      <c r="A921" t="s">
        <v>1409</v>
      </c>
      <c r="G921">
        <v>33</v>
      </c>
      <c r="I921">
        <v>19</v>
      </c>
      <c r="J921">
        <v>13</v>
      </c>
      <c r="K921">
        <v>24</v>
      </c>
      <c r="L921">
        <v>14</v>
      </c>
      <c r="M921">
        <v>10</v>
      </c>
      <c r="N921">
        <v>10</v>
      </c>
      <c r="AB921">
        <v>51</v>
      </c>
      <c r="AE921" s="4">
        <v>4</v>
      </c>
    </row>
    <row r="922" spans="1:39" x14ac:dyDescent="0.2">
      <c r="A922" t="s">
        <v>1670</v>
      </c>
      <c r="G922">
        <v>33</v>
      </c>
      <c r="I922">
        <v>19</v>
      </c>
      <c r="J922">
        <v>14</v>
      </c>
      <c r="K922">
        <v>23</v>
      </c>
      <c r="L922">
        <v>10</v>
      </c>
      <c r="M922">
        <v>8</v>
      </c>
      <c r="O922">
        <v>10</v>
      </c>
      <c r="V922" s="8">
        <v>0.02</v>
      </c>
      <c r="AB922">
        <v>51</v>
      </c>
    </row>
    <row r="923" spans="1:39" x14ac:dyDescent="0.2">
      <c r="A923" t="s">
        <v>1474</v>
      </c>
      <c r="G923">
        <v>40</v>
      </c>
      <c r="I923">
        <v>28</v>
      </c>
      <c r="J923">
        <v>17</v>
      </c>
      <c r="K923">
        <v>25</v>
      </c>
      <c r="L923">
        <v>15</v>
      </c>
      <c r="M923">
        <v>12</v>
      </c>
      <c r="O923">
        <v>20</v>
      </c>
      <c r="S923">
        <v>20</v>
      </c>
      <c r="V923" s="8">
        <v>0.02</v>
      </c>
      <c r="AB923">
        <v>51</v>
      </c>
    </row>
    <row r="924" spans="1:39" x14ac:dyDescent="0.2">
      <c r="A924" t="s">
        <v>1411</v>
      </c>
      <c r="G924">
        <v>27</v>
      </c>
      <c r="I924">
        <v>14</v>
      </c>
      <c r="J924">
        <v>18</v>
      </c>
      <c r="K924">
        <v>28</v>
      </c>
      <c r="L924">
        <v>15</v>
      </c>
      <c r="M924">
        <v>9</v>
      </c>
      <c r="N924">
        <v>7</v>
      </c>
      <c r="Q924">
        <v>7</v>
      </c>
      <c r="W924" s="8">
        <v>0.02</v>
      </c>
      <c r="AB924">
        <v>61</v>
      </c>
    </row>
    <row r="925" spans="1:39" x14ac:dyDescent="0.2">
      <c r="A925" s="3" t="s">
        <v>1410</v>
      </c>
      <c r="G925">
        <v>39</v>
      </c>
      <c r="I925">
        <v>26</v>
      </c>
      <c r="J925">
        <v>16</v>
      </c>
      <c r="K925">
        <v>24</v>
      </c>
      <c r="L925">
        <v>14</v>
      </c>
      <c r="M925">
        <v>11</v>
      </c>
      <c r="O925">
        <v>15</v>
      </c>
      <c r="V925" s="8">
        <v>0.03</v>
      </c>
      <c r="AB925">
        <v>51</v>
      </c>
    </row>
    <row r="926" spans="1:39" x14ac:dyDescent="0.2">
      <c r="A926" t="s">
        <v>1414</v>
      </c>
      <c r="G926">
        <v>15</v>
      </c>
      <c r="H926">
        <v>15</v>
      </c>
      <c r="I926">
        <v>13</v>
      </c>
      <c r="J926">
        <v>30</v>
      </c>
      <c r="L926">
        <v>8</v>
      </c>
      <c r="M926">
        <v>24</v>
      </c>
      <c r="N926">
        <v>7</v>
      </c>
      <c r="V926" s="8">
        <v>0.02</v>
      </c>
      <c r="W926" s="8"/>
      <c r="X926" s="8"/>
      <c r="Y926" s="8"/>
      <c r="AB926">
        <v>30</v>
      </c>
    </row>
    <row r="927" spans="1:39" x14ac:dyDescent="0.2">
      <c r="A927" t="s">
        <v>1671</v>
      </c>
      <c r="G927">
        <v>15</v>
      </c>
      <c r="H927">
        <v>17</v>
      </c>
      <c r="I927">
        <v>21</v>
      </c>
      <c r="J927">
        <v>32</v>
      </c>
      <c r="L927">
        <v>10</v>
      </c>
      <c r="M927">
        <v>26</v>
      </c>
      <c r="V927" s="8">
        <v>0.03</v>
      </c>
      <c r="W927" s="8"/>
      <c r="X927" s="8"/>
      <c r="Y927" s="8"/>
      <c r="AB927">
        <v>30</v>
      </c>
    </row>
    <row r="928" spans="1:39" x14ac:dyDescent="0.2">
      <c r="A928" t="s">
        <v>1672</v>
      </c>
      <c r="G928">
        <v>14</v>
      </c>
      <c r="H928">
        <v>10</v>
      </c>
      <c r="I928">
        <v>15</v>
      </c>
      <c r="J928">
        <v>27</v>
      </c>
      <c r="L928">
        <v>8</v>
      </c>
      <c r="M928">
        <v>24</v>
      </c>
      <c r="N928">
        <v>8</v>
      </c>
      <c r="V928" s="8"/>
      <c r="W928" s="8"/>
      <c r="X928" s="8"/>
      <c r="Y928" s="8"/>
      <c r="AB928">
        <v>51</v>
      </c>
    </row>
    <row r="929" spans="1:39" x14ac:dyDescent="0.2">
      <c r="A929" t="s">
        <v>1673</v>
      </c>
      <c r="G929">
        <v>13</v>
      </c>
      <c r="H929">
        <v>15</v>
      </c>
      <c r="I929">
        <v>13</v>
      </c>
      <c r="J929">
        <v>27</v>
      </c>
      <c r="L929">
        <v>8</v>
      </c>
      <c r="M929">
        <v>23</v>
      </c>
      <c r="N929">
        <v>12</v>
      </c>
      <c r="V929" s="8"/>
      <c r="W929" s="8">
        <v>0.01</v>
      </c>
      <c r="X929" s="8"/>
      <c r="Y929" s="8"/>
      <c r="AB929">
        <v>51</v>
      </c>
    </row>
    <row r="930" spans="1:39" x14ac:dyDescent="0.2">
      <c r="A930" t="s">
        <v>1475</v>
      </c>
      <c r="G930">
        <v>19</v>
      </c>
      <c r="H930">
        <v>21</v>
      </c>
      <c r="I930">
        <v>19</v>
      </c>
      <c r="J930">
        <v>28</v>
      </c>
      <c r="L930">
        <v>7</v>
      </c>
      <c r="M930">
        <v>21</v>
      </c>
      <c r="N930">
        <v>20</v>
      </c>
      <c r="T930">
        <v>20</v>
      </c>
      <c r="V930" s="8">
        <v>0.02</v>
      </c>
      <c r="W930" s="8"/>
      <c r="X930" s="8"/>
      <c r="Y930" s="8"/>
      <c r="AB930">
        <v>30</v>
      </c>
    </row>
    <row r="931" spans="1:39" x14ac:dyDescent="0.2">
      <c r="A931" t="s">
        <v>1413</v>
      </c>
      <c r="G931">
        <v>10</v>
      </c>
      <c r="H931">
        <v>22</v>
      </c>
      <c r="I931">
        <v>10</v>
      </c>
      <c r="J931">
        <v>37</v>
      </c>
      <c r="L931">
        <v>10</v>
      </c>
      <c r="M931">
        <v>28</v>
      </c>
      <c r="N931">
        <v>7</v>
      </c>
      <c r="Q931">
        <v>7</v>
      </c>
      <c r="S931">
        <v>7</v>
      </c>
      <c r="V931" s="8"/>
      <c r="W931" s="8"/>
      <c r="X931" s="8"/>
      <c r="Y931" s="8"/>
      <c r="Z931" s="8"/>
      <c r="AA931">
        <v>4</v>
      </c>
      <c r="AB931" s="4">
        <v>40</v>
      </c>
      <c r="AC931" s="8"/>
      <c r="AD931" s="8"/>
      <c r="AF931" s="8"/>
      <c r="AG931" s="8"/>
      <c r="AH931" s="8"/>
      <c r="AL931" s="8"/>
      <c r="AM931" s="8"/>
    </row>
    <row r="932" spans="1:39" x14ac:dyDescent="0.2">
      <c r="A932" t="s">
        <v>1412</v>
      </c>
      <c r="G932">
        <v>17</v>
      </c>
      <c r="H932">
        <v>20</v>
      </c>
      <c r="I932">
        <v>17</v>
      </c>
      <c r="J932">
        <v>26</v>
      </c>
      <c r="L932">
        <v>6</v>
      </c>
      <c r="M932">
        <v>20</v>
      </c>
      <c r="N932">
        <v>12</v>
      </c>
      <c r="O932">
        <v>12</v>
      </c>
      <c r="V932" s="8"/>
      <c r="W932" s="8"/>
      <c r="X932" s="8"/>
      <c r="Y932" s="8"/>
      <c r="Z932" s="8"/>
      <c r="AA932" s="8"/>
      <c r="AB932" s="4">
        <v>30</v>
      </c>
      <c r="AC932" s="8"/>
      <c r="AD932" s="8">
        <v>0.04</v>
      </c>
      <c r="AE932">
        <v>5</v>
      </c>
      <c r="AF932" s="8"/>
      <c r="AG932" s="8"/>
      <c r="AH932" s="8"/>
      <c r="AL932" s="8"/>
      <c r="AM932" s="8"/>
    </row>
    <row r="937" spans="1:39" x14ac:dyDescent="0.2">
      <c r="A937" s="1" t="s">
        <v>1542</v>
      </c>
      <c r="B937" s="1" t="s">
        <v>297</v>
      </c>
      <c r="C937" s="1" t="s">
        <v>1545</v>
      </c>
      <c r="D937" s="1" t="s">
        <v>1547</v>
      </c>
      <c r="E937" s="1" t="s">
        <v>1546</v>
      </c>
      <c r="F937" s="1" t="s">
        <v>1548</v>
      </c>
      <c r="G937" s="1"/>
    </row>
    <row r="938" spans="1:39" x14ac:dyDescent="0.2">
      <c r="A938" t="s">
        <v>1543</v>
      </c>
      <c r="C938" s="8"/>
    </row>
    <row r="939" spans="1:39" x14ac:dyDescent="0.2">
      <c r="A939" t="s">
        <v>1544</v>
      </c>
      <c r="C939" s="8"/>
      <c r="D939">
        <v>26</v>
      </c>
    </row>
    <row r="940" spans="1:39" x14ac:dyDescent="0.2">
      <c r="A940" t="s">
        <v>1549</v>
      </c>
      <c r="C940" s="8"/>
      <c r="D940">
        <v>30</v>
      </c>
    </row>
    <row r="941" spans="1:39" x14ac:dyDescent="0.2">
      <c r="A941" t="s">
        <v>1550</v>
      </c>
      <c r="C941" s="8"/>
      <c r="D941">
        <v>30</v>
      </c>
    </row>
    <row r="942" spans="1:39" x14ac:dyDescent="0.2">
      <c r="A942" t="s">
        <v>1551</v>
      </c>
      <c r="C942" s="8"/>
      <c r="D942">
        <v>43</v>
      </c>
    </row>
    <row r="943" spans="1:39" x14ac:dyDescent="0.2">
      <c r="A943" t="s">
        <v>1552</v>
      </c>
      <c r="C943" s="8"/>
      <c r="D943">
        <v>43</v>
      </c>
      <c r="F943">
        <v>1</v>
      </c>
    </row>
    <row r="944" spans="1:39" x14ac:dyDescent="0.2">
      <c r="A944" t="s">
        <v>686</v>
      </c>
      <c r="C944" s="8"/>
      <c r="D944">
        <v>49</v>
      </c>
      <c r="F944">
        <v>1</v>
      </c>
    </row>
    <row r="945" spans="1:6" x14ac:dyDescent="0.2">
      <c r="A945" t="s">
        <v>687</v>
      </c>
      <c r="C945" s="8"/>
      <c r="D945">
        <v>56</v>
      </c>
      <c r="F945">
        <v>1</v>
      </c>
    </row>
    <row r="946" spans="1:6" x14ac:dyDescent="0.2">
      <c r="A946" t="s">
        <v>1567</v>
      </c>
      <c r="C946" s="8"/>
    </row>
    <row r="947" spans="1:6" x14ac:dyDescent="0.2">
      <c r="A947" t="s">
        <v>1568</v>
      </c>
      <c r="C947" s="8"/>
      <c r="E947">
        <v>8</v>
      </c>
    </row>
    <row r="948" spans="1:6" x14ac:dyDescent="0.2">
      <c r="A948" t="s">
        <v>1543</v>
      </c>
      <c r="C948" s="8"/>
    </row>
    <row r="949" spans="1:6" x14ac:dyDescent="0.2">
      <c r="A949" t="s">
        <v>1553</v>
      </c>
      <c r="B949">
        <v>50</v>
      </c>
      <c r="C949" s="8"/>
    </row>
    <row r="950" spans="1:6" x14ac:dyDescent="0.2">
      <c r="A950" t="s">
        <v>1046</v>
      </c>
      <c r="C950" s="8"/>
      <c r="D950">
        <v>5</v>
      </c>
    </row>
    <row r="951" spans="1:6" x14ac:dyDescent="0.2">
      <c r="A951" t="s">
        <v>1543</v>
      </c>
      <c r="C951" s="8"/>
    </row>
    <row r="952" spans="1:6" x14ac:dyDescent="0.2">
      <c r="A952" t="s">
        <v>1554</v>
      </c>
      <c r="B952">
        <v>20</v>
      </c>
      <c r="C952" s="8"/>
    </row>
    <row r="953" spans="1:6" x14ac:dyDescent="0.2">
      <c r="A953" t="s">
        <v>1137</v>
      </c>
      <c r="B953">
        <v>50</v>
      </c>
      <c r="C953" s="8"/>
    </row>
    <row r="954" spans="1:6" x14ac:dyDescent="0.2">
      <c r="A954" t="s">
        <v>1543</v>
      </c>
      <c r="C954" s="8"/>
    </row>
    <row r="955" spans="1:6" x14ac:dyDescent="0.2">
      <c r="A955" t="s">
        <v>1557</v>
      </c>
      <c r="B955">
        <v>65</v>
      </c>
      <c r="C955" s="8"/>
    </row>
    <row r="956" spans="1:6" x14ac:dyDescent="0.2">
      <c r="A956" t="s">
        <v>1555</v>
      </c>
      <c r="B956">
        <v>100</v>
      </c>
      <c r="C956" s="8"/>
    </row>
    <row r="957" spans="1:6" x14ac:dyDescent="0.2">
      <c r="A957" t="s">
        <v>1556</v>
      </c>
      <c r="B957">
        <v>125</v>
      </c>
      <c r="C957" s="8"/>
    </row>
    <row r="958" spans="1:6" x14ac:dyDescent="0.2">
      <c r="A958" t="s">
        <v>1569</v>
      </c>
      <c r="C958" s="8"/>
    </row>
    <row r="959" spans="1:6" x14ac:dyDescent="0.2">
      <c r="A959" t="s">
        <v>1570</v>
      </c>
      <c r="C959" s="8"/>
      <c r="E959">
        <v>8</v>
      </c>
    </row>
    <row r="960" spans="1:6" x14ac:dyDescent="0.2">
      <c r="A960" t="s">
        <v>1543</v>
      </c>
      <c r="C960" s="8"/>
    </row>
    <row r="961" spans="1:5" x14ac:dyDescent="0.2">
      <c r="A961" t="s">
        <v>1559</v>
      </c>
      <c r="B961">
        <v>10</v>
      </c>
      <c r="C961" s="8"/>
    </row>
    <row r="962" spans="1:5" x14ac:dyDescent="0.2">
      <c r="A962" t="s">
        <v>780</v>
      </c>
      <c r="B962">
        <v>50</v>
      </c>
      <c r="C962" s="8"/>
    </row>
    <row r="963" spans="1:5" x14ac:dyDescent="0.2">
      <c r="A963" t="s">
        <v>1558</v>
      </c>
      <c r="B963">
        <v>150</v>
      </c>
      <c r="C963" s="8"/>
    </row>
    <row r="964" spans="1:5" x14ac:dyDescent="0.2">
      <c r="A964" t="s">
        <v>1571</v>
      </c>
      <c r="C964" s="8"/>
    </row>
    <row r="965" spans="1:5" x14ac:dyDescent="0.2">
      <c r="A965" t="s">
        <v>1572</v>
      </c>
      <c r="C965" s="8"/>
      <c r="E965">
        <v>8</v>
      </c>
    </row>
    <row r="966" spans="1:5" x14ac:dyDescent="0.2">
      <c r="A966" t="s">
        <v>1543</v>
      </c>
      <c r="C966" s="8"/>
    </row>
    <row r="967" spans="1:5" x14ac:dyDescent="0.2">
      <c r="A967" t="s">
        <v>1543</v>
      </c>
      <c r="C967" s="8"/>
    </row>
    <row r="968" spans="1:5" x14ac:dyDescent="0.2">
      <c r="A968" t="s">
        <v>1290</v>
      </c>
      <c r="B968">
        <v>30</v>
      </c>
      <c r="C968" s="8"/>
    </row>
    <row r="969" spans="1:5" x14ac:dyDescent="0.2">
      <c r="A969" t="s">
        <v>1408</v>
      </c>
      <c r="C969" s="8"/>
      <c r="D969">
        <v>38</v>
      </c>
    </row>
    <row r="970" spans="1:5" x14ac:dyDescent="0.2">
      <c r="A970" t="s">
        <v>1303</v>
      </c>
      <c r="B970">
        <v>100</v>
      </c>
      <c r="C970" s="8"/>
    </row>
    <row r="971" spans="1:5" x14ac:dyDescent="0.2">
      <c r="A971" t="s">
        <v>1566</v>
      </c>
      <c r="B971">
        <v>100</v>
      </c>
      <c r="C971" s="8"/>
    </row>
    <row r="972" spans="1:5" x14ac:dyDescent="0.2">
      <c r="A972" t="s">
        <v>1304</v>
      </c>
      <c r="B972">
        <v>100</v>
      </c>
      <c r="C972" s="8"/>
      <c r="E972">
        <v>10</v>
      </c>
    </row>
    <row r="973" spans="1:5" x14ac:dyDescent="0.2">
      <c r="A973" t="s">
        <v>1543</v>
      </c>
      <c r="C973" s="8"/>
    </row>
    <row r="974" spans="1:5" x14ac:dyDescent="0.2">
      <c r="A974" t="s">
        <v>1573</v>
      </c>
      <c r="C974" s="8"/>
      <c r="D974">
        <v>5</v>
      </c>
    </row>
    <row r="975" spans="1:5" x14ac:dyDescent="0.2">
      <c r="A975" t="s">
        <v>1543</v>
      </c>
      <c r="C975" s="8"/>
    </row>
    <row r="976" spans="1:5" x14ac:dyDescent="0.2">
      <c r="A976" t="s">
        <v>1564</v>
      </c>
      <c r="B976">
        <v>30</v>
      </c>
      <c r="C976" s="8"/>
    </row>
    <row r="977" spans="1:5" x14ac:dyDescent="0.2">
      <c r="A977" t="s">
        <v>1560</v>
      </c>
      <c r="C977" s="8">
        <v>0.1</v>
      </c>
    </row>
    <row r="978" spans="1:5" x14ac:dyDescent="0.2">
      <c r="A978" t="s">
        <v>1561</v>
      </c>
      <c r="C978" s="8">
        <v>0.15</v>
      </c>
    </row>
    <row r="979" spans="1:5" x14ac:dyDescent="0.2">
      <c r="A979" t="s">
        <v>1562</v>
      </c>
      <c r="C979" s="8">
        <v>0.2</v>
      </c>
    </row>
    <row r="980" spans="1:5" x14ac:dyDescent="0.2">
      <c r="A980" t="s">
        <v>1563</v>
      </c>
      <c r="C980" s="8">
        <v>0.21</v>
      </c>
    </row>
    <row r="981" spans="1:5" x14ac:dyDescent="0.2">
      <c r="A981" t="s">
        <v>922</v>
      </c>
      <c r="C981" s="8">
        <v>0.2</v>
      </c>
    </row>
    <row r="982" spans="1:5" x14ac:dyDescent="0.2">
      <c r="A982" t="s">
        <v>923</v>
      </c>
      <c r="C982" s="8">
        <v>0.23</v>
      </c>
    </row>
    <row r="983" spans="1:5" x14ac:dyDescent="0.2">
      <c r="A983" t="s">
        <v>1698</v>
      </c>
      <c r="C983" s="8">
        <v>0.25</v>
      </c>
    </row>
    <row r="984" spans="1:5" x14ac:dyDescent="0.2">
      <c r="A984" t="s">
        <v>1699</v>
      </c>
      <c r="C984" s="8">
        <v>0.27</v>
      </c>
    </row>
    <row r="985" spans="1:5" x14ac:dyDescent="0.2">
      <c r="A985" t="s">
        <v>1574</v>
      </c>
      <c r="C985" s="8"/>
    </row>
    <row r="986" spans="1:5" x14ac:dyDescent="0.2">
      <c r="A986" t="s">
        <v>1575</v>
      </c>
      <c r="C986" s="8"/>
      <c r="E986">
        <v>8</v>
      </c>
    </row>
    <row r="987" spans="1:5" x14ac:dyDescent="0.2">
      <c r="A987" t="s">
        <v>1543</v>
      </c>
      <c r="C987" s="8"/>
    </row>
    <row r="988" spans="1:5" x14ac:dyDescent="0.2">
      <c r="A988" t="s">
        <v>1576</v>
      </c>
      <c r="B988">
        <v>50</v>
      </c>
      <c r="C988" s="8"/>
    </row>
    <row r="989" spans="1:5" x14ac:dyDescent="0.2">
      <c r="A989" t="s">
        <v>1577</v>
      </c>
      <c r="B989">
        <v>80</v>
      </c>
      <c r="C989" s="8"/>
    </row>
    <row r="990" spans="1:5" x14ac:dyDescent="0.2">
      <c r="A990" t="s">
        <v>1578</v>
      </c>
      <c r="C990" s="8">
        <v>0.1</v>
      </c>
    </row>
    <row r="991" spans="1:5" x14ac:dyDescent="0.2">
      <c r="A991" t="s">
        <v>981</v>
      </c>
      <c r="B991">
        <v>200</v>
      </c>
      <c r="C991" s="8"/>
    </row>
    <row r="992" spans="1:5" x14ac:dyDescent="0.2">
      <c r="A992" t="s">
        <v>982</v>
      </c>
      <c r="B992">
        <v>230</v>
      </c>
      <c r="C992" s="8"/>
    </row>
    <row r="993" spans="1:5" x14ac:dyDescent="0.2">
      <c r="A993" t="s">
        <v>1579</v>
      </c>
      <c r="C993" s="8"/>
    </row>
    <row r="994" spans="1:5" x14ac:dyDescent="0.2">
      <c r="A994" t="s">
        <v>1580</v>
      </c>
      <c r="C994" s="8"/>
      <c r="E994">
        <v>8</v>
      </c>
    </row>
  </sheetData>
  <sheetProtection selectLockedCells="1" selectUnlockedCells="1"/>
  <sortState xmlns:xlrd2="http://schemas.microsoft.com/office/spreadsheetml/2017/richdata2" ref="A228:BP229">
    <sortCondition ref="A228"/>
  </sortState>
  <phoneticPr fontId="6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indexed="46"/>
  </sheetPr>
  <dimension ref="A2:X377"/>
  <sheetViews>
    <sheetView topLeftCell="A243" workbookViewId="0">
      <selection activeCell="G113" sqref="G113"/>
    </sheetView>
  </sheetViews>
  <sheetFormatPr defaultRowHeight="12.75" x14ac:dyDescent="0.2"/>
  <cols>
    <col min="1" max="1" width="22" customWidth="1"/>
    <col min="2" max="2" width="10.5703125" customWidth="1"/>
    <col min="3" max="3" width="11.5703125" customWidth="1"/>
    <col min="4" max="4" width="12.140625" customWidth="1"/>
    <col min="5" max="5" width="13.140625" customWidth="1"/>
    <col min="6" max="6" width="11.7109375" customWidth="1"/>
    <col min="7" max="7" width="12" customWidth="1"/>
    <col min="9" max="9" width="9.28515625" customWidth="1"/>
    <col min="10" max="10" width="12.42578125" customWidth="1"/>
    <col min="11" max="11" width="12.140625" customWidth="1"/>
  </cols>
  <sheetData>
    <row r="2" spans="1:14" x14ac:dyDescent="0.2">
      <c r="A2" s="91" t="s">
        <v>16</v>
      </c>
      <c r="B2" s="91" t="s">
        <v>26</v>
      </c>
      <c r="C2" s="91" t="s">
        <v>27</v>
      </c>
      <c r="D2" s="91" t="s">
        <v>25</v>
      </c>
      <c r="E2" s="91" t="s">
        <v>23</v>
      </c>
      <c r="F2" s="91" t="s">
        <v>82</v>
      </c>
      <c r="G2" s="91" t="s">
        <v>76</v>
      </c>
      <c r="H2" s="91" t="s">
        <v>255</v>
      </c>
      <c r="I2" s="91" t="s">
        <v>256</v>
      </c>
      <c r="J2" s="91" t="s">
        <v>257</v>
      </c>
      <c r="K2" s="91" t="s">
        <v>258</v>
      </c>
      <c r="L2" s="91" t="s">
        <v>259</v>
      </c>
      <c r="M2" s="91" t="s">
        <v>260</v>
      </c>
      <c r="N2" s="138" t="s">
        <v>1453</v>
      </c>
    </row>
    <row r="3" spans="1:14" x14ac:dyDescent="0.2">
      <c r="A3" t="s">
        <v>245</v>
      </c>
      <c r="H3" s="8"/>
      <c r="K3" s="8"/>
    </row>
    <row r="4" spans="1:14" x14ac:dyDescent="0.2">
      <c r="A4" t="s">
        <v>658</v>
      </c>
      <c r="H4" s="8">
        <v>0.2</v>
      </c>
      <c r="I4">
        <v>50</v>
      </c>
      <c r="K4" s="8">
        <v>0.1</v>
      </c>
      <c r="L4">
        <v>54</v>
      </c>
      <c r="N4" t="s">
        <v>1454</v>
      </c>
    </row>
    <row r="5" spans="1:14" x14ac:dyDescent="0.2">
      <c r="A5" t="s">
        <v>659</v>
      </c>
      <c r="H5" s="8">
        <v>0.2</v>
      </c>
      <c r="I5">
        <v>55</v>
      </c>
      <c r="K5" s="8">
        <v>0.11</v>
      </c>
      <c r="L5">
        <v>58</v>
      </c>
      <c r="N5" t="s">
        <v>1454</v>
      </c>
    </row>
    <row r="6" spans="1:14" x14ac:dyDescent="0.2">
      <c r="A6" t="s">
        <v>1527</v>
      </c>
      <c r="B6">
        <v>1</v>
      </c>
      <c r="H6" s="8">
        <v>0.1</v>
      </c>
      <c r="I6">
        <v>40</v>
      </c>
      <c r="K6" s="8">
        <v>0.12</v>
      </c>
      <c r="L6">
        <v>80</v>
      </c>
    </row>
    <row r="7" spans="1:14" x14ac:dyDescent="0.2">
      <c r="A7" t="s">
        <v>1526</v>
      </c>
      <c r="C7">
        <v>1</v>
      </c>
      <c r="H7" s="8">
        <v>0.1</v>
      </c>
      <c r="I7">
        <v>40</v>
      </c>
      <c r="K7" s="8">
        <v>0.12</v>
      </c>
      <c r="L7">
        <v>80</v>
      </c>
    </row>
    <row r="8" spans="1:14" x14ac:dyDescent="0.2">
      <c r="A8" t="s">
        <v>1528</v>
      </c>
      <c r="D8">
        <v>1</v>
      </c>
      <c r="H8" s="8">
        <v>0.1</v>
      </c>
      <c r="I8">
        <v>40</v>
      </c>
      <c r="K8" s="8">
        <v>0.12</v>
      </c>
      <c r="L8">
        <v>80</v>
      </c>
    </row>
    <row r="9" spans="1:14" x14ac:dyDescent="0.2">
      <c r="A9" t="s">
        <v>1525</v>
      </c>
      <c r="E9">
        <v>1</v>
      </c>
      <c r="H9" s="8">
        <v>0.1</v>
      </c>
      <c r="I9">
        <v>40</v>
      </c>
      <c r="K9" s="8">
        <v>0.12</v>
      </c>
      <c r="L9">
        <v>80</v>
      </c>
    </row>
    <row r="10" spans="1:14" x14ac:dyDescent="0.2">
      <c r="A10" t="s">
        <v>1524</v>
      </c>
      <c r="H10" s="8">
        <v>0.1</v>
      </c>
      <c r="I10">
        <v>40</v>
      </c>
      <c r="K10" s="8">
        <v>0.12</v>
      </c>
      <c r="L10">
        <v>80</v>
      </c>
    </row>
    <row r="11" spans="1:14" x14ac:dyDescent="0.2">
      <c r="A11" t="s">
        <v>1520</v>
      </c>
      <c r="H11" s="8">
        <v>0.18</v>
      </c>
      <c r="I11">
        <v>80</v>
      </c>
      <c r="K11" s="8">
        <v>0.14000000000000001</v>
      </c>
      <c r="L11">
        <v>90</v>
      </c>
      <c r="N11" t="s">
        <v>1523</v>
      </c>
    </row>
    <row r="12" spans="1:14" x14ac:dyDescent="0.2">
      <c r="A12" t="s">
        <v>1522</v>
      </c>
      <c r="H12" s="8">
        <v>0.19</v>
      </c>
      <c r="I12">
        <v>85</v>
      </c>
      <c r="K12" s="8">
        <v>0.15</v>
      </c>
      <c r="L12">
        <v>95</v>
      </c>
      <c r="N12" t="s">
        <v>1521</v>
      </c>
    </row>
    <row r="13" spans="1:14" x14ac:dyDescent="0.2">
      <c r="A13" t="s">
        <v>261</v>
      </c>
      <c r="E13">
        <v>1</v>
      </c>
      <c r="H13" s="8"/>
      <c r="K13" s="8">
        <v>0.13</v>
      </c>
      <c r="L13">
        <v>64</v>
      </c>
    </row>
    <row r="14" spans="1:14" x14ac:dyDescent="0.2">
      <c r="A14" t="s">
        <v>1532</v>
      </c>
      <c r="E14">
        <v>2</v>
      </c>
      <c r="H14" s="8"/>
      <c r="K14" s="8">
        <v>0.14000000000000001</v>
      </c>
      <c r="L14">
        <v>68</v>
      </c>
    </row>
    <row r="15" spans="1:14" x14ac:dyDescent="0.2">
      <c r="A15" t="s">
        <v>262</v>
      </c>
      <c r="B15">
        <v>5</v>
      </c>
      <c r="C15">
        <v>6</v>
      </c>
      <c r="H15" s="8"/>
      <c r="K15" s="8">
        <v>0.15</v>
      </c>
      <c r="L15">
        <v>72</v>
      </c>
    </row>
    <row r="16" spans="1:14" x14ac:dyDescent="0.2">
      <c r="A16" t="s">
        <v>1530</v>
      </c>
      <c r="B16">
        <v>5</v>
      </c>
      <c r="C16">
        <v>6</v>
      </c>
      <c r="H16" s="8"/>
      <c r="K16" s="8">
        <v>0.16</v>
      </c>
      <c r="L16">
        <v>76</v>
      </c>
    </row>
    <row r="17" spans="1:12" x14ac:dyDescent="0.2">
      <c r="A17" t="s">
        <v>263</v>
      </c>
      <c r="C17">
        <v>6</v>
      </c>
      <c r="D17">
        <v>5</v>
      </c>
      <c r="H17" s="8"/>
      <c r="K17" s="8">
        <v>0.15</v>
      </c>
      <c r="L17">
        <v>72</v>
      </c>
    </row>
    <row r="18" spans="1:12" x14ac:dyDescent="0.2">
      <c r="A18" t="s">
        <v>1529</v>
      </c>
      <c r="C18">
        <v>6</v>
      </c>
      <c r="D18">
        <v>5</v>
      </c>
      <c r="H18" s="8"/>
      <c r="K18" s="8">
        <v>0.16</v>
      </c>
      <c r="L18">
        <v>76</v>
      </c>
    </row>
    <row r="19" spans="1:12" x14ac:dyDescent="0.2">
      <c r="A19" t="s">
        <v>264</v>
      </c>
      <c r="C19">
        <v>6</v>
      </c>
      <c r="E19">
        <v>5</v>
      </c>
      <c r="H19" s="8"/>
      <c r="K19" s="8">
        <v>0.16</v>
      </c>
      <c r="L19">
        <v>76</v>
      </c>
    </row>
    <row r="20" spans="1:12" x14ac:dyDescent="0.2">
      <c r="A20" t="s">
        <v>1531</v>
      </c>
      <c r="C20">
        <v>6</v>
      </c>
      <c r="E20">
        <v>5</v>
      </c>
      <c r="H20" s="8"/>
      <c r="K20" s="8">
        <v>0.17</v>
      </c>
      <c r="L20">
        <v>80</v>
      </c>
    </row>
    <row r="21" spans="1:12" x14ac:dyDescent="0.2">
      <c r="A21" t="s">
        <v>661</v>
      </c>
      <c r="B21">
        <v>6</v>
      </c>
      <c r="C21">
        <v>7</v>
      </c>
      <c r="H21" s="8"/>
      <c r="K21" s="8">
        <v>0.1</v>
      </c>
      <c r="L21">
        <v>100</v>
      </c>
    </row>
    <row r="22" spans="1:12" x14ac:dyDescent="0.2">
      <c r="A22" t="s">
        <v>1316</v>
      </c>
      <c r="B22">
        <v>7</v>
      </c>
      <c r="C22">
        <v>8</v>
      </c>
      <c r="H22" s="8"/>
      <c r="K22" s="8">
        <v>0.11</v>
      </c>
      <c r="L22">
        <v>105</v>
      </c>
    </row>
    <row r="23" spans="1:12" x14ac:dyDescent="0.2">
      <c r="A23" t="s">
        <v>265</v>
      </c>
      <c r="B23">
        <v>4</v>
      </c>
      <c r="E23">
        <v>2</v>
      </c>
      <c r="F23">
        <v>6</v>
      </c>
      <c r="H23" s="8">
        <v>0.17</v>
      </c>
      <c r="I23">
        <v>65</v>
      </c>
      <c r="K23" s="8"/>
    </row>
    <row r="24" spans="1:12" x14ac:dyDescent="0.2">
      <c r="A24" t="s">
        <v>1538</v>
      </c>
      <c r="B24">
        <v>4</v>
      </c>
      <c r="E24">
        <v>2</v>
      </c>
      <c r="F24">
        <v>6</v>
      </c>
      <c r="H24" s="8">
        <v>0.17</v>
      </c>
      <c r="I24">
        <v>70</v>
      </c>
      <c r="K24" s="8"/>
    </row>
    <row r="25" spans="1:12" x14ac:dyDescent="0.2">
      <c r="A25" t="s">
        <v>457</v>
      </c>
      <c r="B25">
        <v>5</v>
      </c>
      <c r="E25">
        <v>2</v>
      </c>
      <c r="F25">
        <v>6</v>
      </c>
      <c r="H25" s="8">
        <v>0.22</v>
      </c>
      <c r="I25">
        <v>90</v>
      </c>
      <c r="K25" s="8"/>
    </row>
    <row r="26" spans="1:12" x14ac:dyDescent="0.2">
      <c r="A26" t="s">
        <v>1541</v>
      </c>
      <c r="B26">
        <v>5</v>
      </c>
      <c r="E26">
        <v>2</v>
      </c>
      <c r="F26">
        <v>6</v>
      </c>
      <c r="H26" s="8">
        <v>0.23</v>
      </c>
      <c r="I26">
        <v>100</v>
      </c>
      <c r="K26" s="8"/>
    </row>
    <row r="27" spans="1:12" x14ac:dyDescent="0.2">
      <c r="A27" t="s">
        <v>1539</v>
      </c>
      <c r="B27">
        <v>7</v>
      </c>
      <c r="D27">
        <v>3</v>
      </c>
      <c r="E27">
        <v>5</v>
      </c>
      <c r="F27">
        <v>4</v>
      </c>
      <c r="H27" s="8">
        <v>0.23</v>
      </c>
      <c r="I27">
        <v>125</v>
      </c>
      <c r="K27" s="8"/>
    </row>
    <row r="28" spans="1:12" x14ac:dyDescent="0.2">
      <c r="A28" t="s">
        <v>1540</v>
      </c>
      <c r="B28">
        <v>8</v>
      </c>
      <c r="D28">
        <v>4</v>
      </c>
      <c r="E28">
        <v>6</v>
      </c>
      <c r="F28">
        <v>5</v>
      </c>
      <c r="H28" s="8">
        <v>0.24</v>
      </c>
      <c r="I28">
        <v>130</v>
      </c>
      <c r="K28" s="8"/>
    </row>
    <row r="29" spans="1:12" x14ac:dyDescent="0.2">
      <c r="A29" t="s">
        <v>1533</v>
      </c>
      <c r="B29">
        <v>5</v>
      </c>
      <c r="D29">
        <v>1</v>
      </c>
      <c r="H29" s="8">
        <v>0.22</v>
      </c>
      <c r="I29">
        <v>60</v>
      </c>
      <c r="K29" s="8"/>
    </row>
    <row r="30" spans="1:12" x14ac:dyDescent="0.2">
      <c r="A30" t="s">
        <v>1534</v>
      </c>
      <c r="B30">
        <v>5</v>
      </c>
      <c r="D30">
        <v>1</v>
      </c>
      <c r="H30" s="8">
        <v>0.22</v>
      </c>
      <c r="I30">
        <v>65</v>
      </c>
      <c r="K30" s="8"/>
    </row>
    <row r="31" spans="1:12" x14ac:dyDescent="0.2">
      <c r="A31" t="s">
        <v>266</v>
      </c>
      <c r="B31">
        <v>5</v>
      </c>
      <c r="D31">
        <v>1</v>
      </c>
      <c r="H31" s="8">
        <v>0.2</v>
      </c>
      <c r="I31">
        <v>75</v>
      </c>
      <c r="K31" s="8"/>
    </row>
    <row r="32" spans="1:12" x14ac:dyDescent="0.2">
      <c r="A32" t="s">
        <v>267</v>
      </c>
      <c r="B32">
        <v>5</v>
      </c>
      <c r="D32">
        <v>1</v>
      </c>
      <c r="H32" s="8">
        <v>0.22</v>
      </c>
      <c r="I32">
        <v>80</v>
      </c>
      <c r="K32" s="8"/>
    </row>
    <row r="33" spans="1:16" x14ac:dyDescent="0.2">
      <c r="A33" t="s">
        <v>268</v>
      </c>
      <c r="B33">
        <v>5</v>
      </c>
      <c r="D33">
        <v>2</v>
      </c>
      <c r="H33" s="8">
        <v>0.21</v>
      </c>
      <c r="I33">
        <v>75</v>
      </c>
      <c r="K33" s="8"/>
    </row>
    <row r="34" spans="1:16" x14ac:dyDescent="0.2">
      <c r="A34" t="s">
        <v>1535</v>
      </c>
      <c r="B34">
        <v>5</v>
      </c>
      <c r="H34" s="8">
        <v>0.23</v>
      </c>
      <c r="I34">
        <v>90</v>
      </c>
      <c r="K34" s="8"/>
    </row>
    <row r="35" spans="1:16" x14ac:dyDescent="0.2">
      <c r="A35" t="s">
        <v>17</v>
      </c>
      <c r="B35">
        <v>6</v>
      </c>
      <c r="D35">
        <v>1</v>
      </c>
      <c r="H35" s="8">
        <v>0.18</v>
      </c>
      <c r="I35">
        <v>90</v>
      </c>
      <c r="K35" s="8"/>
      <c r="N35" t="s">
        <v>1465</v>
      </c>
    </row>
    <row r="36" spans="1:16" x14ac:dyDescent="0.2">
      <c r="A36" t="s">
        <v>1537</v>
      </c>
      <c r="B36">
        <v>6</v>
      </c>
      <c r="D36">
        <v>1</v>
      </c>
      <c r="H36" s="8">
        <v>0.18</v>
      </c>
      <c r="I36">
        <v>95</v>
      </c>
      <c r="K36" s="8"/>
      <c r="N36" t="s">
        <v>1465</v>
      </c>
    </row>
    <row r="37" spans="1:16" x14ac:dyDescent="0.2">
      <c r="A37" t="s">
        <v>1456</v>
      </c>
      <c r="B37" s="3">
        <v>6</v>
      </c>
      <c r="C37" s="144"/>
      <c r="D37" s="144"/>
      <c r="F37" s="144"/>
      <c r="G37" s="144"/>
      <c r="H37" s="177">
        <v>0.18</v>
      </c>
      <c r="I37" s="3">
        <v>145</v>
      </c>
      <c r="N37" s="8" t="s">
        <v>1455</v>
      </c>
    </row>
    <row r="38" spans="1:16" x14ac:dyDescent="0.2">
      <c r="A38" t="s">
        <v>1457</v>
      </c>
      <c r="B38" s="3">
        <v>7</v>
      </c>
      <c r="C38" s="144"/>
      <c r="D38" s="144"/>
      <c r="F38" s="144"/>
      <c r="G38" s="144"/>
      <c r="H38" s="177">
        <v>0.2</v>
      </c>
      <c r="I38" s="3">
        <v>150</v>
      </c>
      <c r="N38" s="8" t="s">
        <v>1455</v>
      </c>
    </row>
    <row r="39" spans="1:16" x14ac:dyDescent="0.2">
      <c r="A39" t="s">
        <v>1452</v>
      </c>
      <c r="B39">
        <v>7</v>
      </c>
      <c r="D39">
        <v>1</v>
      </c>
      <c r="H39" s="8">
        <v>0.23</v>
      </c>
      <c r="I39">
        <v>150</v>
      </c>
      <c r="K39" s="8"/>
      <c r="N39" t="s">
        <v>1460</v>
      </c>
    </row>
    <row r="40" spans="1:16" x14ac:dyDescent="0.2">
      <c r="A40" t="s">
        <v>1536</v>
      </c>
      <c r="B40">
        <v>7</v>
      </c>
      <c r="D40">
        <v>3</v>
      </c>
      <c r="H40" s="8">
        <v>0.247</v>
      </c>
      <c r="I40">
        <v>150</v>
      </c>
      <c r="K40" s="8"/>
      <c r="N40" t="s">
        <v>1461</v>
      </c>
    </row>
    <row r="41" spans="1:16" x14ac:dyDescent="0.2">
      <c r="A41" t="s">
        <v>534</v>
      </c>
      <c r="B41" s="144">
        <v>7</v>
      </c>
      <c r="C41" s="144"/>
      <c r="D41" s="144"/>
      <c r="F41" s="144"/>
      <c r="G41" s="144"/>
      <c r="H41" s="177">
        <v>0.2</v>
      </c>
      <c r="I41" s="144">
        <v>160</v>
      </c>
      <c r="N41" s="8" t="s">
        <v>1455</v>
      </c>
    </row>
    <row r="42" spans="1:16" x14ac:dyDescent="0.2">
      <c r="A42" t="s">
        <v>535</v>
      </c>
      <c r="B42" s="144">
        <v>8</v>
      </c>
      <c r="C42" s="144"/>
      <c r="D42" s="144"/>
      <c r="F42" s="144"/>
      <c r="G42" s="144"/>
      <c r="H42" s="177">
        <v>0.22</v>
      </c>
      <c r="I42" s="144">
        <v>165</v>
      </c>
      <c r="N42" s="8" t="s">
        <v>1455</v>
      </c>
    </row>
    <row r="43" spans="1:16" x14ac:dyDescent="0.2">
      <c r="A43" t="s">
        <v>1462</v>
      </c>
      <c r="B43">
        <v>7</v>
      </c>
      <c r="C43">
        <v>7</v>
      </c>
      <c r="G43" s="8">
        <v>0.01</v>
      </c>
      <c r="H43" s="8">
        <v>0.23</v>
      </c>
      <c r="I43">
        <v>160</v>
      </c>
      <c r="K43" s="8"/>
      <c r="N43" t="s">
        <v>1463</v>
      </c>
    </row>
    <row r="44" spans="1:16" x14ac:dyDescent="0.2">
      <c r="A44" t="s">
        <v>1464</v>
      </c>
      <c r="B44">
        <v>8</v>
      </c>
      <c r="C44">
        <v>8</v>
      </c>
      <c r="G44" s="8">
        <v>0.02</v>
      </c>
      <c r="H44" s="8">
        <v>0.24</v>
      </c>
      <c r="I44">
        <v>165</v>
      </c>
      <c r="K44" s="8"/>
      <c r="N44" t="s">
        <v>1465</v>
      </c>
    </row>
    <row r="45" spans="1:16" x14ac:dyDescent="0.2">
      <c r="A45" t="s">
        <v>533</v>
      </c>
      <c r="B45" s="144">
        <v>8</v>
      </c>
      <c r="C45" s="144"/>
      <c r="D45" s="144"/>
      <c r="F45" s="144"/>
      <c r="G45" s="144"/>
      <c r="H45" s="177">
        <v>0.23</v>
      </c>
      <c r="I45" s="144">
        <v>180</v>
      </c>
      <c r="N45" s="8" t="s">
        <v>1517</v>
      </c>
    </row>
    <row r="46" spans="1:16" x14ac:dyDescent="0.2">
      <c r="A46" t="s">
        <v>1518</v>
      </c>
      <c r="B46" s="3">
        <v>9</v>
      </c>
      <c r="C46" s="144"/>
      <c r="D46" s="144"/>
      <c r="F46" s="144"/>
      <c r="G46" s="144"/>
      <c r="H46" s="177">
        <v>0.24</v>
      </c>
      <c r="I46" s="3">
        <v>185</v>
      </c>
      <c r="N46" s="8" t="s">
        <v>1519</v>
      </c>
    </row>
    <row r="47" spans="1:16" x14ac:dyDescent="0.2">
      <c r="A47" t="s">
        <v>1466</v>
      </c>
      <c r="H47" s="8"/>
      <c r="K47" s="8"/>
      <c r="N47" t="s">
        <v>1468</v>
      </c>
      <c r="P47" t="s">
        <v>1470</v>
      </c>
    </row>
    <row r="48" spans="1:16" x14ac:dyDescent="0.2">
      <c r="A48" t="s">
        <v>1467</v>
      </c>
      <c r="H48" s="8"/>
      <c r="K48" s="8"/>
      <c r="N48" t="s">
        <v>1469</v>
      </c>
      <c r="P48" t="s">
        <v>1507</v>
      </c>
    </row>
    <row r="51" spans="1:20" x14ac:dyDescent="0.2">
      <c r="A51" s="91" t="s">
        <v>342</v>
      </c>
      <c r="B51" s="91" t="s">
        <v>215</v>
      </c>
      <c r="C51" s="91" t="s">
        <v>388</v>
      </c>
      <c r="D51" s="91" t="s">
        <v>389</v>
      </c>
      <c r="E51" s="91" t="s">
        <v>390</v>
      </c>
      <c r="F51" s="91" t="s">
        <v>391</v>
      </c>
      <c r="G51" s="91" t="s">
        <v>392</v>
      </c>
      <c r="H51" s="137" t="s">
        <v>393</v>
      </c>
      <c r="I51" s="91" t="s">
        <v>394</v>
      </c>
      <c r="J51" s="91" t="s">
        <v>395</v>
      </c>
      <c r="K51" s="138" t="s">
        <v>396</v>
      </c>
      <c r="L51" s="91" t="s">
        <v>124</v>
      </c>
      <c r="M51" s="91" t="s">
        <v>397</v>
      </c>
      <c r="N51" s="91" t="s">
        <v>398</v>
      </c>
      <c r="O51" s="91" t="s">
        <v>561</v>
      </c>
      <c r="P51" s="91" t="s">
        <v>562</v>
      </c>
      <c r="Q51" s="91" t="s">
        <v>563</v>
      </c>
      <c r="R51" s="138" t="s">
        <v>399</v>
      </c>
      <c r="S51" s="138" t="s">
        <v>400</v>
      </c>
      <c r="T51" s="138" t="s">
        <v>401</v>
      </c>
    </row>
    <row r="52" spans="1:20" x14ac:dyDescent="0.2">
      <c r="A52" t="s">
        <v>538</v>
      </c>
      <c r="B52">
        <v>0</v>
      </c>
      <c r="C52">
        <v>1</v>
      </c>
      <c r="D52" t="s">
        <v>26</v>
      </c>
      <c r="E52" s="8">
        <v>0.3</v>
      </c>
      <c r="F52" s="141" t="s">
        <v>27</v>
      </c>
      <c r="G52" s="48">
        <v>0.3</v>
      </c>
      <c r="H52" s="63">
        <v>1</v>
      </c>
      <c r="I52" s="89">
        <v>2</v>
      </c>
      <c r="J52" s="89">
        <v>3</v>
      </c>
      <c r="K52" s="139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140">
        <v>0</v>
      </c>
      <c r="S52" s="140">
        <v>0</v>
      </c>
      <c r="T52" s="140">
        <v>0</v>
      </c>
    </row>
    <row r="53" spans="1:20" x14ac:dyDescent="0.2">
      <c r="A53" t="s">
        <v>539</v>
      </c>
      <c r="B53">
        <v>0</v>
      </c>
      <c r="C53">
        <v>0</v>
      </c>
      <c r="D53" t="s">
        <v>26</v>
      </c>
      <c r="E53" s="8">
        <v>1</v>
      </c>
      <c r="F53" s="141" t="s">
        <v>348</v>
      </c>
      <c r="G53" s="48">
        <v>0</v>
      </c>
      <c r="H53" s="63">
        <v>1</v>
      </c>
      <c r="I53" s="89">
        <v>1</v>
      </c>
      <c r="J53" s="89">
        <v>1</v>
      </c>
      <c r="K53" s="139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140">
        <v>0</v>
      </c>
      <c r="S53" s="140">
        <v>0</v>
      </c>
      <c r="T53" s="140">
        <v>0</v>
      </c>
    </row>
    <row r="54" spans="1:20" x14ac:dyDescent="0.2">
      <c r="A54" t="s">
        <v>269</v>
      </c>
      <c r="B54">
        <v>0</v>
      </c>
      <c r="C54">
        <v>4</v>
      </c>
      <c r="D54" t="s">
        <v>26</v>
      </c>
      <c r="E54" s="8">
        <v>0.2</v>
      </c>
      <c r="F54" s="32" t="s">
        <v>27</v>
      </c>
      <c r="G54" s="48">
        <v>0.2</v>
      </c>
      <c r="H54" s="63">
        <v>1</v>
      </c>
      <c r="I54" s="89">
        <v>1</v>
      </c>
      <c r="J54" s="89">
        <v>1</v>
      </c>
      <c r="K54" s="139">
        <v>0</v>
      </c>
      <c r="L54" s="8">
        <v>-0.125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48">
        <v>0</v>
      </c>
      <c r="S54" s="8">
        <v>0</v>
      </c>
      <c r="T54" s="8">
        <v>0</v>
      </c>
    </row>
    <row r="55" spans="1:20" x14ac:dyDescent="0.2">
      <c r="A55" t="s">
        <v>540</v>
      </c>
      <c r="B55">
        <v>0</v>
      </c>
      <c r="C55">
        <v>0</v>
      </c>
      <c r="D55" t="s">
        <v>26</v>
      </c>
      <c r="E55" s="8">
        <v>0.5</v>
      </c>
      <c r="F55" s="141" t="s">
        <v>25</v>
      </c>
      <c r="G55" s="48">
        <v>0.5</v>
      </c>
      <c r="H55" s="63">
        <v>1</v>
      </c>
      <c r="I55" s="89">
        <v>1</v>
      </c>
      <c r="J55" s="89">
        <v>1</v>
      </c>
      <c r="K55" s="139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140">
        <v>0.1</v>
      </c>
      <c r="S55" s="140">
        <v>0.2</v>
      </c>
      <c r="T55" s="140">
        <v>0.2</v>
      </c>
    </row>
    <row r="56" spans="1:20" x14ac:dyDescent="0.2">
      <c r="A56" t="s">
        <v>542</v>
      </c>
      <c r="B56">
        <v>0</v>
      </c>
      <c r="C56">
        <v>2</v>
      </c>
      <c r="D56" t="s">
        <v>26</v>
      </c>
      <c r="E56" s="8">
        <v>0.5</v>
      </c>
      <c r="F56" s="141" t="s">
        <v>348</v>
      </c>
      <c r="G56" s="48">
        <v>0</v>
      </c>
      <c r="H56" s="63">
        <v>1</v>
      </c>
      <c r="I56" s="89">
        <v>1</v>
      </c>
      <c r="J56" s="89">
        <v>1</v>
      </c>
      <c r="K56" s="139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140">
        <v>0.1</v>
      </c>
      <c r="S56" s="140">
        <v>0.2</v>
      </c>
      <c r="T56" s="140">
        <v>0.2</v>
      </c>
    </row>
    <row r="57" spans="1:20" x14ac:dyDescent="0.2">
      <c r="A57" t="s">
        <v>543</v>
      </c>
      <c r="B57">
        <v>0</v>
      </c>
      <c r="C57">
        <v>0</v>
      </c>
      <c r="D57" t="s">
        <v>26</v>
      </c>
      <c r="E57" s="8">
        <v>0.8</v>
      </c>
      <c r="F57" s="141" t="s">
        <v>348</v>
      </c>
      <c r="G57" s="48">
        <v>0</v>
      </c>
      <c r="H57" s="63">
        <v>1.75</v>
      </c>
      <c r="I57" s="89">
        <v>1.75</v>
      </c>
      <c r="J57" s="89">
        <v>1.75</v>
      </c>
      <c r="K57" s="139">
        <v>0</v>
      </c>
      <c r="L57" s="8">
        <v>0.1</v>
      </c>
      <c r="M57" s="8">
        <v>0.1</v>
      </c>
      <c r="N57" s="8">
        <v>0.1</v>
      </c>
      <c r="O57" s="8">
        <v>0</v>
      </c>
      <c r="P57" s="8">
        <v>0</v>
      </c>
      <c r="Q57" s="8">
        <v>0</v>
      </c>
      <c r="R57" s="140">
        <v>0</v>
      </c>
      <c r="S57" s="140">
        <v>0</v>
      </c>
      <c r="T57" s="140">
        <v>0</v>
      </c>
    </row>
    <row r="58" spans="1:20" x14ac:dyDescent="0.2">
      <c r="A58" t="s">
        <v>541</v>
      </c>
      <c r="B58">
        <v>0</v>
      </c>
      <c r="C58">
        <v>1</v>
      </c>
      <c r="D58" t="s">
        <v>26</v>
      </c>
      <c r="E58" s="8">
        <v>1</v>
      </c>
      <c r="F58" s="141" t="s">
        <v>348</v>
      </c>
      <c r="G58" s="48">
        <v>0</v>
      </c>
      <c r="H58" s="63">
        <v>1</v>
      </c>
      <c r="I58" s="89">
        <v>3</v>
      </c>
      <c r="J58" s="89">
        <v>5.5</v>
      </c>
      <c r="K58" s="139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140">
        <v>0</v>
      </c>
      <c r="S58" s="140">
        <v>0</v>
      </c>
      <c r="T58" s="140">
        <v>0</v>
      </c>
    </row>
    <row r="59" spans="1:20" x14ac:dyDescent="0.2">
      <c r="A59" t="s">
        <v>270</v>
      </c>
      <c r="B59">
        <v>0</v>
      </c>
      <c r="C59">
        <v>0</v>
      </c>
      <c r="D59" t="s">
        <v>27</v>
      </c>
      <c r="E59" s="8">
        <v>0.8</v>
      </c>
      <c r="F59" s="141" t="s">
        <v>348</v>
      </c>
      <c r="G59" s="48">
        <v>0</v>
      </c>
      <c r="H59" s="63">
        <v>3</v>
      </c>
      <c r="I59" s="89">
        <v>3</v>
      </c>
      <c r="J59" s="89">
        <v>3</v>
      </c>
      <c r="K59" s="139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140">
        <v>0</v>
      </c>
      <c r="S59" s="140">
        <v>0</v>
      </c>
      <c r="T59" s="140">
        <v>0</v>
      </c>
    </row>
    <row r="60" spans="1:20" x14ac:dyDescent="0.2">
      <c r="A60" t="s">
        <v>39</v>
      </c>
      <c r="B60">
        <v>0</v>
      </c>
      <c r="C60">
        <v>3</v>
      </c>
      <c r="D60" t="s">
        <v>26</v>
      </c>
      <c r="E60" s="8">
        <v>0.5</v>
      </c>
      <c r="F60" s="32" t="s">
        <v>348</v>
      </c>
      <c r="G60" s="48">
        <v>0</v>
      </c>
      <c r="H60" s="63">
        <v>1</v>
      </c>
      <c r="I60" s="89">
        <v>1</v>
      </c>
      <c r="J60" s="89">
        <v>1</v>
      </c>
      <c r="K60" s="139">
        <v>0</v>
      </c>
      <c r="L60" s="8">
        <v>-0.1875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140">
        <v>0.1</v>
      </c>
      <c r="S60" s="140">
        <v>0.15</v>
      </c>
      <c r="T60" s="140">
        <v>0.15</v>
      </c>
    </row>
    <row r="61" spans="1:20" x14ac:dyDescent="0.2">
      <c r="A61" t="s">
        <v>441</v>
      </c>
      <c r="B61">
        <v>0</v>
      </c>
      <c r="C61">
        <v>0</v>
      </c>
      <c r="D61" t="s">
        <v>26</v>
      </c>
      <c r="E61" s="8">
        <v>0.4</v>
      </c>
      <c r="F61" s="141" t="s">
        <v>27</v>
      </c>
      <c r="G61" s="48">
        <v>0.4</v>
      </c>
      <c r="H61" s="63">
        <v>3</v>
      </c>
      <c r="I61" s="89">
        <v>3.7</v>
      </c>
      <c r="J61" s="89">
        <v>4.5</v>
      </c>
      <c r="K61" s="139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140">
        <v>0</v>
      </c>
      <c r="S61" s="140">
        <v>0</v>
      </c>
      <c r="T61" s="140">
        <v>0</v>
      </c>
    </row>
    <row r="62" spans="1:20" x14ac:dyDescent="0.2">
      <c r="A62" t="s">
        <v>721</v>
      </c>
      <c r="B62">
        <v>0</v>
      </c>
      <c r="C62">
        <v>0</v>
      </c>
      <c r="D62" t="s">
        <v>26</v>
      </c>
      <c r="E62" s="8">
        <v>0.6</v>
      </c>
      <c r="F62" s="141" t="s">
        <v>23</v>
      </c>
      <c r="G62" s="48">
        <v>0.6</v>
      </c>
      <c r="H62" s="63">
        <v>3</v>
      </c>
      <c r="I62" s="63">
        <v>3</v>
      </c>
      <c r="J62" s="63">
        <v>3</v>
      </c>
      <c r="K62" s="139">
        <v>0</v>
      </c>
      <c r="L62" s="8">
        <v>0</v>
      </c>
      <c r="M62" s="8">
        <v>0</v>
      </c>
      <c r="N62" s="8">
        <v>0</v>
      </c>
      <c r="O62" s="8">
        <v>0.15</v>
      </c>
      <c r="P62" s="8">
        <v>0.15</v>
      </c>
      <c r="Q62" s="8">
        <v>0.2</v>
      </c>
      <c r="R62" s="140">
        <v>0</v>
      </c>
      <c r="S62" s="140">
        <v>0</v>
      </c>
      <c r="T62" s="140">
        <v>0</v>
      </c>
    </row>
    <row r="63" spans="1:20" x14ac:dyDescent="0.2">
      <c r="A63" t="s">
        <v>345</v>
      </c>
      <c r="B63">
        <v>0</v>
      </c>
      <c r="C63">
        <v>3</v>
      </c>
      <c r="D63" t="s">
        <v>26</v>
      </c>
      <c r="E63" s="8">
        <f>IF(Setup!B18&gt;0, 70% + 3% *Setup!B18, 0)</f>
        <v>0.85</v>
      </c>
      <c r="F63" s="141" t="s">
        <v>348</v>
      </c>
      <c r="G63" s="48">
        <v>0</v>
      </c>
      <c r="H63" s="63">
        <v>0.75</v>
      </c>
      <c r="I63" s="89">
        <v>1.25</v>
      </c>
      <c r="J63" s="89">
        <v>1.75</v>
      </c>
      <c r="K63" s="139">
        <v>1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48">
        <v>0</v>
      </c>
      <c r="S63" s="8">
        <v>0</v>
      </c>
      <c r="T63" s="8">
        <v>0</v>
      </c>
    </row>
    <row r="67" spans="1:18" x14ac:dyDescent="0.2">
      <c r="A67" s="28" t="s">
        <v>271</v>
      </c>
    </row>
    <row r="68" spans="1:18" x14ac:dyDescent="0.2">
      <c r="A68">
        <v>0</v>
      </c>
    </row>
    <row r="69" spans="1:18" x14ac:dyDescent="0.2">
      <c r="A69">
        <v>1</v>
      </c>
    </row>
    <row r="74" spans="1:18" x14ac:dyDescent="0.2">
      <c r="A74" s="91" t="s">
        <v>272</v>
      </c>
      <c r="B74" s="91" t="s">
        <v>26</v>
      </c>
      <c r="C74" s="91" t="s">
        <v>27</v>
      </c>
      <c r="D74" s="91" t="s">
        <v>25</v>
      </c>
      <c r="E74" s="91" t="s">
        <v>23</v>
      </c>
      <c r="F74" s="91" t="s">
        <v>73</v>
      </c>
      <c r="G74" s="91" t="s">
        <v>74</v>
      </c>
      <c r="H74" s="91" t="s">
        <v>75</v>
      </c>
      <c r="I74" s="91" t="s">
        <v>76</v>
      </c>
      <c r="J74" s="91" t="s">
        <v>80</v>
      </c>
      <c r="K74" s="91" t="s">
        <v>1453</v>
      </c>
      <c r="L74" s="91" t="s">
        <v>129</v>
      </c>
      <c r="M74" s="91" t="s">
        <v>131</v>
      </c>
      <c r="N74" s="91" t="s">
        <v>103</v>
      </c>
      <c r="O74" s="91" t="s">
        <v>28</v>
      </c>
      <c r="P74" s="91" t="s">
        <v>82</v>
      </c>
      <c r="Q74" s="91" t="s">
        <v>102</v>
      </c>
      <c r="R74" s="91" t="s">
        <v>81</v>
      </c>
    </row>
    <row r="75" spans="1:18" x14ac:dyDescent="0.2">
      <c r="A75" t="s">
        <v>245</v>
      </c>
    </row>
    <row r="76" spans="1:18" x14ac:dyDescent="0.2">
      <c r="A76" t="s">
        <v>273</v>
      </c>
      <c r="F76">
        <v>50</v>
      </c>
      <c r="I76" s="8">
        <v>0.1</v>
      </c>
      <c r="J76" s="8"/>
      <c r="K76" s="8"/>
    </row>
    <row r="77" spans="1:18" x14ac:dyDescent="0.2">
      <c r="A77" t="s">
        <v>22</v>
      </c>
      <c r="I77" s="8">
        <v>0.15</v>
      </c>
      <c r="J77" s="8"/>
      <c r="K77" s="8"/>
    </row>
    <row r="78" spans="1:18" x14ac:dyDescent="0.2">
      <c r="A78" t="s">
        <v>274</v>
      </c>
      <c r="F78">
        <v>30</v>
      </c>
    </row>
    <row r="79" spans="1:18" x14ac:dyDescent="0.2">
      <c r="A79" t="s">
        <v>1485</v>
      </c>
      <c r="E79">
        <v>20</v>
      </c>
      <c r="F79">
        <v>20</v>
      </c>
      <c r="K79" t="s">
        <v>1486</v>
      </c>
    </row>
    <row r="80" spans="1:18" x14ac:dyDescent="0.2">
      <c r="A80" t="s">
        <v>275</v>
      </c>
      <c r="F80">
        <v>30</v>
      </c>
      <c r="H80" s="8">
        <v>0.05</v>
      </c>
      <c r="L80" s="8"/>
      <c r="M80" s="8"/>
      <c r="N80" s="8"/>
    </row>
    <row r="81" spans="1:18" x14ac:dyDescent="0.2">
      <c r="A81" t="s">
        <v>1489</v>
      </c>
      <c r="H81" s="8"/>
      <c r="K81" t="s">
        <v>1480</v>
      </c>
      <c r="L81" s="8"/>
      <c r="M81" s="8"/>
      <c r="N81" s="8"/>
    </row>
    <row r="82" spans="1:18" x14ac:dyDescent="0.2">
      <c r="A82" t="s">
        <v>276</v>
      </c>
      <c r="H82" s="8"/>
      <c r="L82" s="8">
        <v>0.2</v>
      </c>
      <c r="M82" s="8"/>
      <c r="N82" s="8"/>
    </row>
    <row r="83" spans="1:18" x14ac:dyDescent="0.2">
      <c r="A83" t="s">
        <v>277</v>
      </c>
      <c r="H83" s="8"/>
      <c r="L83" s="8"/>
      <c r="M83" s="8"/>
      <c r="N83" s="8">
        <v>0.2</v>
      </c>
    </row>
    <row r="84" spans="1:18" x14ac:dyDescent="0.2">
      <c r="A84" t="s">
        <v>278</v>
      </c>
      <c r="B84">
        <v>40</v>
      </c>
      <c r="H84" s="8">
        <v>0.05</v>
      </c>
      <c r="L84" s="8"/>
      <c r="M84" s="8"/>
      <c r="N84" s="8"/>
    </row>
    <row r="85" spans="1:18" x14ac:dyDescent="0.2">
      <c r="A85" t="s">
        <v>1487</v>
      </c>
      <c r="H85" s="8"/>
      <c r="J85" s="8">
        <v>1</v>
      </c>
      <c r="K85" t="s">
        <v>1488</v>
      </c>
      <c r="L85" s="8"/>
      <c r="M85" s="8"/>
      <c r="N85" s="8"/>
    </row>
    <row r="86" spans="1:18" x14ac:dyDescent="0.2">
      <c r="A86" t="s">
        <v>1492</v>
      </c>
      <c r="H86" s="8">
        <v>0.05</v>
      </c>
      <c r="I86" s="8">
        <v>0.04</v>
      </c>
      <c r="J86" s="8"/>
      <c r="K86" t="s">
        <v>1493</v>
      </c>
      <c r="L86" s="8"/>
      <c r="M86" s="8"/>
      <c r="N86" s="8"/>
    </row>
    <row r="87" spans="1:18" x14ac:dyDescent="0.2">
      <c r="A87" t="s">
        <v>1490</v>
      </c>
      <c r="H87" s="8"/>
      <c r="J87" s="8"/>
      <c r="K87" t="s">
        <v>1491</v>
      </c>
      <c r="L87" s="8"/>
      <c r="M87" s="8"/>
      <c r="N87" s="8"/>
    </row>
    <row r="88" spans="1:18" x14ac:dyDescent="0.2">
      <c r="A88" t="s">
        <v>279</v>
      </c>
      <c r="H88" s="8">
        <v>0.02</v>
      </c>
      <c r="L88" s="8"/>
      <c r="M88" s="8"/>
      <c r="N88" s="8"/>
      <c r="P88">
        <v>20</v>
      </c>
    </row>
    <row r="89" spans="1:18" x14ac:dyDescent="0.2">
      <c r="A89" t="s">
        <v>14</v>
      </c>
      <c r="C89">
        <v>50</v>
      </c>
      <c r="H89" s="8"/>
      <c r="L89" s="8">
        <v>0.3</v>
      </c>
      <c r="M89" s="8">
        <v>0.3</v>
      </c>
      <c r="N89" s="8"/>
    </row>
    <row r="90" spans="1:18" x14ac:dyDescent="0.2">
      <c r="A90" t="s">
        <v>280</v>
      </c>
      <c r="H90" s="8"/>
      <c r="L90" s="8"/>
      <c r="M90" s="8">
        <v>0.3</v>
      </c>
      <c r="N90" s="8"/>
    </row>
    <row r="91" spans="1:18" x14ac:dyDescent="0.2">
      <c r="A91" t="s">
        <v>281</v>
      </c>
      <c r="H91" s="8"/>
      <c r="L91" s="8">
        <v>0.1</v>
      </c>
      <c r="M91" s="8"/>
      <c r="N91" s="8"/>
      <c r="P91">
        <v>20</v>
      </c>
    </row>
    <row r="92" spans="1:18" x14ac:dyDescent="0.2">
      <c r="A92" t="s">
        <v>19</v>
      </c>
      <c r="H92" s="8"/>
      <c r="L92" s="8"/>
      <c r="M92" s="8"/>
      <c r="N92" s="8"/>
      <c r="Q92">
        <v>1000</v>
      </c>
    </row>
    <row r="93" spans="1:18" x14ac:dyDescent="0.2">
      <c r="A93" t="s">
        <v>282</v>
      </c>
      <c r="B93">
        <v>40</v>
      </c>
      <c r="F93">
        <v>50</v>
      </c>
      <c r="H93" s="8"/>
      <c r="I93" s="8"/>
      <c r="J93" s="8"/>
      <c r="K93" s="8"/>
      <c r="L93" s="8"/>
      <c r="M93" s="8"/>
      <c r="N93" s="8"/>
    </row>
    <row r="94" spans="1:18" x14ac:dyDescent="0.2">
      <c r="A94" t="s">
        <v>283</v>
      </c>
      <c r="B94">
        <v>50</v>
      </c>
      <c r="H94" s="8">
        <v>0.05</v>
      </c>
      <c r="I94" s="8"/>
      <c r="J94" s="8"/>
      <c r="K94" s="8"/>
      <c r="L94" s="8"/>
      <c r="M94" s="8"/>
      <c r="N94" s="8"/>
      <c r="R94">
        <v>20</v>
      </c>
    </row>
    <row r="97" spans="1:13" x14ac:dyDescent="0.2">
      <c r="A97" s="28" t="s">
        <v>284</v>
      </c>
      <c r="B97" s="28" t="s">
        <v>3</v>
      </c>
      <c r="C97" s="28" t="s">
        <v>1440</v>
      </c>
      <c r="D97" s="28" t="s">
        <v>1450</v>
      </c>
      <c r="E97" s="175" t="s">
        <v>474</v>
      </c>
      <c r="F97" s="28" t="s">
        <v>9</v>
      </c>
      <c r="G97" s="28" t="s">
        <v>20</v>
      </c>
      <c r="H97" s="28" t="s">
        <v>25</v>
      </c>
      <c r="I97" s="28" t="s">
        <v>23</v>
      </c>
      <c r="J97" s="175" t="s">
        <v>298</v>
      </c>
      <c r="K97" s="138" t="s">
        <v>299</v>
      </c>
      <c r="L97" s="91" t="s">
        <v>447</v>
      </c>
      <c r="M97" s="91" t="s">
        <v>448</v>
      </c>
    </row>
    <row r="98" spans="1:13" x14ac:dyDescent="0.2">
      <c r="A98" s="144" t="s">
        <v>528</v>
      </c>
      <c r="B98">
        <v>84</v>
      </c>
      <c r="C98" t="s">
        <v>1441</v>
      </c>
      <c r="D98" t="s">
        <v>726</v>
      </c>
      <c r="E98" t="s">
        <v>475</v>
      </c>
      <c r="F98">
        <v>360</v>
      </c>
      <c r="G98">
        <v>351</v>
      </c>
      <c r="H98">
        <v>74</v>
      </c>
      <c r="I98">
        <v>75</v>
      </c>
      <c r="J98">
        <v>75</v>
      </c>
      <c r="K98">
        <f>J98</f>
        <v>75</v>
      </c>
      <c r="L98" s="8">
        <v>0</v>
      </c>
      <c r="M98" s="8">
        <v>0</v>
      </c>
    </row>
    <row r="99" spans="1:13" x14ac:dyDescent="0.2">
      <c r="A99" s="144" t="s">
        <v>529</v>
      </c>
      <c r="B99">
        <v>96</v>
      </c>
      <c r="C99" t="s">
        <v>1441</v>
      </c>
      <c r="D99" t="s">
        <v>726</v>
      </c>
      <c r="E99" t="s">
        <v>475</v>
      </c>
      <c r="F99">
        <v>435</v>
      </c>
      <c r="G99">
        <v>405</v>
      </c>
      <c r="H99">
        <v>98</v>
      </c>
      <c r="I99">
        <v>95</v>
      </c>
      <c r="J99">
        <v>95</v>
      </c>
      <c r="K99">
        <f t="shared" ref="K99:K106" si="0">J99</f>
        <v>95</v>
      </c>
      <c r="L99" s="8">
        <v>0</v>
      </c>
      <c r="M99" s="8">
        <v>0</v>
      </c>
    </row>
    <row r="100" spans="1:13" x14ac:dyDescent="0.2">
      <c r="A100" t="s">
        <v>445</v>
      </c>
      <c r="B100">
        <v>99</v>
      </c>
      <c r="C100" t="s">
        <v>1442</v>
      </c>
      <c r="D100" t="s">
        <v>726</v>
      </c>
      <c r="E100" t="s">
        <v>475</v>
      </c>
      <c r="F100">
        <v>516</v>
      </c>
      <c r="G100">
        <v>411</v>
      </c>
      <c r="H100">
        <v>77</v>
      </c>
      <c r="I100">
        <v>118</v>
      </c>
      <c r="J100">
        <v>118</v>
      </c>
      <c r="K100">
        <f t="shared" si="0"/>
        <v>118</v>
      </c>
      <c r="L100" s="8">
        <v>0.14000000000000001</v>
      </c>
      <c r="M100" s="8">
        <v>0</v>
      </c>
    </row>
    <row r="101" spans="1:13" x14ac:dyDescent="0.2">
      <c r="A101" t="s">
        <v>478</v>
      </c>
      <c r="B101">
        <v>100</v>
      </c>
      <c r="C101" t="s">
        <v>1443</v>
      </c>
      <c r="D101" t="s">
        <v>726</v>
      </c>
      <c r="E101" t="s">
        <v>477</v>
      </c>
      <c r="F101">
        <v>498</v>
      </c>
      <c r="G101">
        <v>468</v>
      </c>
      <c r="H101">
        <v>106</v>
      </c>
      <c r="I101">
        <v>110</v>
      </c>
      <c r="J101">
        <v>110</v>
      </c>
      <c r="K101">
        <f t="shared" si="0"/>
        <v>110</v>
      </c>
      <c r="L101" s="8">
        <v>0</v>
      </c>
      <c r="M101" s="8">
        <v>0</v>
      </c>
    </row>
    <row r="102" spans="1:13" x14ac:dyDescent="0.2">
      <c r="A102" t="s">
        <v>476</v>
      </c>
      <c r="B102">
        <v>102</v>
      </c>
      <c r="C102" t="s">
        <v>1443</v>
      </c>
      <c r="D102" t="s">
        <v>726</v>
      </c>
      <c r="E102" t="s">
        <v>477</v>
      </c>
      <c r="F102">
        <v>534</v>
      </c>
      <c r="G102">
        <v>505</v>
      </c>
      <c r="H102">
        <v>108</v>
      </c>
      <c r="I102">
        <v>112</v>
      </c>
      <c r="J102">
        <v>112</v>
      </c>
      <c r="K102">
        <f t="shared" si="0"/>
        <v>112</v>
      </c>
      <c r="L102" s="8">
        <v>0</v>
      </c>
      <c r="M102" s="8">
        <v>0</v>
      </c>
    </row>
    <row r="103" spans="1:13" x14ac:dyDescent="0.2">
      <c r="A103" t="s">
        <v>486</v>
      </c>
      <c r="B103">
        <v>107</v>
      </c>
      <c r="C103" t="s">
        <v>1441</v>
      </c>
      <c r="D103" t="s">
        <v>726</v>
      </c>
      <c r="E103" t="s">
        <v>477</v>
      </c>
      <c r="F103">
        <v>610</v>
      </c>
      <c r="G103">
        <v>590</v>
      </c>
      <c r="H103">
        <v>136</v>
      </c>
      <c r="I103">
        <v>136</v>
      </c>
      <c r="J103">
        <v>136</v>
      </c>
      <c r="K103">
        <f t="shared" si="0"/>
        <v>136</v>
      </c>
      <c r="L103" s="8">
        <v>0</v>
      </c>
      <c r="M103" s="8">
        <v>0</v>
      </c>
    </row>
    <row r="104" spans="1:13" x14ac:dyDescent="0.2">
      <c r="A104" t="s">
        <v>374</v>
      </c>
      <c r="B104">
        <v>110</v>
      </c>
      <c r="C104" t="s">
        <v>1442</v>
      </c>
      <c r="D104" t="s">
        <v>1451</v>
      </c>
      <c r="E104" t="s">
        <v>475</v>
      </c>
      <c r="F104">
        <v>560</v>
      </c>
      <c r="G104">
        <v>485</v>
      </c>
      <c r="H104">
        <v>120</v>
      </c>
      <c r="I104">
        <v>120</v>
      </c>
      <c r="J104">
        <v>120</v>
      </c>
      <c r="K104">
        <f t="shared" si="0"/>
        <v>120</v>
      </c>
      <c r="L104" s="8">
        <v>0</v>
      </c>
      <c r="M104" s="8">
        <v>0</v>
      </c>
    </row>
    <row r="105" spans="1:13" x14ac:dyDescent="0.2">
      <c r="A105" t="s">
        <v>544</v>
      </c>
      <c r="B105">
        <v>113</v>
      </c>
      <c r="C105" t="s">
        <v>1442</v>
      </c>
      <c r="D105" t="s">
        <v>726</v>
      </c>
      <c r="E105" t="s">
        <v>477</v>
      </c>
      <c r="F105">
        <v>753</v>
      </c>
      <c r="G105">
        <v>713</v>
      </c>
      <c r="H105">
        <v>127</v>
      </c>
      <c r="I105">
        <v>138</v>
      </c>
      <c r="J105">
        <v>123</v>
      </c>
      <c r="K105">
        <f t="shared" si="0"/>
        <v>123</v>
      </c>
      <c r="L105" s="8">
        <v>0</v>
      </c>
      <c r="M105" s="8">
        <v>0</v>
      </c>
    </row>
    <row r="106" spans="1:13" x14ac:dyDescent="0.2">
      <c r="A106" t="s">
        <v>446</v>
      </c>
      <c r="B106">
        <v>120</v>
      </c>
      <c r="C106" t="s">
        <v>1444</v>
      </c>
      <c r="D106" t="s">
        <v>1451</v>
      </c>
      <c r="E106" t="s">
        <v>475</v>
      </c>
      <c r="F106">
        <v>750</v>
      </c>
      <c r="G106">
        <v>540</v>
      </c>
      <c r="H106">
        <v>110</v>
      </c>
      <c r="I106">
        <v>123</v>
      </c>
      <c r="J106">
        <v>123</v>
      </c>
      <c r="K106">
        <f t="shared" si="0"/>
        <v>123</v>
      </c>
      <c r="L106" s="8">
        <v>0</v>
      </c>
      <c r="M106" s="8">
        <v>0</v>
      </c>
    </row>
    <row r="107" spans="1:13" x14ac:dyDescent="0.2">
      <c r="A107" s="144" t="s">
        <v>493</v>
      </c>
      <c r="B107">
        <v>119</v>
      </c>
      <c r="C107" t="s">
        <v>1445</v>
      </c>
      <c r="D107" t="s">
        <v>1451</v>
      </c>
      <c r="E107" t="s">
        <v>477</v>
      </c>
      <c r="F107">
        <v>1050</v>
      </c>
      <c r="G107">
        <v>800</v>
      </c>
      <c r="H107">
        <v>200</v>
      </c>
      <c r="I107">
        <v>200</v>
      </c>
      <c r="J107">
        <v>200</v>
      </c>
      <c r="K107">
        <f t="shared" ref="K107:K108" si="1">J107</f>
        <v>200</v>
      </c>
      <c r="L107" s="8">
        <v>0</v>
      </c>
      <c r="M107" s="8">
        <v>0</v>
      </c>
    </row>
    <row r="108" spans="1:13" x14ac:dyDescent="0.2">
      <c r="A108" s="144" t="s">
        <v>530</v>
      </c>
      <c r="B108">
        <v>126</v>
      </c>
      <c r="C108" t="s">
        <v>1442</v>
      </c>
      <c r="D108" t="s">
        <v>726</v>
      </c>
      <c r="E108" s="144" t="s">
        <v>477</v>
      </c>
      <c r="F108">
        <v>1090</v>
      </c>
      <c r="G108">
        <v>962</v>
      </c>
      <c r="H108">
        <v>235</v>
      </c>
      <c r="I108">
        <v>228</v>
      </c>
      <c r="J108">
        <v>215</v>
      </c>
      <c r="K108">
        <f t="shared" si="1"/>
        <v>215</v>
      </c>
      <c r="L108" s="8">
        <v>0</v>
      </c>
      <c r="M108" s="8">
        <v>0</v>
      </c>
    </row>
    <row r="109" spans="1:13" x14ac:dyDescent="0.2">
      <c r="A109" t="s">
        <v>1372</v>
      </c>
      <c r="B109">
        <v>127</v>
      </c>
      <c r="C109" t="s">
        <v>1445</v>
      </c>
      <c r="D109" t="s">
        <v>726</v>
      </c>
      <c r="E109" t="s">
        <v>477</v>
      </c>
      <c r="F109">
        <v>1131</v>
      </c>
      <c r="G109">
        <v>989</v>
      </c>
      <c r="H109">
        <v>235</v>
      </c>
      <c r="I109">
        <v>235</v>
      </c>
      <c r="J109">
        <v>235</v>
      </c>
      <c r="K109">
        <v>235</v>
      </c>
      <c r="L109" s="8">
        <v>0</v>
      </c>
      <c r="M109" s="8">
        <v>0</v>
      </c>
    </row>
    <row r="110" spans="1:13" x14ac:dyDescent="0.2">
      <c r="A110" t="s">
        <v>1371</v>
      </c>
      <c r="B110">
        <v>130</v>
      </c>
      <c r="C110" t="s">
        <v>1446</v>
      </c>
      <c r="D110" t="s">
        <v>726</v>
      </c>
      <c r="E110" t="s">
        <v>477</v>
      </c>
      <c r="F110">
        <v>1310</v>
      </c>
      <c r="G110">
        <v>1073</v>
      </c>
      <c r="H110">
        <v>250</v>
      </c>
      <c r="I110">
        <v>262</v>
      </c>
      <c r="J110">
        <v>256</v>
      </c>
      <c r="K110">
        <v>256</v>
      </c>
      <c r="L110" s="8">
        <v>0</v>
      </c>
      <c r="M110" s="8">
        <v>0</v>
      </c>
    </row>
    <row r="111" spans="1:13" x14ac:dyDescent="0.2">
      <c r="A111" t="s">
        <v>1726</v>
      </c>
      <c r="B111">
        <v>130</v>
      </c>
      <c r="C111" t="s">
        <v>1447</v>
      </c>
      <c r="D111" t="s">
        <v>726</v>
      </c>
      <c r="E111" t="s">
        <v>477</v>
      </c>
      <c r="F111">
        <v>1230</v>
      </c>
      <c r="G111">
        <v>1073</v>
      </c>
      <c r="H111">
        <v>250</v>
      </c>
      <c r="I111">
        <v>222</v>
      </c>
      <c r="J111">
        <v>256</v>
      </c>
      <c r="K111">
        <v>256</v>
      </c>
      <c r="L111" s="8">
        <v>0</v>
      </c>
      <c r="M111" s="8">
        <v>0</v>
      </c>
    </row>
    <row r="112" spans="1:13" x14ac:dyDescent="0.2">
      <c r="A112" t="s">
        <v>1727</v>
      </c>
      <c r="B112">
        <v>133</v>
      </c>
      <c r="C112" t="s">
        <v>1446</v>
      </c>
      <c r="D112" t="s">
        <v>726</v>
      </c>
      <c r="E112" t="s">
        <v>477</v>
      </c>
      <c r="F112">
        <v>1341</v>
      </c>
      <c r="G112">
        <v>1163</v>
      </c>
      <c r="H112">
        <v>275</v>
      </c>
      <c r="I112">
        <v>275</v>
      </c>
      <c r="J112">
        <v>275</v>
      </c>
      <c r="K112">
        <v>275</v>
      </c>
      <c r="L112" s="8">
        <v>0</v>
      </c>
      <c r="M112" s="8">
        <v>0</v>
      </c>
    </row>
    <row r="113" spans="1:13" x14ac:dyDescent="0.2">
      <c r="A113" t="s">
        <v>1373</v>
      </c>
      <c r="B113">
        <v>136</v>
      </c>
      <c r="C113" t="s">
        <v>1447</v>
      </c>
      <c r="D113" t="s">
        <v>726</v>
      </c>
      <c r="E113" t="s">
        <v>477</v>
      </c>
      <c r="F113">
        <v>1439</v>
      </c>
      <c r="G113">
        <v>1254</v>
      </c>
      <c r="H113">
        <v>303</v>
      </c>
      <c r="I113">
        <v>300</v>
      </c>
      <c r="J113">
        <v>300</v>
      </c>
      <c r="K113">
        <f t="shared" ref="K113" si="2">J113</f>
        <v>300</v>
      </c>
      <c r="L113" s="8">
        <v>0</v>
      </c>
      <c r="M113" s="8">
        <v>0</v>
      </c>
    </row>
    <row r="114" spans="1:13" x14ac:dyDescent="0.2">
      <c r="A114" t="s">
        <v>1448</v>
      </c>
      <c r="B114">
        <v>150</v>
      </c>
      <c r="C114" t="s">
        <v>1449</v>
      </c>
      <c r="D114" t="s">
        <v>1451</v>
      </c>
      <c r="E114" t="s">
        <v>477</v>
      </c>
      <c r="F114">
        <v>2100</v>
      </c>
      <c r="G114">
        <v>1586</v>
      </c>
      <c r="H114">
        <v>390</v>
      </c>
      <c r="I114">
        <v>420</v>
      </c>
      <c r="J114">
        <v>400</v>
      </c>
      <c r="K114">
        <v>400</v>
      </c>
      <c r="L114" s="8">
        <v>0.14000000000000001</v>
      </c>
      <c r="M114" s="8">
        <v>0</v>
      </c>
    </row>
    <row r="115" spans="1:13" x14ac:dyDescent="0.2">
      <c r="A115" t="s">
        <v>743</v>
      </c>
      <c r="B115">
        <v>150</v>
      </c>
      <c r="C115" t="s">
        <v>1441</v>
      </c>
      <c r="D115" t="s">
        <v>1451</v>
      </c>
      <c r="E115" t="s">
        <v>477</v>
      </c>
      <c r="F115">
        <v>1950</v>
      </c>
      <c r="G115">
        <v>1720</v>
      </c>
      <c r="H115">
        <v>400</v>
      </c>
      <c r="I115">
        <v>400</v>
      </c>
      <c r="J115">
        <v>400</v>
      </c>
      <c r="K115">
        <v>400</v>
      </c>
      <c r="L115" s="8">
        <v>0.08</v>
      </c>
      <c r="M115" s="8">
        <v>0</v>
      </c>
    </row>
    <row r="118" spans="1:13" x14ac:dyDescent="0.2">
      <c r="A118" s="28" t="s">
        <v>285</v>
      </c>
    </row>
    <row r="119" spans="1:13" x14ac:dyDescent="0.2">
      <c r="A119" t="s">
        <v>423</v>
      </c>
    </row>
    <row r="120" spans="1:13" x14ac:dyDescent="0.2">
      <c r="A120" t="s">
        <v>287</v>
      </c>
    </row>
    <row r="121" spans="1:13" x14ac:dyDescent="0.2">
      <c r="A121" t="s">
        <v>12</v>
      </c>
    </row>
    <row r="122" spans="1:13" x14ac:dyDescent="0.2">
      <c r="A122" t="s">
        <v>286</v>
      </c>
    </row>
    <row r="124" spans="1:13" x14ac:dyDescent="0.2">
      <c r="A124" s="28" t="s">
        <v>288</v>
      </c>
    </row>
    <row r="125" spans="1:13" x14ac:dyDescent="0.2">
      <c r="A125" t="s">
        <v>7</v>
      </c>
    </row>
    <row r="126" spans="1:13" x14ac:dyDescent="0.2">
      <c r="A126" t="s">
        <v>289</v>
      </c>
    </row>
    <row r="127" spans="1:13" x14ac:dyDescent="0.2">
      <c r="A127" t="s">
        <v>290</v>
      </c>
    </row>
    <row r="128" spans="1:13" x14ac:dyDescent="0.2">
      <c r="A128" t="s">
        <v>291</v>
      </c>
    </row>
    <row r="129" spans="1:23" x14ac:dyDescent="0.2">
      <c r="A129" t="s">
        <v>292</v>
      </c>
    </row>
    <row r="131" spans="1:23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23" x14ac:dyDescent="0.2">
      <c r="A132" s="35" t="s">
        <v>293</v>
      </c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23" x14ac:dyDescent="0.2">
      <c r="A133" s="31" t="s">
        <v>245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23" x14ac:dyDescent="0.2">
      <c r="A134" s="31" t="s">
        <v>294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23" x14ac:dyDescent="0.2">
      <c r="A135" s="31" t="s">
        <v>57</v>
      </c>
      <c r="B135" s="32"/>
      <c r="C135" s="32"/>
      <c r="D135" s="141"/>
      <c r="E135" s="141"/>
      <c r="F135" s="32"/>
      <c r="G135" s="32"/>
      <c r="H135" s="32"/>
      <c r="I135" s="32"/>
      <c r="J135" s="32"/>
      <c r="K135" s="32"/>
    </row>
    <row r="136" spans="1:23" x14ac:dyDescent="0.2">
      <c r="A136" s="32"/>
      <c r="B136" s="32"/>
      <c r="C136" s="32"/>
      <c r="D136" s="141"/>
      <c r="E136" s="141"/>
      <c r="F136" s="32"/>
      <c r="G136" s="32"/>
      <c r="H136" s="32"/>
      <c r="I136" s="32"/>
      <c r="J136" s="32"/>
      <c r="K136" s="32"/>
    </row>
    <row r="137" spans="1:23" x14ac:dyDescent="0.2">
      <c r="A137" s="35" t="s">
        <v>295</v>
      </c>
      <c r="B137" s="32"/>
      <c r="C137" s="32"/>
      <c r="D137" s="141"/>
      <c r="E137" s="32"/>
      <c r="F137" s="32"/>
      <c r="G137" s="32"/>
      <c r="H137" s="32"/>
      <c r="I137" s="32"/>
      <c r="J137" s="32"/>
      <c r="K137" s="32"/>
    </row>
    <row r="138" spans="1:23" x14ac:dyDescent="0.2">
      <c r="A138" s="31" t="s">
        <v>245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23" x14ac:dyDescent="0.2">
      <c r="A139" s="31" t="s">
        <v>296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23" x14ac:dyDescent="0.2">
      <c r="A140" s="31" t="s">
        <v>59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 spans="1:23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1:23" x14ac:dyDescent="0.2">
      <c r="A142" s="159"/>
      <c r="B142" s="159"/>
      <c r="C142" s="159"/>
      <c r="D142" s="159" t="s">
        <v>458</v>
      </c>
      <c r="E142" s="159"/>
      <c r="F142" s="159"/>
      <c r="G142" s="159"/>
      <c r="H142" s="159"/>
      <c r="K142" s="171"/>
      <c r="L142" s="159" t="s">
        <v>459</v>
      </c>
    </row>
    <row r="143" spans="1:23" x14ac:dyDescent="0.2">
      <c r="A143" s="162" t="s">
        <v>71</v>
      </c>
      <c r="B143" s="162" t="s">
        <v>479</v>
      </c>
      <c r="C143" s="209" t="s">
        <v>1773</v>
      </c>
      <c r="D143" s="162" t="s">
        <v>460</v>
      </c>
      <c r="E143" s="162">
        <v>0</v>
      </c>
      <c r="F143" s="162">
        <v>1</v>
      </c>
      <c r="G143" s="162">
        <v>2</v>
      </c>
      <c r="H143" s="162">
        <v>3</v>
      </c>
      <c r="I143" s="162">
        <v>4</v>
      </c>
      <c r="J143" s="162">
        <v>5</v>
      </c>
      <c r="K143" s="162">
        <v>6</v>
      </c>
      <c r="L143" s="162" t="s">
        <v>461</v>
      </c>
      <c r="M143" s="162" t="s">
        <v>462</v>
      </c>
      <c r="N143" s="162" t="s">
        <v>463</v>
      </c>
      <c r="O143" s="162" t="s">
        <v>464</v>
      </c>
      <c r="P143" s="173" t="s">
        <v>465</v>
      </c>
      <c r="Q143" s="173" t="s">
        <v>466</v>
      </c>
      <c r="R143" s="173" t="s">
        <v>467</v>
      </c>
      <c r="S143" s="173" t="s">
        <v>468</v>
      </c>
      <c r="T143" s="173" t="s">
        <v>469</v>
      </c>
      <c r="U143" s="173" t="s">
        <v>470</v>
      </c>
      <c r="V143" s="173" t="s">
        <v>471</v>
      </c>
      <c r="W143" s="173" t="s">
        <v>472</v>
      </c>
    </row>
    <row r="144" spans="1:23" x14ac:dyDescent="0.2">
      <c r="A144" s="3" t="s">
        <v>1141</v>
      </c>
      <c r="B144" s="3" t="s">
        <v>1161</v>
      </c>
      <c r="C144" s="171"/>
      <c r="D144" s="171" t="s">
        <v>75</v>
      </c>
      <c r="E144" s="171">
        <v>0</v>
      </c>
      <c r="F144" s="171">
        <v>0</v>
      </c>
      <c r="G144" s="172">
        <v>7.0000000000000007E-2</v>
      </c>
      <c r="H144" s="171">
        <v>0</v>
      </c>
      <c r="I144" s="171">
        <v>0</v>
      </c>
      <c r="J144" s="171">
        <v>0</v>
      </c>
      <c r="K144" s="3">
        <v>0</v>
      </c>
      <c r="L144" s="171">
        <f t="shared" ref="L144:W150" ca="1" si="3">HLOOKUP((COUNTIF(INDIRECT(L$143),IF(IFERROR(SEARCH("+",$A144,1),0)&gt;0,CONCATENATE(LEFT($A144,LEN($A144)-3),"*+",RIGHT($A144,1)),CONCATENATE($A144,"*")))
+IF(ISBLANK($B144)=FALSE, COUNTIF(INDIRECT(L$143),IF(IFERROR(SEARCH("+",$B144,1),0)&gt;0,CONCATENATE(LEFT($B144,LEN($B144)-3),"*+",RIGHT($B144,1)),CONCATENATE($B144,"*"))), 0)
+IF(ISBLANK($C144)=FALSE, COUNTIF(INDIRECT(L$143),IF(IFERROR(SEARCH("+",$C144,1),0)&gt;0,CONCATENATE(LEFT($C144,LEN($C144)-3),"*+",RIGHT($C144,1)),CONCATENATE($C144,"*"))), 0)),
SetBonusLookup,ROW()-ROW(SetBonusLookup)+1,FALSE)</f>
        <v>0</v>
      </c>
      <c r="M144" s="171">
        <f t="shared" ca="1" si="3"/>
        <v>0</v>
      </c>
      <c r="N144" s="171">
        <f t="shared" ca="1" si="3"/>
        <v>0</v>
      </c>
      <c r="O144" s="171">
        <f t="shared" ca="1" si="3"/>
        <v>0</v>
      </c>
      <c r="P144" s="171">
        <f t="shared" ca="1" si="3"/>
        <v>0</v>
      </c>
      <c r="Q144" s="171">
        <f t="shared" ca="1" si="3"/>
        <v>0</v>
      </c>
      <c r="R144" s="171">
        <f t="shared" ca="1" si="3"/>
        <v>0</v>
      </c>
      <c r="S144" s="171">
        <f t="shared" ca="1" si="3"/>
        <v>0</v>
      </c>
      <c r="T144" s="171">
        <f t="shared" ca="1" si="3"/>
        <v>0</v>
      </c>
      <c r="U144" s="171">
        <f t="shared" ca="1" si="3"/>
        <v>0</v>
      </c>
      <c r="V144" s="171">
        <f t="shared" ca="1" si="3"/>
        <v>0</v>
      </c>
      <c r="W144" s="171">
        <f t="shared" ca="1" si="3"/>
        <v>0</v>
      </c>
    </row>
    <row r="145" spans="1:24" x14ac:dyDescent="0.2">
      <c r="A145" s="3" t="s">
        <v>683</v>
      </c>
      <c r="B145" s="171"/>
      <c r="C145" s="171"/>
      <c r="D145" s="3" t="s">
        <v>74</v>
      </c>
      <c r="E145" s="3">
        <v>0</v>
      </c>
      <c r="F145" s="3">
        <v>0</v>
      </c>
      <c r="G145" s="171">
        <v>20</v>
      </c>
      <c r="H145" s="3">
        <v>30</v>
      </c>
      <c r="I145" s="3">
        <v>40</v>
      </c>
      <c r="J145" s="3">
        <v>50</v>
      </c>
      <c r="K145" s="3">
        <v>0</v>
      </c>
      <c r="L145" s="171">
        <f t="shared" ca="1" si="3"/>
        <v>0</v>
      </c>
      <c r="M145" s="171">
        <f t="shared" ca="1" si="3"/>
        <v>0</v>
      </c>
      <c r="N145" s="171">
        <f t="shared" ca="1" si="3"/>
        <v>0</v>
      </c>
      <c r="O145" s="171">
        <f t="shared" ca="1" si="3"/>
        <v>0</v>
      </c>
      <c r="P145" s="171">
        <f t="shared" ca="1" si="3"/>
        <v>0</v>
      </c>
      <c r="Q145" s="171">
        <f t="shared" ca="1" si="3"/>
        <v>0</v>
      </c>
      <c r="R145" s="171">
        <f t="shared" ca="1" si="3"/>
        <v>0</v>
      </c>
      <c r="S145" s="171">
        <f t="shared" ca="1" si="3"/>
        <v>0</v>
      </c>
      <c r="T145" s="171">
        <f t="shared" ca="1" si="3"/>
        <v>0</v>
      </c>
      <c r="U145" s="171">
        <f t="shared" ca="1" si="3"/>
        <v>0</v>
      </c>
      <c r="V145" s="171">
        <f t="shared" ca="1" si="3"/>
        <v>0</v>
      </c>
      <c r="W145" s="171">
        <f t="shared" ca="1" si="3"/>
        <v>0</v>
      </c>
    </row>
    <row r="146" spans="1:24" x14ac:dyDescent="0.2">
      <c r="A146" s="3" t="s">
        <v>1148</v>
      </c>
      <c r="B146" s="3" t="s">
        <v>1152</v>
      </c>
      <c r="C146" s="171"/>
      <c r="D146" s="171" t="s">
        <v>481</v>
      </c>
      <c r="E146" s="171">
        <v>0</v>
      </c>
      <c r="F146" s="171">
        <v>0</v>
      </c>
      <c r="G146" s="172">
        <v>7.0000000000000007E-2</v>
      </c>
      <c r="H146" s="171">
        <v>0</v>
      </c>
      <c r="I146" s="171">
        <v>0</v>
      </c>
      <c r="J146" s="171">
        <v>0</v>
      </c>
      <c r="K146" s="3">
        <v>0</v>
      </c>
      <c r="L146" s="171">
        <f t="shared" ca="1" si="3"/>
        <v>0</v>
      </c>
      <c r="M146" s="171">
        <f t="shared" ca="1" si="3"/>
        <v>0</v>
      </c>
      <c r="N146" s="171">
        <f t="shared" ca="1" si="3"/>
        <v>0</v>
      </c>
      <c r="O146" s="171">
        <f t="shared" ca="1" si="3"/>
        <v>0</v>
      </c>
      <c r="P146" s="171">
        <f t="shared" ca="1" si="3"/>
        <v>0</v>
      </c>
      <c r="Q146" s="171">
        <f t="shared" ca="1" si="3"/>
        <v>0</v>
      </c>
      <c r="R146" s="171">
        <f t="shared" ca="1" si="3"/>
        <v>0</v>
      </c>
      <c r="S146" s="171">
        <f t="shared" ca="1" si="3"/>
        <v>0</v>
      </c>
      <c r="T146" s="171">
        <f t="shared" ca="1" si="3"/>
        <v>0</v>
      </c>
      <c r="U146" s="171">
        <f t="shared" ca="1" si="3"/>
        <v>0</v>
      </c>
      <c r="V146" s="171">
        <f t="shared" ca="1" si="3"/>
        <v>0</v>
      </c>
      <c r="W146" s="171">
        <f t="shared" ca="1" si="3"/>
        <v>0</v>
      </c>
    </row>
    <row r="147" spans="1:24" s="200" customFormat="1" ht="14.25" x14ac:dyDescent="0.25">
      <c r="A147" s="3" t="s">
        <v>685</v>
      </c>
      <c r="B147" s="3"/>
      <c r="C147" s="171"/>
      <c r="D147" s="3" t="s">
        <v>75</v>
      </c>
      <c r="E147" s="171">
        <v>0</v>
      </c>
      <c r="F147" s="171">
        <v>0</v>
      </c>
      <c r="G147" s="172">
        <v>0.04</v>
      </c>
      <c r="H147" s="172">
        <v>0.06</v>
      </c>
      <c r="I147" s="172">
        <v>0.08</v>
      </c>
      <c r="J147" s="172">
        <v>0.1</v>
      </c>
      <c r="K147" s="172">
        <v>0</v>
      </c>
      <c r="L147" s="171">
        <f t="shared" ca="1" si="3"/>
        <v>0</v>
      </c>
      <c r="M147" s="171">
        <f t="shared" ca="1" si="3"/>
        <v>0</v>
      </c>
      <c r="N147" s="171">
        <f t="shared" ca="1" si="3"/>
        <v>0</v>
      </c>
      <c r="O147" s="171">
        <f t="shared" ca="1" si="3"/>
        <v>0</v>
      </c>
      <c r="P147" s="171">
        <f t="shared" ca="1" si="3"/>
        <v>0</v>
      </c>
      <c r="Q147" s="171">
        <f t="shared" ca="1" si="3"/>
        <v>0</v>
      </c>
      <c r="R147" s="171">
        <f t="shared" ca="1" si="3"/>
        <v>0</v>
      </c>
      <c r="S147" s="171">
        <f t="shared" ca="1" si="3"/>
        <v>0</v>
      </c>
      <c r="T147" s="171">
        <f t="shared" ca="1" si="3"/>
        <v>0</v>
      </c>
      <c r="U147" s="171">
        <f t="shared" ca="1" si="3"/>
        <v>0</v>
      </c>
      <c r="V147" s="171">
        <f t="shared" ca="1" si="3"/>
        <v>0</v>
      </c>
      <c r="W147" s="171">
        <f t="shared" ca="1" si="3"/>
        <v>0</v>
      </c>
      <c r="X147"/>
    </row>
    <row r="148" spans="1:24" ht="14.25" x14ac:dyDescent="0.25">
      <c r="A148" s="3" t="s">
        <v>526</v>
      </c>
      <c r="B148" s="3"/>
      <c r="C148" s="200"/>
      <c r="D148" s="3" t="s">
        <v>79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25">
        <v>0.1</v>
      </c>
      <c r="K148" s="25">
        <v>0</v>
      </c>
      <c r="L148" s="171">
        <f t="shared" ca="1" si="3"/>
        <v>0</v>
      </c>
      <c r="M148" s="171">
        <f t="shared" ca="1" si="3"/>
        <v>0</v>
      </c>
      <c r="N148" s="171">
        <f t="shared" ca="1" si="3"/>
        <v>0</v>
      </c>
      <c r="O148" s="171">
        <f t="shared" ca="1" si="3"/>
        <v>0</v>
      </c>
      <c r="P148" s="171">
        <f t="shared" ca="1" si="3"/>
        <v>0</v>
      </c>
      <c r="Q148" s="171">
        <f t="shared" ca="1" si="3"/>
        <v>0</v>
      </c>
      <c r="R148" s="171">
        <f t="shared" ca="1" si="3"/>
        <v>0</v>
      </c>
      <c r="S148" s="171">
        <f t="shared" ca="1" si="3"/>
        <v>0</v>
      </c>
      <c r="T148" s="171">
        <f t="shared" ca="1" si="3"/>
        <v>0</v>
      </c>
      <c r="U148" s="171">
        <f t="shared" ca="1" si="3"/>
        <v>0</v>
      </c>
      <c r="V148" s="171">
        <f t="shared" ca="1" si="3"/>
        <v>0</v>
      </c>
      <c r="W148" s="171">
        <f t="shared" ca="1" si="3"/>
        <v>0</v>
      </c>
      <c r="X148" s="200"/>
    </row>
    <row r="149" spans="1:24" ht="14.25" x14ac:dyDescent="0.25">
      <c r="A149" s="3" t="s">
        <v>1774</v>
      </c>
      <c r="B149" s="3" t="s">
        <v>1775</v>
      </c>
      <c r="C149" s="3" t="s">
        <v>1776</v>
      </c>
      <c r="D149" s="3" t="s">
        <v>74</v>
      </c>
      <c r="E149" s="3">
        <v>0</v>
      </c>
      <c r="F149" s="3">
        <v>0</v>
      </c>
      <c r="G149" s="3">
        <v>15</v>
      </c>
      <c r="H149" s="3">
        <v>30</v>
      </c>
      <c r="I149" s="3">
        <v>45</v>
      </c>
      <c r="J149" s="3">
        <v>60</v>
      </c>
      <c r="K149" s="3">
        <v>75</v>
      </c>
      <c r="L149" s="171">
        <f t="shared" ca="1" si="3"/>
        <v>0</v>
      </c>
      <c r="M149" s="171">
        <f t="shared" ca="1" si="3"/>
        <v>0</v>
      </c>
      <c r="N149" s="171">
        <f t="shared" ca="1" si="3"/>
        <v>15</v>
      </c>
      <c r="O149" s="171">
        <f t="shared" ca="1" si="3"/>
        <v>15</v>
      </c>
      <c r="P149" s="171">
        <f t="shared" ca="1" si="3"/>
        <v>0</v>
      </c>
      <c r="Q149" s="171">
        <f t="shared" ca="1" si="3"/>
        <v>0</v>
      </c>
      <c r="R149" s="171">
        <f t="shared" ca="1" si="3"/>
        <v>0</v>
      </c>
      <c r="S149" s="171">
        <f t="shared" ca="1" si="3"/>
        <v>0</v>
      </c>
      <c r="T149" s="171">
        <f t="shared" ca="1" si="3"/>
        <v>0</v>
      </c>
      <c r="U149" s="171">
        <f t="shared" ca="1" si="3"/>
        <v>0</v>
      </c>
      <c r="V149" s="171">
        <f t="shared" ca="1" si="3"/>
        <v>0</v>
      </c>
      <c r="W149" s="171">
        <f t="shared" ca="1" si="3"/>
        <v>0</v>
      </c>
      <c r="X149" s="200"/>
    </row>
    <row r="150" spans="1:24" x14ac:dyDescent="0.2">
      <c r="A150" s="3" t="s">
        <v>684</v>
      </c>
      <c r="B150" s="3"/>
      <c r="C150" s="171"/>
      <c r="D150" s="3" t="s">
        <v>103</v>
      </c>
      <c r="E150" s="171">
        <v>0</v>
      </c>
      <c r="F150" s="171">
        <v>0</v>
      </c>
      <c r="G150" s="172">
        <v>0.04</v>
      </c>
      <c r="H150" s="172">
        <v>0.06</v>
      </c>
      <c r="I150" s="172">
        <v>0.08</v>
      </c>
      <c r="J150" s="172">
        <v>0.1</v>
      </c>
      <c r="K150" s="172">
        <v>0</v>
      </c>
      <c r="L150" s="171">
        <f t="shared" ca="1" si="3"/>
        <v>0</v>
      </c>
      <c r="M150" s="171">
        <f t="shared" ca="1" si="3"/>
        <v>0</v>
      </c>
      <c r="N150" s="171">
        <f t="shared" ca="1" si="3"/>
        <v>0</v>
      </c>
      <c r="O150" s="171">
        <f t="shared" ca="1" si="3"/>
        <v>0</v>
      </c>
      <c r="P150" s="171">
        <f t="shared" ca="1" si="3"/>
        <v>0</v>
      </c>
      <c r="Q150" s="171">
        <f t="shared" ca="1" si="3"/>
        <v>0</v>
      </c>
      <c r="R150" s="171">
        <f t="shared" ca="1" si="3"/>
        <v>0</v>
      </c>
      <c r="S150" s="171">
        <f t="shared" ca="1" si="3"/>
        <v>0</v>
      </c>
      <c r="T150" s="171">
        <f t="shared" ca="1" si="3"/>
        <v>0</v>
      </c>
      <c r="U150" s="171">
        <f t="shared" ca="1" si="3"/>
        <v>0</v>
      </c>
      <c r="V150" s="171">
        <f t="shared" ca="1" si="3"/>
        <v>0</v>
      </c>
      <c r="W150" s="171">
        <f t="shared" ca="1" si="3"/>
        <v>0</v>
      </c>
    </row>
    <row r="151" spans="1:24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24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24" x14ac:dyDescent="0.2">
      <c r="A153" s="179" t="s">
        <v>500</v>
      </c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24" x14ac:dyDescent="0.2">
      <c r="A154" s="180" t="s">
        <v>73</v>
      </c>
      <c r="B154">
        <v>20</v>
      </c>
      <c r="C154" s="32"/>
      <c r="D154" s="32"/>
      <c r="E154" s="32"/>
      <c r="F154" s="32"/>
      <c r="G154" s="32"/>
      <c r="H154" s="32"/>
      <c r="I154" s="32"/>
      <c r="J154" s="32"/>
    </row>
    <row r="155" spans="1:24" x14ac:dyDescent="0.2">
      <c r="A155" s="180" t="s">
        <v>74</v>
      </c>
      <c r="B155">
        <v>20</v>
      </c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24" x14ac:dyDescent="0.2">
      <c r="A156" s="180" t="s">
        <v>28</v>
      </c>
      <c r="B156">
        <v>12</v>
      </c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24" x14ac:dyDescent="0.2">
      <c r="A157" s="180" t="s">
        <v>440</v>
      </c>
      <c r="B157">
        <v>100</v>
      </c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24" x14ac:dyDescent="0.2">
      <c r="A158" s="180" t="s">
        <v>78</v>
      </c>
      <c r="B158" s="8">
        <v>0.02</v>
      </c>
      <c r="F158" s="32"/>
      <c r="G158" s="32"/>
      <c r="H158" s="32"/>
      <c r="I158" s="32"/>
      <c r="J158" s="32"/>
    </row>
    <row r="159" spans="1:24" x14ac:dyDescent="0.2">
      <c r="F159" s="32"/>
      <c r="G159" s="32"/>
      <c r="H159" s="32"/>
      <c r="I159" s="32"/>
      <c r="J159" s="32"/>
    </row>
    <row r="160" spans="1:24" x14ac:dyDescent="0.2">
      <c r="F160" s="32"/>
      <c r="G160" s="32"/>
      <c r="H160" s="32"/>
      <c r="I160" s="32"/>
      <c r="J160" s="32"/>
    </row>
    <row r="161" spans="1:3" x14ac:dyDescent="0.2">
      <c r="A161" s="179" t="s">
        <v>546</v>
      </c>
    </row>
    <row r="162" spans="1:3" x14ac:dyDescent="0.2">
      <c r="A162" s="144" t="s">
        <v>28</v>
      </c>
    </row>
    <row r="163" spans="1:3" x14ac:dyDescent="0.2">
      <c r="A163" s="144" t="s">
        <v>547</v>
      </c>
    </row>
    <row r="165" spans="1:3" x14ac:dyDescent="0.2">
      <c r="A165" s="179" t="s">
        <v>548</v>
      </c>
    </row>
    <row r="166" spans="1:3" x14ac:dyDescent="0.2">
      <c r="A166" s="144" t="s">
        <v>410</v>
      </c>
    </row>
    <row r="167" spans="1:3" x14ac:dyDescent="0.2">
      <c r="A167" s="144" t="s">
        <v>411</v>
      </c>
    </row>
    <row r="168" spans="1:3" x14ac:dyDescent="0.2">
      <c r="A168" s="3"/>
    </row>
    <row r="169" spans="1:3" x14ac:dyDescent="0.2">
      <c r="A169" s="209" t="s">
        <v>725</v>
      </c>
      <c r="B169" s="91" t="s">
        <v>730</v>
      </c>
      <c r="C169" s="91" t="s">
        <v>739</v>
      </c>
    </row>
    <row r="170" spans="1:3" x14ac:dyDescent="0.2">
      <c r="A170" s="3" t="s">
        <v>213</v>
      </c>
      <c r="B170">
        <v>0</v>
      </c>
      <c r="C170">
        <v>0</v>
      </c>
    </row>
    <row r="171" spans="1:3" x14ac:dyDescent="0.2">
      <c r="A171" s="3" t="s">
        <v>726</v>
      </c>
      <c r="B171">
        <v>1</v>
      </c>
      <c r="C171">
        <v>1</v>
      </c>
    </row>
    <row r="172" spans="1:3" x14ac:dyDescent="0.2">
      <c r="A172" s="3" t="s">
        <v>727</v>
      </c>
      <c r="B172">
        <v>1</v>
      </c>
      <c r="C172">
        <v>0</v>
      </c>
    </row>
    <row r="173" spans="1:3" x14ac:dyDescent="0.2">
      <c r="A173" s="3" t="s">
        <v>1378</v>
      </c>
      <c r="B173">
        <v>1.25</v>
      </c>
      <c r="C173">
        <v>1</v>
      </c>
    </row>
    <row r="174" spans="1:3" x14ac:dyDescent="0.2">
      <c r="A174" s="3" t="s">
        <v>728</v>
      </c>
      <c r="B174">
        <v>1.5</v>
      </c>
      <c r="C174">
        <v>1</v>
      </c>
    </row>
    <row r="175" spans="1:3" x14ac:dyDescent="0.2">
      <c r="A175" s="3" t="s">
        <v>729</v>
      </c>
      <c r="B175">
        <v>1.75</v>
      </c>
      <c r="C175">
        <v>1</v>
      </c>
    </row>
    <row r="176" spans="1:3" x14ac:dyDescent="0.2">
      <c r="A176" s="3" t="s">
        <v>663</v>
      </c>
      <c r="B176">
        <v>2</v>
      </c>
      <c r="C176">
        <v>1</v>
      </c>
    </row>
    <row r="179" spans="1:9" x14ac:dyDescent="0.2">
      <c r="A179" s="91" t="s">
        <v>689</v>
      </c>
      <c r="B179" s="91" t="s">
        <v>26</v>
      </c>
      <c r="C179" s="91" t="s">
        <v>27</v>
      </c>
      <c r="D179" s="91" t="s">
        <v>25</v>
      </c>
      <c r="E179" s="91" t="s">
        <v>23</v>
      </c>
      <c r="F179" s="91" t="s">
        <v>74</v>
      </c>
      <c r="G179" s="91" t="s">
        <v>375</v>
      </c>
      <c r="H179" s="91" t="s">
        <v>28</v>
      </c>
      <c r="I179" s="91" t="s">
        <v>80</v>
      </c>
    </row>
    <row r="180" spans="1:9" x14ac:dyDescent="0.2">
      <c r="A180" s="141" t="s">
        <v>245</v>
      </c>
    </row>
    <row r="181" spans="1:9" x14ac:dyDescent="0.2">
      <c r="A181" t="s">
        <v>690</v>
      </c>
      <c r="C181">
        <v>2</v>
      </c>
    </row>
    <row r="182" spans="1:9" x14ac:dyDescent="0.2">
      <c r="A182" t="s">
        <v>691</v>
      </c>
      <c r="C182">
        <v>3</v>
      </c>
    </row>
    <row r="183" spans="1:9" x14ac:dyDescent="0.2">
      <c r="A183" t="s">
        <v>692</v>
      </c>
      <c r="C183">
        <v>3</v>
      </c>
    </row>
    <row r="184" spans="1:9" x14ac:dyDescent="0.2">
      <c r="A184" t="s">
        <v>693</v>
      </c>
      <c r="E184">
        <v>2</v>
      </c>
    </row>
    <row r="185" spans="1:9" x14ac:dyDescent="0.2">
      <c r="A185" t="s">
        <v>694</v>
      </c>
      <c r="E185">
        <v>2</v>
      </c>
    </row>
    <row r="186" spans="1:9" x14ac:dyDescent="0.2">
      <c r="A186" t="s">
        <v>695</v>
      </c>
      <c r="E186">
        <v>3</v>
      </c>
    </row>
    <row r="187" spans="1:9" x14ac:dyDescent="0.2">
      <c r="A187" t="s">
        <v>696</v>
      </c>
      <c r="E187">
        <v>4</v>
      </c>
    </row>
    <row r="188" spans="1:9" x14ac:dyDescent="0.2">
      <c r="A188" t="s">
        <v>697</v>
      </c>
      <c r="D188">
        <v>2</v>
      </c>
    </row>
    <row r="189" spans="1:9" x14ac:dyDescent="0.2">
      <c r="A189" t="s">
        <v>698</v>
      </c>
      <c r="D189">
        <v>3</v>
      </c>
    </row>
    <row r="190" spans="1:9" x14ac:dyDescent="0.2">
      <c r="A190" t="s">
        <v>699</v>
      </c>
      <c r="D190">
        <v>3</v>
      </c>
    </row>
    <row r="191" spans="1:9" x14ac:dyDescent="0.2">
      <c r="A191" t="s">
        <v>700</v>
      </c>
      <c r="E191">
        <v>2</v>
      </c>
    </row>
    <row r="192" spans="1:9" x14ac:dyDescent="0.2">
      <c r="A192" t="s">
        <v>701</v>
      </c>
      <c r="E192">
        <v>3</v>
      </c>
    </row>
    <row r="193" spans="1:9" x14ac:dyDescent="0.2">
      <c r="A193" t="s">
        <v>702</v>
      </c>
      <c r="B193">
        <v>2</v>
      </c>
    </row>
    <row r="194" spans="1:9" x14ac:dyDescent="0.2">
      <c r="A194" t="s">
        <v>703</v>
      </c>
      <c r="B194">
        <v>3</v>
      </c>
    </row>
    <row r="195" spans="1:9" x14ac:dyDescent="0.2">
      <c r="A195" t="s">
        <v>704</v>
      </c>
      <c r="B195">
        <v>3</v>
      </c>
    </row>
    <row r="196" spans="1:9" x14ac:dyDescent="0.2">
      <c r="A196" t="s">
        <v>705</v>
      </c>
      <c r="B196">
        <v>5</v>
      </c>
    </row>
    <row r="197" spans="1:9" x14ac:dyDescent="0.2">
      <c r="A197" t="s">
        <v>706</v>
      </c>
      <c r="G197" s="8">
        <v>0.02</v>
      </c>
    </row>
    <row r="198" spans="1:9" x14ac:dyDescent="0.2">
      <c r="A198" t="s">
        <v>707</v>
      </c>
      <c r="E198">
        <v>4</v>
      </c>
    </row>
    <row r="199" spans="1:9" x14ac:dyDescent="0.2">
      <c r="A199" t="s">
        <v>708</v>
      </c>
      <c r="E199">
        <v>6</v>
      </c>
    </row>
    <row r="200" spans="1:9" x14ac:dyDescent="0.2">
      <c r="A200" t="s">
        <v>709</v>
      </c>
      <c r="E200">
        <v>8</v>
      </c>
    </row>
    <row r="201" spans="1:9" x14ac:dyDescent="0.2">
      <c r="A201" t="s">
        <v>710</v>
      </c>
      <c r="F201">
        <v>3</v>
      </c>
    </row>
    <row r="202" spans="1:9" x14ac:dyDescent="0.2">
      <c r="A202" t="s">
        <v>711</v>
      </c>
      <c r="G202" s="8">
        <v>0.02</v>
      </c>
    </row>
    <row r="203" spans="1:9" x14ac:dyDescent="0.2">
      <c r="A203" t="s">
        <v>712</v>
      </c>
      <c r="G203" s="8">
        <v>0.02</v>
      </c>
    </row>
    <row r="204" spans="1:9" x14ac:dyDescent="0.2">
      <c r="A204" t="s">
        <v>713</v>
      </c>
      <c r="D204">
        <v>3</v>
      </c>
      <c r="E204">
        <v>3</v>
      </c>
    </row>
    <row r="205" spans="1:9" x14ac:dyDescent="0.2">
      <c r="A205" t="s">
        <v>714</v>
      </c>
      <c r="D205">
        <v>4</v>
      </c>
      <c r="E205">
        <v>4</v>
      </c>
    </row>
    <row r="206" spans="1:9" x14ac:dyDescent="0.2">
      <c r="A206" t="s">
        <v>715</v>
      </c>
      <c r="B206">
        <v>2</v>
      </c>
      <c r="C206">
        <v>2</v>
      </c>
      <c r="D206">
        <v>2</v>
      </c>
      <c r="E206">
        <v>2</v>
      </c>
    </row>
    <row r="207" spans="1:9" x14ac:dyDescent="0.2">
      <c r="A207" t="s">
        <v>1502</v>
      </c>
    </row>
    <row r="208" spans="1:9" x14ac:dyDescent="0.2">
      <c r="A208" t="s">
        <v>716</v>
      </c>
      <c r="B208">
        <v>3</v>
      </c>
      <c r="C208">
        <v>3</v>
      </c>
      <c r="I208" s="8">
        <v>0.02</v>
      </c>
    </row>
    <row r="209" spans="1:8" x14ac:dyDescent="0.2">
      <c r="A209" t="s">
        <v>717</v>
      </c>
      <c r="B209">
        <v>4</v>
      </c>
      <c r="C209">
        <v>4</v>
      </c>
      <c r="F209">
        <v>4</v>
      </c>
    </row>
    <row r="210" spans="1:8" x14ac:dyDescent="0.2">
      <c r="A210" t="s">
        <v>718</v>
      </c>
      <c r="B210">
        <v>4</v>
      </c>
      <c r="C210">
        <v>4</v>
      </c>
      <c r="H210">
        <v>10</v>
      </c>
    </row>
    <row r="213" spans="1:8" x14ac:dyDescent="0.2">
      <c r="A213" s="91" t="s">
        <v>1345</v>
      </c>
    </row>
    <row r="214" spans="1:8" x14ac:dyDescent="0.2">
      <c r="A214" s="8" t="s">
        <v>1348</v>
      </c>
    </row>
    <row r="215" spans="1:8" x14ac:dyDescent="0.2">
      <c r="A215" s="8" t="s">
        <v>1350</v>
      </c>
    </row>
    <row r="216" spans="1:8" x14ac:dyDescent="0.2">
      <c r="A216" s="8" t="s">
        <v>1349</v>
      </c>
    </row>
    <row r="217" spans="1:8" x14ac:dyDescent="0.2">
      <c r="A217" s="8" t="s">
        <v>1351</v>
      </c>
    </row>
    <row r="219" spans="1:8" x14ac:dyDescent="0.2">
      <c r="A219" s="221" t="s">
        <v>1354</v>
      </c>
    </row>
    <row r="220" spans="1:8" x14ac:dyDescent="0.2">
      <c r="A220" s="222" t="s">
        <v>245</v>
      </c>
    </row>
    <row r="221" spans="1:8" x14ac:dyDescent="0.2">
      <c r="A221" s="222" t="s">
        <v>1355</v>
      </c>
    </row>
    <row r="222" spans="1:8" x14ac:dyDescent="0.2">
      <c r="A222" s="222" t="s">
        <v>1356</v>
      </c>
    </row>
    <row r="223" spans="1:8" x14ac:dyDescent="0.2">
      <c r="A223" s="222" t="s">
        <v>1359</v>
      </c>
    </row>
    <row r="225" spans="1:3" x14ac:dyDescent="0.2">
      <c r="A225" s="222"/>
    </row>
    <row r="226" spans="1:3" x14ac:dyDescent="0.2">
      <c r="A226" s="227" t="s">
        <v>1471</v>
      </c>
      <c r="B226" s="209" t="s">
        <v>1453</v>
      </c>
      <c r="C226" t="s">
        <v>1512</v>
      </c>
    </row>
    <row r="227" spans="1:3" x14ac:dyDescent="0.2">
      <c r="A227" s="222" t="s">
        <v>1472</v>
      </c>
      <c r="B227" t="s">
        <v>1479</v>
      </c>
    </row>
    <row r="228" spans="1:3" x14ac:dyDescent="0.2">
      <c r="A228" s="222" t="s">
        <v>1473</v>
      </c>
      <c r="B228" t="s">
        <v>1479</v>
      </c>
    </row>
    <row r="229" spans="1:3" x14ac:dyDescent="0.2">
      <c r="A229" s="222" t="s">
        <v>1474</v>
      </c>
      <c r="B229" t="s">
        <v>1479</v>
      </c>
    </row>
    <row r="230" spans="1:3" x14ac:dyDescent="0.2">
      <c r="A230" s="222" t="s">
        <v>1475</v>
      </c>
      <c r="B230" t="s">
        <v>1479</v>
      </c>
    </row>
    <row r="231" spans="1:3" x14ac:dyDescent="0.2">
      <c r="A231" s="222" t="s">
        <v>1476</v>
      </c>
      <c r="B231" t="s">
        <v>1480</v>
      </c>
    </row>
    <row r="232" spans="1:3" x14ac:dyDescent="0.2">
      <c r="A232" s="222" t="s">
        <v>1477</v>
      </c>
      <c r="B232" t="s">
        <v>1481</v>
      </c>
    </row>
    <row r="233" spans="1:3" x14ac:dyDescent="0.2">
      <c r="A233" s="222" t="s">
        <v>1497</v>
      </c>
      <c r="B233" t="s">
        <v>1482</v>
      </c>
    </row>
    <row r="234" spans="1:3" x14ac:dyDescent="0.2">
      <c r="A234" s="222" t="s">
        <v>1478</v>
      </c>
      <c r="B234" t="s">
        <v>1483</v>
      </c>
    </row>
    <row r="235" spans="1:3" x14ac:dyDescent="0.2">
      <c r="A235" s="222" t="s">
        <v>1121</v>
      </c>
      <c r="B235" t="s">
        <v>1484</v>
      </c>
    </row>
    <row r="238" spans="1:3" x14ac:dyDescent="0.2">
      <c r="A238" s="238" t="s">
        <v>1494</v>
      </c>
      <c r="B238" s="91" t="s">
        <v>1510</v>
      </c>
      <c r="C238" s="141"/>
    </row>
    <row r="239" spans="1:3" x14ac:dyDescent="0.2">
      <c r="A239" t="s">
        <v>213</v>
      </c>
      <c r="B239" s="8">
        <v>0</v>
      </c>
    </row>
    <row r="240" spans="1:3" x14ac:dyDescent="0.2">
      <c r="A240" s="32" t="s">
        <v>1458</v>
      </c>
      <c r="B240" s="8">
        <v>0.05</v>
      </c>
      <c r="C240" s="8"/>
    </row>
    <row r="241" spans="1:4" x14ac:dyDescent="0.2">
      <c r="A241" s="32" t="s">
        <v>405</v>
      </c>
      <c r="B241" s="8">
        <v>0.15</v>
      </c>
      <c r="C241" s="8"/>
    </row>
    <row r="242" spans="1:4" x14ac:dyDescent="0.2">
      <c r="A242" s="32" t="s">
        <v>1459</v>
      </c>
      <c r="B242" s="8">
        <v>0.17</v>
      </c>
    </row>
    <row r="245" spans="1:4" x14ac:dyDescent="0.2">
      <c r="A245" s="228" t="s">
        <v>1506</v>
      </c>
      <c r="B245" s="91" t="s">
        <v>1684</v>
      </c>
    </row>
    <row r="246" spans="1:4" x14ac:dyDescent="0.2">
      <c r="A246" s="222" t="s">
        <v>1441</v>
      </c>
      <c r="B246" t="s">
        <v>1681</v>
      </c>
    </row>
    <row r="247" spans="1:4" x14ac:dyDescent="0.2">
      <c r="A247" t="s">
        <v>1449</v>
      </c>
      <c r="B247" t="s">
        <v>1682</v>
      </c>
    </row>
    <row r="248" spans="1:4" x14ac:dyDescent="0.2">
      <c r="A248" t="s">
        <v>1444</v>
      </c>
      <c r="B248" t="s">
        <v>1682</v>
      </c>
    </row>
    <row r="249" spans="1:4" x14ac:dyDescent="0.2">
      <c r="A249" t="s">
        <v>1496</v>
      </c>
      <c r="B249" t="s">
        <v>1682</v>
      </c>
      <c r="D249" t="s">
        <v>1685</v>
      </c>
    </row>
    <row r="250" spans="1:4" x14ac:dyDescent="0.2">
      <c r="A250" t="s">
        <v>1495</v>
      </c>
      <c r="B250" t="s">
        <v>1682</v>
      </c>
    </row>
    <row r="251" spans="1:4" x14ac:dyDescent="0.2">
      <c r="A251" t="s">
        <v>1442</v>
      </c>
      <c r="B251" t="s">
        <v>1683</v>
      </c>
    </row>
    <row r="252" spans="1:4" x14ac:dyDescent="0.2">
      <c r="A252" t="s">
        <v>1445</v>
      </c>
      <c r="B252" t="s">
        <v>1683</v>
      </c>
    </row>
    <row r="253" spans="1:4" x14ac:dyDescent="0.2">
      <c r="A253" t="s">
        <v>1443</v>
      </c>
      <c r="B253" t="s">
        <v>1683</v>
      </c>
    </row>
    <row r="254" spans="1:4" x14ac:dyDescent="0.2">
      <c r="A254" t="s">
        <v>1504</v>
      </c>
      <c r="B254" t="s">
        <v>1683</v>
      </c>
    </row>
    <row r="255" spans="1:4" x14ac:dyDescent="0.2">
      <c r="A255" t="s">
        <v>1446</v>
      </c>
      <c r="B255" t="s">
        <v>1683</v>
      </c>
    </row>
    <row r="256" spans="1:4" x14ac:dyDescent="0.2">
      <c r="A256" t="s">
        <v>1505</v>
      </c>
      <c r="B256" t="s">
        <v>1683</v>
      </c>
    </row>
    <row r="257" spans="1:3" x14ac:dyDescent="0.2">
      <c r="A257" t="s">
        <v>1447</v>
      </c>
      <c r="B257" t="s">
        <v>1683</v>
      </c>
    </row>
    <row r="260" spans="1:3" x14ac:dyDescent="0.2">
      <c r="A260" s="91" t="s">
        <v>1587</v>
      </c>
      <c r="B260" s="91" t="s">
        <v>297</v>
      </c>
    </row>
    <row r="261" spans="1:3" x14ac:dyDescent="0.2">
      <c r="A261">
        <v>10</v>
      </c>
      <c r="B261">
        <v>126</v>
      </c>
    </row>
    <row r="262" spans="1:3" x14ac:dyDescent="0.2">
      <c r="A262">
        <v>30</v>
      </c>
      <c r="B262">
        <v>386</v>
      </c>
    </row>
    <row r="263" spans="1:3" x14ac:dyDescent="0.2">
      <c r="A263">
        <v>75</v>
      </c>
      <c r="B263">
        <v>1066</v>
      </c>
    </row>
    <row r="264" spans="1:3" x14ac:dyDescent="0.2">
      <c r="A264">
        <v>99</v>
      </c>
      <c r="B264">
        <v>1474</v>
      </c>
    </row>
    <row r="265" spans="1:3" x14ac:dyDescent="0.2">
      <c r="A265">
        <v>115</v>
      </c>
      <c r="B265">
        <v>1600</v>
      </c>
    </row>
    <row r="266" spans="1:3" x14ac:dyDescent="0.2">
      <c r="A266">
        <v>117</v>
      </c>
      <c r="B266">
        <v>1616</v>
      </c>
    </row>
    <row r="267" spans="1:3" x14ac:dyDescent="0.2">
      <c r="A267">
        <v>119</v>
      </c>
      <c r="B267">
        <v>1633</v>
      </c>
    </row>
    <row r="270" spans="1:3" x14ac:dyDescent="0.2">
      <c r="A270" s="91" t="s">
        <v>1515</v>
      </c>
      <c r="B270" s="91" t="s">
        <v>1514</v>
      </c>
      <c r="C270" s="91" t="s">
        <v>1513</v>
      </c>
    </row>
    <row r="271" spans="1:3" x14ac:dyDescent="0.2">
      <c r="A271" t="s">
        <v>1515</v>
      </c>
      <c r="B271">
        <v>35</v>
      </c>
      <c r="C271">
        <v>8</v>
      </c>
    </row>
    <row r="272" spans="1:3" x14ac:dyDescent="0.2">
      <c r="A272" t="s">
        <v>1677</v>
      </c>
      <c r="B272">
        <v>48</v>
      </c>
      <c r="C272">
        <v>24</v>
      </c>
    </row>
    <row r="273" spans="1:3" x14ac:dyDescent="0.2">
      <c r="A273" t="s">
        <v>1678</v>
      </c>
      <c r="B273">
        <v>55</v>
      </c>
      <c r="C273">
        <v>42</v>
      </c>
    </row>
    <row r="274" spans="1:3" x14ac:dyDescent="0.2">
      <c r="A274" t="s">
        <v>1679</v>
      </c>
      <c r="B274">
        <v>63</v>
      </c>
      <c r="C274">
        <v>60</v>
      </c>
    </row>
    <row r="277" spans="1:3" x14ac:dyDescent="0.2">
      <c r="A277" s="91" t="s">
        <v>1597</v>
      </c>
    </row>
    <row r="278" spans="1:3" x14ac:dyDescent="0.2">
      <c r="A278">
        <v>0</v>
      </c>
    </row>
    <row r="279" spans="1:3" x14ac:dyDescent="0.2">
      <c r="A279">
        <v>200</v>
      </c>
    </row>
    <row r="280" spans="1:3" x14ac:dyDescent="0.2">
      <c r="A280">
        <v>400</v>
      </c>
    </row>
    <row r="281" spans="1:3" x14ac:dyDescent="0.2">
      <c r="A281">
        <v>600</v>
      </c>
    </row>
    <row r="282" spans="1:3" x14ac:dyDescent="0.2">
      <c r="A282">
        <v>800</v>
      </c>
    </row>
    <row r="283" spans="1:3" x14ac:dyDescent="0.2">
      <c r="A283">
        <v>1000</v>
      </c>
    </row>
    <row r="286" spans="1:3" x14ac:dyDescent="0.2">
      <c r="A286" s="91" t="s">
        <v>1686</v>
      </c>
      <c r="B286" s="91">
        <v>1</v>
      </c>
      <c r="C286" s="91">
        <v>2</v>
      </c>
    </row>
    <row r="287" spans="1:3" x14ac:dyDescent="0.2">
      <c r="A287" t="s">
        <v>1689</v>
      </c>
      <c r="B287">
        <v>0</v>
      </c>
      <c r="C287">
        <v>0</v>
      </c>
    </row>
    <row r="288" spans="1:3" x14ac:dyDescent="0.2">
      <c r="A288" t="s">
        <v>1690</v>
      </c>
      <c r="B288">
        <f>'Breath Data'!D45</f>
        <v>1086</v>
      </c>
      <c r="C288">
        <f>'Breath Data'!E45</f>
        <v>1086</v>
      </c>
    </row>
    <row r="289" spans="1:3" x14ac:dyDescent="0.2">
      <c r="A289" t="s">
        <v>1687</v>
      </c>
      <c r="B289">
        <f>'Breath Data'!D46</f>
        <v>380</v>
      </c>
      <c r="C289">
        <f>'Breath Data'!E46</f>
        <v>380</v>
      </c>
    </row>
    <row r="290" spans="1:3" x14ac:dyDescent="0.2">
      <c r="A290" t="s">
        <v>1688</v>
      </c>
      <c r="B290">
        <f>'Breath Data'!D47</f>
        <v>1150</v>
      </c>
      <c r="C290">
        <f>'Breath Data'!E47</f>
        <v>1150</v>
      </c>
    </row>
    <row r="291" spans="1:3" x14ac:dyDescent="0.2">
      <c r="A291" t="s">
        <v>1691</v>
      </c>
      <c r="B291">
        <f>'Breath Data'!D48</f>
        <v>2195</v>
      </c>
      <c r="C291">
        <f>'Breath Data'!E48</f>
        <v>2998</v>
      </c>
    </row>
    <row r="292" spans="1:3" x14ac:dyDescent="0.2">
      <c r="A292" t="s">
        <v>1692</v>
      </c>
      <c r="B292">
        <f>'Breath Data'!D49</f>
        <v>769</v>
      </c>
      <c r="C292">
        <f>'Breath Data'!E49</f>
        <v>1050</v>
      </c>
    </row>
    <row r="293" spans="1:3" x14ac:dyDescent="0.2">
      <c r="A293" t="s">
        <v>1693</v>
      </c>
      <c r="B293">
        <f>'Breath Data'!D50</f>
        <v>2324</v>
      </c>
      <c r="C293">
        <f>'Breath Data'!E50</f>
        <v>3175</v>
      </c>
    </row>
    <row r="296" spans="1:3" x14ac:dyDescent="0.2">
      <c r="A296" s="91" t="s">
        <v>1604</v>
      </c>
    </row>
    <row r="297" spans="1:3" x14ac:dyDescent="0.2">
      <c r="A297" t="s">
        <v>1603</v>
      </c>
    </row>
    <row r="298" spans="1:3" x14ac:dyDescent="0.2">
      <c r="A298" t="s">
        <v>1599</v>
      </c>
    </row>
    <row r="299" spans="1:3" x14ac:dyDescent="0.2">
      <c r="A299" t="s">
        <v>1600</v>
      </c>
    </row>
    <row r="301" spans="1:3" x14ac:dyDescent="0.2">
      <c r="A301" t="s">
        <v>1767</v>
      </c>
    </row>
    <row r="302" spans="1:3" x14ac:dyDescent="0.2">
      <c r="A302" s="91" t="s">
        <v>1730</v>
      </c>
      <c r="B302" s="91" t="s">
        <v>1510</v>
      </c>
      <c r="C302" s="91" t="s">
        <v>93</v>
      </c>
    </row>
    <row r="303" spans="1:3" x14ac:dyDescent="0.2">
      <c r="A303" s="141" t="s">
        <v>213</v>
      </c>
      <c r="B303">
        <v>0</v>
      </c>
      <c r="C303">
        <v>0</v>
      </c>
    </row>
    <row r="304" spans="1:3" x14ac:dyDescent="0.2">
      <c r="A304" s="141" t="s">
        <v>726</v>
      </c>
      <c r="B304">
        <v>1</v>
      </c>
      <c r="C304">
        <v>1</v>
      </c>
    </row>
    <row r="305" spans="1:7" x14ac:dyDescent="0.2">
      <c r="A305" s="141" t="s">
        <v>1731</v>
      </c>
      <c r="B305">
        <v>1.2</v>
      </c>
      <c r="C305">
        <v>1</v>
      </c>
    </row>
    <row r="306" spans="1:7" x14ac:dyDescent="0.2">
      <c r="A306" s="141" t="s">
        <v>1733</v>
      </c>
      <c r="B306">
        <v>1</v>
      </c>
      <c r="C306">
        <v>0</v>
      </c>
    </row>
    <row r="307" spans="1:7" x14ac:dyDescent="0.2">
      <c r="A307" s="141" t="s">
        <v>1732</v>
      </c>
      <c r="B307">
        <f>49/99</f>
        <v>0.49494949494949497</v>
      </c>
      <c r="C307">
        <v>0</v>
      </c>
    </row>
    <row r="308" spans="1:7" x14ac:dyDescent="0.2">
      <c r="A308" s="141"/>
    </row>
    <row r="309" spans="1:7" x14ac:dyDescent="0.2">
      <c r="A309" s="141"/>
    </row>
    <row r="310" spans="1:7" x14ac:dyDescent="0.2">
      <c r="A310" s="32" t="s">
        <v>1734</v>
      </c>
    </row>
    <row r="311" spans="1:7" x14ac:dyDescent="0.2">
      <c r="A311" s="91" t="s">
        <v>1760</v>
      </c>
      <c r="B311" s="91" t="s">
        <v>1761</v>
      </c>
      <c r="C311" s="91" t="s">
        <v>1762</v>
      </c>
      <c r="D311" s="91" t="s">
        <v>1763</v>
      </c>
      <c r="E311" s="91" t="s">
        <v>1764</v>
      </c>
      <c r="F311" s="91" t="s">
        <v>1765</v>
      </c>
      <c r="G311" s="91" t="s">
        <v>1766</v>
      </c>
    </row>
    <row r="312" spans="1:7" x14ac:dyDescent="0.2">
      <c r="A312" s="141" t="s">
        <v>213</v>
      </c>
      <c r="B312" t="s">
        <v>213</v>
      </c>
      <c r="C312" t="s">
        <v>213</v>
      </c>
      <c r="D312" t="s">
        <v>213</v>
      </c>
      <c r="E312" t="s">
        <v>213</v>
      </c>
      <c r="F312" t="s">
        <v>213</v>
      </c>
      <c r="G312" t="s">
        <v>213</v>
      </c>
    </row>
    <row r="313" spans="1:7" x14ac:dyDescent="0.2">
      <c r="A313" s="141" t="s">
        <v>1732</v>
      </c>
      <c r="B313" t="s">
        <v>1732</v>
      </c>
      <c r="C313" t="s">
        <v>1732</v>
      </c>
      <c r="D313" t="s">
        <v>1732</v>
      </c>
      <c r="E313" t="s">
        <v>1732</v>
      </c>
      <c r="F313" t="s">
        <v>726</v>
      </c>
      <c r="G313" t="s">
        <v>726</v>
      </c>
    </row>
    <row r="314" spans="1:7" x14ac:dyDescent="0.2">
      <c r="A314" s="141" t="s">
        <v>1816</v>
      </c>
      <c r="B314" t="s">
        <v>1817</v>
      </c>
      <c r="C314" t="s">
        <v>1793</v>
      </c>
      <c r="D314" t="s">
        <v>1818</v>
      </c>
      <c r="E314" t="s">
        <v>1819</v>
      </c>
      <c r="F314" t="s">
        <v>1820</v>
      </c>
      <c r="G314" t="s">
        <v>1812</v>
      </c>
    </row>
    <row r="315" spans="1:7" x14ac:dyDescent="0.2">
      <c r="A315" s="141" t="s">
        <v>726</v>
      </c>
      <c r="B315" t="s">
        <v>726</v>
      </c>
      <c r="C315" t="s">
        <v>726</v>
      </c>
      <c r="D315" t="s">
        <v>726</v>
      </c>
      <c r="E315" t="s">
        <v>726</v>
      </c>
      <c r="F315" t="s">
        <v>1812</v>
      </c>
      <c r="G315" t="s">
        <v>1790</v>
      </c>
    </row>
    <row r="316" spans="1:7" x14ac:dyDescent="0.2">
      <c r="A316" s="141" t="s">
        <v>1821</v>
      </c>
      <c r="B316" t="s">
        <v>1822</v>
      </c>
      <c r="C316" t="s">
        <v>1823</v>
      </c>
      <c r="D316" t="s">
        <v>1824</v>
      </c>
      <c r="E316" t="s">
        <v>1825</v>
      </c>
      <c r="F316" t="s">
        <v>1826</v>
      </c>
      <c r="G316" t="s">
        <v>1813</v>
      </c>
    </row>
    <row r="317" spans="1:7" x14ac:dyDescent="0.2">
      <c r="A317" s="141" t="s">
        <v>1812</v>
      </c>
      <c r="B317" t="s">
        <v>1812</v>
      </c>
      <c r="C317" t="s">
        <v>1812</v>
      </c>
      <c r="D317" t="s">
        <v>1812</v>
      </c>
      <c r="E317" t="s">
        <v>1812</v>
      </c>
      <c r="F317" t="s">
        <v>1790</v>
      </c>
      <c r="G317" t="s">
        <v>1731</v>
      </c>
    </row>
    <row r="318" spans="1:7" x14ac:dyDescent="0.2">
      <c r="A318" s="141" t="s">
        <v>1827</v>
      </c>
      <c r="B318" t="s">
        <v>1828</v>
      </c>
      <c r="C318" t="s">
        <v>1829</v>
      </c>
      <c r="D318" t="s">
        <v>1830</v>
      </c>
      <c r="E318" t="s">
        <v>1831</v>
      </c>
      <c r="F318" t="s">
        <v>1832</v>
      </c>
      <c r="G318" t="s">
        <v>1814</v>
      </c>
    </row>
    <row r="319" spans="1:7" x14ac:dyDescent="0.2">
      <c r="A319" s="141" t="s">
        <v>1790</v>
      </c>
      <c r="B319" t="s">
        <v>1790</v>
      </c>
      <c r="C319" t="s">
        <v>1790</v>
      </c>
      <c r="D319" t="s">
        <v>1790</v>
      </c>
      <c r="E319" t="s">
        <v>1790</v>
      </c>
      <c r="F319" t="s">
        <v>1813</v>
      </c>
      <c r="G319" t="s">
        <v>1815</v>
      </c>
    </row>
    <row r="320" spans="1:7" x14ac:dyDescent="0.2">
      <c r="A320" s="141" t="s">
        <v>1833</v>
      </c>
      <c r="B320" t="s">
        <v>1834</v>
      </c>
      <c r="C320" t="s">
        <v>1835</v>
      </c>
      <c r="D320" t="s">
        <v>1836</v>
      </c>
      <c r="E320" t="s">
        <v>1837</v>
      </c>
      <c r="F320" t="s">
        <v>1838</v>
      </c>
      <c r="G320" t="s">
        <v>1791</v>
      </c>
    </row>
    <row r="321" spans="1:14" x14ac:dyDescent="0.2">
      <c r="A321" s="141" t="s">
        <v>1813</v>
      </c>
      <c r="B321" t="s">
        <v>1813</v>
      </c>
      <c r="C321" t="s">
        <v>1813</v>
      </c>
      <c r="D321" t="s">
        <v>1813</v>
      </c>
      <c r="E321" t="s">
        <v>1813</v>
      </c>
      <c r="F321" t="s">
        <v>1731</v>
      </c>
    </row>
    <row r="322" spans="1:14" x14ac:dyDescent="0.2">
      <c r="A322" s="141" t="s">
        <v>1789</v>
      </c>
      <c r="B322" t="s">
        <v>1839</v>
      </c>
      <c r="C322" t="s">
        <v>1840</v>
      </c>
      <c r="D322" t="s">
        <v>1841</v>
      </c>
      <c r="E322" t="s">
        <v>1842</v>
      </c>
      <c r="F322" t="s">
        <v>1843</v>
      </c>
    </row>
    <row r="323" spans="1:14" x14ac:dyDescent="0.2">
      <c r="A323" s="141" t="s">
        <v>1731</v>
      </c>
      <c r="B323" t="s">
        <v>1731</v>
      </c>
      <c r="C323" t="s">
        <v>1731</v>
      </c>
      <c r="D323" t="s">
        <v>1731</v>
      </c>
      <c r="E323" t="s">
        <v>1731</v>
      </c>
      <c r="F323" t="s">
        <v>1814</v>
      </c>
    </row>
    <row r="324" spans="1:14" x14ac:dyDescent="0.2">
      <c r="A324" s="141" t="s">
        <v>1844</v>
      </c>
      <c r="B324" t="s">
        <v>1845</v>
      </c>
      <c r="C324" t="s">
        <v>1846</v>
      </c>
      <c r="D324" t="s">
        <v>1847</v>
      </c>
      <c r="E324" t="s">
        <v>1848</v>
      </c>
      <c r="F324" t="s">
        <v>1849</v>
      </c>
    </row>
    <row r="325" spans="1:14" x14ac:dyDescent="0.2">
      <c r="A325" s="141" t="s">
        <v>1814</v>
      </c>
      <c r="B325" t="s">
        <v>1814</v>
      </c>
      <c r="C325" t="s">
        <v>1814</v>
      </c>
      <c r="D325" t="s">
        <v>1814</v>
      </c>
      <c r="E325" t="s">
        <v>1814</v>
      </c>
      <c r="F325" t="s">
        <v>1815</v>
      </c>
    </row>
    <row r="326" spans="1:14" x14ac:dyDescent="0.2">
      <c r="A326" s="141" t="s">
        <v>1850</v>
      </c>
      <c r="B326" t="s">
        <v>1851</v>
      </c>
      <c r="C326" t="s">
        <v>1852</v>
      </c>
      <c r="D326" t="s">
        <v>1853</v>
      </c>
      <c r="E326" t="s">
        <v>1854</v>
      </c>
      <c r="F326" t="s">
        <v>1855</v>
      </c>
    </row>
    <row r="327" spans="1:14" x14ac:dyDescent="0.2">
      <c r="A327" s="141" t="s">
        <v>1815</v>
      </c>
      <c r="B327" t="s">
        <v>1815</v>
      </c>
      <c r="C327" t="s">
        <v>1815</v>
      </c>
      <c r="D327" t="s">
        <v>1815</v>
      </c>
      <c r="E327" t="s">
        <v>1815</v>
      </c>
      <c r="F327" t="s">
        <v>1791</v>
      </c>
    </row>
    <row r="328" spans="1:14" x14ac:dyDescent="0.2">
      <c r="A328" s="141" t="s">
        <v>1856</v>
      </c>
      <c r="B328" t="s">
        <v>1857</v>
      </c>
      <c r="C328" t="s">
        <v>1858</v>
      </c>
      <c r="D328" t="s">
        <v>1794</v>
      </c>
      <c r="E328" t="s">
        <v>1859</v>
      </c>
      <c r="F328" t="s">
        <v>1860</v>
      </c>
    </row>
    <row r="329" spans="1:14" x14ac:dyDescent="0.2">
      <c r="A329" s="141" t="s">
        <v>1791</v>
      </c>
      <c r="B329" t="s">
        <v>1791</v>
      </c>
      <c r="C329" t="s">
        <v>1791</v>
      </c>
      <c r="D329" t="s">
        <v>1791</v>
      </c>
      <c r="E329" t="s">
        <v>1791</v>
      </c>
    </row>
    <row r="330" spans="1:14" x14ac:dyDescent="0.2">
      <c r="A330" t="s">
        <v>1861</v>
      </c>
      <c r="B330" t="s">
        <v>1792</v>
      </c>
      <c r="C330" t="s">
        <v>1862</v>
      </c>
      <c r="D330" t="s">
        <v>1863</v>
      </c>
      <c r="E330" t="s">
        <v>1864</v>
      </c>
    </row>
    <row r="333" spans="1:14" x14ac:dyDescent="0.2">
      <c r="A333" t="s">
        <v>1768</v>
      </c>
    </row>
    <row r="334" spans="1:14" x14ac:dyDescent="0.2">
      <c r="A334" s="91" t="s">
        <v>1735</v>
      </c>
      <c r="B334" s="91"/>
      <c r="C334" s="238" t="s">
        <v>1752</v>
      </c>
      <c r="D334" s="91"/>
      <c r="E334" s="238" t="s">
        <v>1753</v>
      </c>
      <c r="F334" s="91"/>
      <c r="G334" s="238" t="s">
        <v>1756</v>
      </c>
      <c r="H334" s="91"/>
      <c r="I334" s="238" t="s">
        <v>1742</v>
      </c>
      <c r="J334" s="91"/>
      <c r="K334" s="238" t="s">
        <v>1757</v>
      </c>
      <c r="L334" s="91"/>
      <c r="M334" s="238" t="s">
        <v>1758</v>
      </c>
      <c r="N334" s="246"/>
    </row>
    <row r="335" spans="1:14" x14ac:dyDescent="0.2">
      <c r="A335" t="s">
        <v>1736</v>
      </c>
      <c r="B335">
        <v>64</v>
      </c>
      <c r="C335" s="254" t="s">
        <v>1736</v>
      </c>
      <c r="D335">
        <v>10</v>
      </c>
      <c r="E335" s="254" t="s">
        <v>1736</v>
      </c>
      <c r="F335" s="8">
        <v>0.01</v>
      </c>
      <c r="G335" s="254" t="s">
        <v>1736</v>
      </c>
      <c r="H335" s="8">
        <v>0.01</v>
      </c>
      <c r="I335" s="254" t="s">
        <v>1736</v>
      </c>
      <c r="J335">
        <v>8</v>
      </c>
      <c r="K335" s="254" t="s">
        <v>1736</v>
      </c>
      <c r="L335">
        <v>10</v>
      </c>
      <c r="M335" s="254" t="s">
        <v>1736</v>
      </c>
      <c r="N335" s="245">
        <v>30</v>
      </c>
    </row>
    <row r="336" spans="1:14" x14ac:dyDescent="0.2">
      <c r="A336" t="s">
        <v>1743</v>
      </c>
      <c r="B336">
        <v>80</v>
      </c>
      <c r="C336" s="254" t="s">
        <v>1743</v>
      </c>
      <c r="D336">
        <v>13</v>
      </c>
      <c r="E336" s="254" t="s">
        <v>1743</v>
      </c>
      <c r="F336" s="8">
        <v>0.02</v>
      </c>
      <c r="G336" s="254" t="s">
        <v>1743</v>
      </c>
      <c r="H336" s="8">
        <v>0.02</v>
      </c>
      <c r="I336" s="254" t="s">
        <v>1737</v>
      </c>
      <c r="J336">
        <v>32</v>
      </c>
      <c r="K336" s="254" t="s">
        <v>1743</v>
      </c>
      <c r="L336">
        <v>10</v>
      </c>
      <c r="M336" s="254" t="s">
        <v>1743</v>
      </c>
      <c r="N336" s="245">
        <v>50</v>
      </c>
    </row>
    <row r="337" spans="1:14" x14ac:dyDescent="0.2">
      <c r="A337" t="s">
        <v>1738</v>
      </c>
      <c r="B337">
        <v>96</v>
      </c>
      <c r="C337" s="254" t="s">
        <v>1738</v>
      </c>
      <c r="D337">
        <v>15</v>
      </c>
      <c r="E337" s="254" t="s">
        <v>1738</v>
      </c>
      <c r="F337" s="8">
        <v>0.03</v>
      </c>
      <c r="G337" s="254" t="s">
        <v>1738</v>
      </c>
      <c r="H337" s="8">
        <v>0.03</v>
      </c>
      <c r="I337" s="254" t="s">
        <v>1738</v>
      </c>
      <c r="J337">
        <v>10</v>
      </c>
      <c r="K337" s="254" t="s">
        <v>1738</v>
      </c>
      <c r="L337">
        <v>10</v>
      </c>
      <c r="M337" s="254" t="s">
        <v>1738</v>
      </c>
      <c r="N337" s="245">
        <v>70</v>
      </c>
    </row>
    <row r="338" spans="1:14" x14ac:dyDescent="0.2">
      <c r="A338" t="s">
        <v>1750</v>
      </c>
      <c r="B338">
        <v>256</v>
      </c>
      <c r="C338" s="254" t="s">
        <v>1750</v>
      </c>
      <c r="D338">
        <v>40</v>
      </c>
      <c r="E338" s="254" t="s">
        <v>1739</v>
      </c>
      <c r="F338" s="8">
        <v>0.04</v>
      </c>
      <c r="G338" s="254" t="s">
        <v>1739</v>
      </c>
      <c r="H338" s="8">
        <v>0.04</v>
      </c>
      <c r="I338" s="254" t="s">
        <v>1739</v>
      </c>
      <c r="J338">
        <v>12</v>
      </c>
      <c r="K338" s="254" t="s">
        <v>1739</v>
      </c>
      <c r="L338">
        <v>10</v>
      </c>
      <c r="M338" s="254" t="s">
        <v>1739</v>
      </c>
      <c r="N338" s="245">
        <v>90</v>
      </c>
    </row>
    <row r="339" spans="1:14" x14ac:dyDescent="0.2">
      <c r="A339" t="s">
        <v>1740</v>
      </c>
      <c r="B339">
        <v>112</v>
      </c>
      <c r="C339" s="254" t="s">
        <v>1740</v>
      </c>
      <c r="D339">
        <v>18</v>
      </c>
      <c r="E339" s="254" t="s">
        <v>1754</v>
      </c>
      <c r="F339" s="8">
        <v>0.1</v>
      </c>
      <c r="G339" s="254" t="s">
        <v>1754</v>
      </c>
      <c r="H339" s="8">
        <v>0.1</v>
      </c>
      <c r="I339" s="254" t="s">
        <v>1740</v>
      </c>
      <c r="J339">
        <v>14</v>
      </c>
      <c r="K339" s="254" t="s">
        <v>1754</v>
      </c>
      <c r="L339">
        <v>30</v>
      </c>
      <c r="M339" s="254" t="s">
        <v>1754</v>
      </c>
      <c r="N339" s="245">
        <v>200</v>
      </c>
    </row>
    <row r="340" spans="1:14" x14ac:dyDescent="0.2">
      <c r="A340" t="s">
        <v>1744</v>
      </c>
      <c r="B340">
        <v>128</v>
      </c>
      <c r="C340" s="254" t="s">
        <v>1744</v>
      </c>
      <c r="D340">
        <v>20</v>
      </c>
      <c r="E340" s="254" t="s">
        <v>1744</v>
      </c>
      <c r="F340" s="8">
        <v>0.05</v>
      </c>
      <c r="G340" s="254" t="s">
        <v>1744</v>
      </c>
      <c r="H340" s="8">
        <v>0.05</v>
      </c>
      <c r="I340" s="254" t="s">
        <v>1741</v>
      </c>
      <c r="J340">
        <v>4</v>
      </c>
      <c r="K340" s="254" t="s">
        <v>1744</v>
      </c>
      <c r="L340">
        <v>10</v>
      </c>
      <c r="M340" s="254" t="s">
        <v>1744</v>
      </c>
      <c r="N340" s="245">
        <v>110</v>
      </c>
    </row>
    <row r="341" spans="1:14" x14ac:dyDescent="0.2">
      <c r="A341" t="s">
        <v>1745</v>
      </c>
      <c r="B341">
        <v>160</v>
      </c>
      <c r="C341" s="254" t="s">
        <v>1745</v>
      </c>
      <c r="D341">
        <v>25</v>
      </c>
      <c r="E341" s="254" t="s">
        <v>1745</v>
      </c>
      <c r="F341" s="8">
        <v>0.06</v>
      </c>
      <c r="G341" s="254" t="s">
        <v>1745</v>
      </c>
      <c r="H341" s="8">
        <v>0.06</v>
      </c>
      <c r="I341" s="254" t="s">
        <v>1745</v>
      </c>
      <c r="J341">
        <v>16</v>
      </c>
      <c r="K341" s="254" t="s">
        <v>1745</v>
      </c>
      <c r="L341">
        <v>10</v>
      </c>
      <c r="M341" s="254" t="s">
        <v>1759</v>
      </c>
      <c r="N341" s="245">
        <v>20</v>
      </c>
    </row>
    <row r="342" spans="1:14" x14ac:dyDescent="0.2">
      <c r="A342" t="s">
        <v>1751</v>
      </c>
      <c r="B342">
        <v>32</v>
      </c>
      <c r="C342" s="254" t="s">
        <v>1751</v>
      </c>
      <c r="D342">
        <v>5</v>
      </c>
      <c r="E342" s="254" t="s">
        <v>1746</v>
      </c>
      <c r="F342" s="8">
        <v>0.06</v>
      </c>
      <c r="G342" s="254" t="s">
        <v>1746</v>
      </c>
      <c r="H342" s="8">
        <v>0.06</v>
      </c>
      <c r="I342" s="254" t="s">
        <v>1746</v>
      </c>
      <c r="J342">
        <v>20</v>
      </c>
      <c r="K342" s="254" t="s">
        <v>1751</v>
      </c>
      <c r="L342">
        <v>0</v>
      </c>
      <c r="M342" s="254" t="s">
        <v>1746</v>
      </c>
      <c r="N342" s="245">
        <v>130</v>
      </c>
    </row>
    <row r="343" spans="1:14" x14ac:dyDescent="0.2">
      <c r="A343" t="s">
        <v>1747</v>
      </c>
      <c r="B343">
        <v>176</v>
      </c>
      <c r="C343" s="254" t="s">
        <v>1747</v>
      </c>
      <c r="D343">
        <v>27</v>
      </c>
      <c r="E343" s="254" t="s">
        <v>1755</v>
      </c>
      <c r="F343" s="8">
        <v>0.01</v>
      </c>
      <c r="G343" s="254" t="s">
        <v>1755</v>
      </c>
      <c r="H343" s="8">
        <v>0.01</v>
      </c>
      <c r="I343" s="254" t="s">
        <v>1747</v>
      </c>
      <c r="J343">
        <v>22</v>
      </c>
      <c r="K343" s="254" t="s">
        <v>1747</v>
      </c>
      <c r="L343">
        <v>20</v>
      </c>
      <c r="M343" s="254" t="s">
        <v>1747</v>
      </c>
      <c r="N343" s="245">
        <v>150</v>
      </c>
    </row>
    <row r="344" spans="1:14" x14ac:dyDescent="0.2">
      <c r="A344" t="s">
        <v>1748</v>
      </c>
      <c r="B344">
        <v>192</v>
      </c>
      <c r="C344" s="254" t="s">
        <v>1748</v>
      </c>
      <c r="D344">
        <v>30</v>
      </c>
      <c r="E344" s="254" t="s">
        <v>1748</v>
      </c>
      <c r="F344" s="8">
        <v>7.0000000000000007E-2</v>
      </c>
      <c r="G344" s="254" t="s">
        <v>1748</v>
      </c>
      <c r="H344" s="8">
        <v>7.0000000000000007E-2</v>
      </c>
      <c r="I344" s="254" t="s">
        <v>1748</v>
      </c>
      <c r="J344">
        <v>24</v>
      </c>
      <c r="K344" s="254" t="s">
        <v>1748</v>
      </c>
      <c r="L344">
        <v>20</v>
      </c>
      <c r="M344" s="254" t="s">
        <v>1748</v>
      </c>
      <c r="N344" s="245">
        <v>170</v>
      </c>
    </row>
    <row r="345" spans="1:14" x14ac:dyDescent="0.2">
      <c r="A345" s="91" t="s">
        <v>1749</v>
      </c>
      <c r="B345" s="91">
        <v>320</v>
      </c>
      <c r="C345" s="238" t="s">
        <v>1749</v>
      </c>
      <c r="D345" s="91">
        <v>50</v>
      </c>
      <c r="E345" s="238" t="s">
        <v>1749</v>
      </c>
      <c r="F345" s="221">
        <v>0.15</v>
      </c>
      <c r="G345" s="238" t="s">
        <v>1749</v>
      </c>
      <c r="H345" s="221">
        <v>0.15</v>
      </c>
      <c r="I345" s="238" t="s">
        <v>1749</v>
      </c>
      <c r="J345" s="91">
        <v>40</v>
      </c>
      <c r="K345" s="238" t="s">
        <v>1749</v>
      </c>
      <c r="L345" s="91">
        <v>40</v>
      </c>
      <c r="M345" s="238" t="s">
        <v>1749</v>
      </c>
      <c r="N345" s="246">
        <v>250</v>
      </c>
    </row>
    <row r="346" spans="1:14" x14ac:dyDescent="0.2">
      <c r="A346" t="s">
        <v>340</v>
      </c>
      <c r="B346">
        <v>100</v>
      </c>
      <c r="C346" s="254" t="s">
        <v>340</v>
      </c>
      <c r="D346">
        <v>15</v>
      </c>
      <c r="E346" s="254" t="s">
        <v>340</v>
      </c>
      <c r="F346" s="8">
        <v>0.05</v>
      </c>
      <c r="G346" s="254" t="s">
        <v>340</v>
      </c>
      <c r="H346" s="8">
        <v>0.05</v>
      </c>
      <c r="I346" s="254" t="s">
        <v>340</v>
      </c>
      <c r="J346">
        <v>10</v>
      </c>
      <c r="K346" s="254" t="s">
        <v>340</v>
      </c>
      <c r="L346">
        <v>10</v>
      </c>
      <c r="M346" s="254" t="s">
        <v>340</v>
      </c>
      <c r="N346" s="245">
        <v>0</v>
      </c>
    </row>
    <row r="347" spans="1:14" x14ac:dyDescent="0.2">
      <c r="A347" t="s">
        <v>93</v>
      </c>
      <c r="B347">
        <f>32</f>
        <v>32</v>
      </c>
      <c r="C347" s="254" t="s">
        <v>93</v>
      </c>
      <c r="D347">
        <f>5</f>
        <v>5</v>
      </c>
      <c r="E347" s="254" t="s">
        <v>93</v>
      </c>
      <c r="F347" s="8">
        <f>1%</f>
        <v>0.01</v>
      </c>
      <c r="G347" s="254" t="s">
        <v>93</v>
      </c>
      <c r="H347" s="8">
        <f>1%</f>
        <v>0.01</v>
      </c>
      <c r="I347" s="254" t="s">
        <v>93</v>
      </c>
      <c r="J347">
        <f>4</f>
        <v>4</v>
      </c>
      <c r="K347" s="254" t="s">
        <v>93</v>
      </c>
      <c r="L347">
        <f>2</f>
        <v>2</v>
      </c>
      <c r="M347" s="254" t="s">
        <v>93</v>
      </c>
      <c r="N347" s="245">
        <f>15</f>
        <v>15</v>
      </c>
    </row>
    <row r="350" spans="1:14" x14ac:dyDescent="0.2">
      <c r="A350" t="s">
        <v>1769</v>
      </c>
    </row>
    <row r="351" spans="1:14" x14ac:dyDescent="0.2">
      <c r="A351" t="s">
        <v>245</v>
      </c>
      <c r="B351">
        <v>0</v>
      </c>
    </row>
    <row r="352" spans="1:14" x14ac:dyDescent="0.2">
      <c r="A352" t="s">
        <v>1770</v>
      </c>
      <c r="B352">
        <v>3</v>
      </c>
    </row>
    <row r="353" spans="1:3" x14ac:dyDescent="0.2">
      <c r="A353" t="s">
        <v>1771</v>
      </c>
      <c r="B353">
        <v>5</v>
      </c>
    </row>
    <row r="354" spans="1:3" x14ac:dyDescent="0.2">
      <c r="A354" t="s">
        <v>1772</v>
      </c>
      <c r="B354">
        <v>7</v>
      </c>
    </row>
    <row r="358" spans="1:3" x14ac:dyDescent="0.2">
      <c r="A358" t="s">
        <v>1796</v>
      </c>
    </row>
    <row r="359" spans="1:3" x14ac:dyDescent="0.2">
      <c r="A359" t="s">
        <v>1798</v>
      </c>
      <c r="B359" t="s">
        <v>1510</v>
      </c>
      <c r="C359" t="s">
        <v>1799</v>
      </c>
    </row>
    <row r="360" spans="1:3" x14ac:dyDescent="0.2">
      <c r="A360" t="s">
        <v>213</v>
      </c>
      <c r="B360">
        <v>0</v>
      </c>
      <c r="C360">
        <v>0</v>
      </c>
    </row>
    <row r="361" spans="1:3" x14ac:dyDescent="0.2">
      <c r="A361" t="s">
        <v>1690</v>
      </c>
      <c r="B361">
        <v>1</v>
      </c>
      <c r="C361">
        <v>1</v>
      </c>
    </row>
    <row r="362" spans="1:3" x14ac:dyDescent="0.2">
      <c r="A362" t="s">
        <v>1797</v>
      </c>
      <c r="B362">
        <v>1.5</v>
      </c>
      <c r="C362">
        <v>1</v>
      </c>
    </row>
    <row r="363" spans="1:3" x14ac:dyDescent="0.2">
      <c r="A363" t="s">
        <v>413</v>
      </c>
      <c r="B363">
        <v>2</v>
      </c>
      <c r="C363">
        <v>1</v>
      </c>
    </row>
    <row r="364" spans="1:3" x14ac:dyDescent="0.2">
      <c r="A364" t="s">
        <v>1733</v>
      </c>
      <c r="B364">
        <v>1</v>
      </c>
      <c r="C364">
        <v>0</v>
      </c>
    </row>
    <row r="367" spans="1:3" x14ac:dyDescent="0.2">
      <c r="A367" t="s">
        <v>1800</v>
      </c>
      <c r="B367" t="s">
        <v>120</v>
      </c>
      <c r="C367" t="s">
        <v>1865</v>
      </c>
    </row>
    <row r="368" spans="1:3" x14ac:dyDescent="0.2">
      <c r="A368" t="s">
        <v>1801</v>
      </c>
      <c r="B368">
        <v>32</v>
      </c>
    </row>
    <row r="369" spans="1:4" x14ac:dyDescent="0.2">
      <c r="A369" t="s">
        <v>1802</v>
      </c>
      <c r="B369">
        <v>64</v>
      </c>
    </row>
    <row r="370" spans="1:4" x14ac:dyDescent="0.2">
      <c r="A370" t="s">
        <v>1784</v>
      </c>
      <c r="B370">
        <v>96</v>
      </c>
    </row>
    <row r="371" spans="1:4" x14ac:dyDescent="0.2">
      <c r="A371" t="s">
        <v>1785</v>
      </c>
      <c r="B371">
        <v>112</v>
      </c>
    </row>
    <row r="372" spans="1:4" x14ac:dyDescent="0.2">
      <c r="A372" t="s">
        <v>1786</v>
      </c>
      <c r="B372">
        <v>124</v>
      </c>
    </row>
    <row r="373" spans="1:4" x14ac:dyDescent="0.2">
      <c r="A373" t="s">
        <v>1803</v>
      </c>
      <c r="B373">
        <v>45</v>
      </c>
    </row>
    <row r="374" spans="1:4" x14ac:dyDescent="0.2">
      <c r="A374" t="s">
        <v>1804</v>
      </c>
      <c r="B374">
        <v>60</v>
      </c>
    </row>
    <row r="375" spans="1:4" x14ac:dyDescent="0.2">
      <c r="A375" t="s">
        <v>1805</v>
      </c>
      <c r="B375">
        <v>107</v>
      </c>
    </row>
    <row r="376" spans="1:4" x14ac:dyDescent="0.2">
      <c r="A376" t="s">
        <v>1809</v>
      </c>
      <c r="B376">
        <v>163</v>
      </c>
    </row>
    <row r="377" spans="1:4" x14ac:dyDescent="0.2">
      <c r="A377" t="s">
        <v>660</v>
      </c>
      <c r="B377" t="s">
        <v>1808</v>
      </c>
      <c r="C377" t="s">
        <v>1807</v>
      </c>
      <c r="D377" t="s">
        <v>1806</v>
      </c>
    </row>
  </sheetData>
  <sheetProtection selectLockedCells="1" selectUnlockedCells="1"/>
  <phoneticPr fontId="6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indexed="46"/>
  </sheetPr>
  <dimension ref="A1:J78"/>
  <sheetViews>
    <sheetView topLeftCell="A46" workbookViewId="0">
      <selection activeCell="M34" sqref="M34"/>
    </sheetView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</v>
      </c>
      <c r="B1" s="4">
        <f>Data!B1</f>
        <v>99</v>
      </c>
      <c r="C1" s="4">
        <f>FLOOR(B1/2,1)</f>
        <v>49</v>
      </c>
    </row>
    <row r="2" spans="1:9" x14ac:dyDescent="0.2">
      <c r="B2" s="28" t="s">
        <v>297</v>
      </c>
      <c r="C2" s="28" t="s">
        <v>26</v>
      </c>
      <c r="D2" s="28" t="s">
        <v>27</v>
      </c>
      <c r="E2" s="28" t="s">
        <v>23</v>
      </c>
      <c r="F2" s="28" t="s">
        <v>25</v>
      </c>
      <c r="G2" s="28" t="s">
        <v>298</v>
      </c>
      <c r="H2" s="28" t="s">
        <v>299</v>
      </c>
      <c r="I2" s="28" t="s">
        <v>300</v>
      </c>
    </row>
    <row r="3" spans="1:9" x14ac:dyDescent="0.2">
      <c r="A3" t="s">
        <v>301</v>
      </c>
      <c r="B3" s="4">
        <f>B55+B65+B75+B78</f>
        <v>1568</v>
      </c>
      <c r="C3" s="4">
        <f t="shared" ref="C3:I3" si="0">FLOOR(C55+C65+C75+C78,1)</f>
        <v>91</v>
      </c>
      <c r="D3" s="4">
        <f t="shared" si="0"/>
        <v>86</v>
      </c>
      <c r="E3" s="4">
        <f t="shared" si="0"/>
        <v>89</v>
      </c>
      <c r="F3" s="4">
        <f t="shared" si="0"/>
        <v>84</v>
      </c>
      <c r="G3" s="4">
        <f t="shared" si="0"/>
        <v>77</v>
      </c>
      <c r="H3" s="4">
        <f t="shared" si="0"/>
        <v>80</v>
      </c>
      <c r="I3" s="4">
        <f t="shared" si="0"/>
        <v>87</v>
      </c>
    </row>
    <row r="6" spans="1:9" x14ac:dyDescent="0.2">
      <c r="A6" s="1" t="s">
        <v>302</v>
      </c>
    </row>
    <row r="8" spans="1:9" x14ac:dyDescent="0.2">
      <c r="A8" s="1" t="s">
        <v>303</v>
      </c>
      <c r="B8" s="28" t="s">
        <v>297</v>
      </c>
      <c r="C8" s="28" t="s">
        <v>26</v>
      </c>
      <c r="D8" s="28" t="s">
        <v>27</v>
      </c>
      <c r="E8" s="28" t="s">
        <v>23</v>
      </c>
      <c r="F8" s="28" t="s">
        <v>25</v>
      </c>
      <c r="G8" s="28" t="s">
        <v>298</v>
      </c>
      <c r="H8" s="28" t="s">
        <v>299</v>
      </c>
      <c r="I8" s="28" t="s">
        <v>300</v>
      </c>
    </row>
    <row r="9" spans="1:9" x14ac:dyDescent="0.2">
      <c r="A9" t="s">
        <v>7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</row>
    <row r="10" spans="1:9" x14ac:dyDescent="0.2">
      <c r="A10" t="s">
        <v>291</v>
      </c>
      <c r="B10" t="s">
        <v>304</v>
      </c>
      <c r="C10" t="s">
        <v>305</v>
      </c>
      <c r="D10" t="s">
        <v>306</v>
      </c>
      <c r="E10" t="s">
        <v>304</v>
      </c>
      <c r="F10" t="s">
        <v>307</v>
      </c>
      <c r="G10" t="s">
        <v>307</v>
      </c>
      <c r="H10" t="s">
        <v>305</v>
      </c>
      <c r="I10" t="s">
        <v>208</v>
      </c>
    </row>
    <row r="11" spans="1:9" x14ac:dyDescent="0.2">
      <c r="A11" t="s">
        <v>292</v>
      </c>
      <c r="B11" t="s">
        <v>308</v>
      </c>
      <c r="C11" t="s">
        <v>307</v>
      </c>
      <c r="D11" t="s">
        <v>208</v>
      </c>
      <c r="E11" t="s">
        <v>306</v>
      </c>
      <c r="F11" t="s">
        <v>304</v>
      </c>
      <c r="G11" t="s">
        <v>309</v>
      </c>
      <c r="H11" t="s">
        <v>306</v>
      </c>
      <c r="I11" t="s">
        <v>208</v>
      </c>
    </row>
    <row r="12" spans="1:9" x14ac:dyDescent="0.2">
      <c r="A12" t="s">
        <v>289</v>
      </c>
      <c r="B12" t="s">
        <v>208</v>
      </c>
      <c r="C12" t="s">
        <v>306</v>
      </c>
      <c r="D12" t="s">
        <v>309</v>
      </c>
      <c r="E12" t="s">
        <v>306</v>
      </c>
      <c r="F12" t="s">
        <v>305</v>
      </c>
      <c r="G12" t="s">
        <v>208</v>
      </c>
      <c r="H12" t="s">
        <v>306</v>
      </c>
      <c r="I12" t="s">
        <v>307</v>
      </c>
    </row>
    <row r="13" spans="1:9" x14ac:dyDescent="0.2">
      <c r="A13" t="s">
        <v>290</v>
      </c>
      <c r="B13" t="s">
        <v>309</v>
      </c>
      <c r="C13" t="s">
        <v>304</v>
      </c>
      <c r="D13" t="s">
        <v>208</v>
      </c>
      <c r="E13" t="s">
        <v>309</v>
      </c>
      <c r="F13" t="s">
        <v>306</v>
      </c>
      <c r="G13" t="s">
        <v>306</v>
      </c>
      <c r="H13" t="s">
        <v>208</v>
      </c>
      <c r="I13" t="s">
        <v>307</v>
      </c>
    </row>
    <row r="14" spans="1:9" x14ac:dyDescent="0.2">
      <c r="A14" t="s">
        <v>310</v>
      </c>
      <c r="B14" t="s">
        <v>208</v>
      </c>
      <c r="C14" t="s">
        <v>208</v>
      </c>
      <c r="D14" t="s">
        <v>208</v>
      </c>
      <c r="E14" t="s">
        <v>208</v>
      </c>
      <c r="F14" t="s">
        <v>307</v>
      </c>
      <c r="G14" t="s">
        <v>208</v>
      </c>
      <c r="H14" t="s">
        <v>208</v>
      </c>
      <c r="I14" t="s">
        <v>305</v>
      </c>
    </row>
    <row r="15" spans="1:9" x14ac:dyDescent="0.2">
      <c r="A15" t="s">
        <v>311</v>
      </c>
      <c r="B15" t="s">
        <v>304</v>
      </c>
      <c r="C15" t="s">
        <v>208</v>
      </c>
      <c r="D15" t="s">
        <v>304</v>
      </c>
      <c r="E15" t="s">
        <v>208</v>
      </c>
      <c r="F15" t="s">
        <v>307</v>
      </c>
      <c r="G15" t="s">
        <v>306</v>
      </c>
      <c r="H15" t="s">
        <v>306</v>
      </c>
      <c r="I15" t="s">
        <v>309</v>
      </c>
    </row>
    <row r="16" spans="1:9" x14ac:dyDescent="0.2">
      <c r="A16" t="s">
        <v>312</v>
      </c>
      <c r="B16" t="s">
        <v>307</v>
      </c>
      <c r="C16" t="s">
        <v>307</v>
      </c>
      <c r="D16" t="s">
        <v>304</v>
      </c>
      <c r="E16" t="s">
        <v>307</v>
      </c>
      <c r="F16" t="s">
        <v>304</v>
      </c>
      <c r="G16" t="s">
        <v>309</v>
      </c>
      <c r="H16" t="s">
        <v>306</v>
      </c>
      <c r="I16" t="s">
        <v>208</v>
      </c>
    </row>
    <row r="17" spans="1:9" x14ac:dyDescent="0.2">
      <c r="A17" t="s">
        <v>313</v>
      </c>
      <c r="B17" t="s">
        <v>208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</row>
    <row r="18" spans="1:9" x14ac:dyDescent="0.2">
      <c r="A18" t="s">
        <v>314</v>
      </c>
      <c r="B18" t="s">
        <v>208</v>
      </c>
      <c r="C18" t="s">
        <v>306</v>
      </c>
      <c r="D18" t="s">
        <v>304</v>
      </c>
      <c r="E18" t="s">
        <v>306</v>
      </c>
      <c r="F18" t="s">
        <v>305</v>
      </c>
      <c r="G18" t="s">
        <v>304</v>
      </c>
      <c r="H18" t="s">
        <v>306</v>
      </c>
      <c r="I18" t="s">
        <v>306</v>
      </c>
    </row>
    <row r="19" spans="1:9" x14ac:dyDescent="0.2">
      <c r="A19" t="s">
        <v>315</v>
      </c>
      <c r="B19" t="s">
        <v>208</v>
      </c>
      <c r="C19" t="s">
        <v>208</v>
      </c>
      <c r="D19" t="s">
        <v>304</v>
      </c>
      <c r="E19" t="s">
        <v>306</v>
      </c>
      <c r="F19" t="s">
        <v>305</v>
      </c>
      <c r="G19" t="s">
        <v>307</v>
      </c>
      <c r="H19" t="s">
        <v>307</v>
      </c>
      <c r="I19" t="s">
        <v>305</v>
      </c>
    </row>
    <row r="20" spans="1:9" x14ac:dyDescent="0.2">
      <c r="A20" t="s">
        <v>316</v>
      </c>
      <c r="B20" t="s">
        <v>304</v>
      </c>
      <c r="C20" t="s">
        <v>309</v>
      </c>
      <c r="D20" t="s">
        <v>304</v>
      </c>
      <c r="E20" t="s">
        <v>304</v>
      </c>
      <c r="F20" t="s">
        <v>208</v>
      </c>
      <c r="G20" t="s">
        <v>304</v>
      </c>
      <c r="H20" t="s">
        <v>308</v>
      </c>
      <c r="I20" t="s">
        <v>308</v>
      </c>
    </row>
    <row r="21" spans="1:9" x14ac:dyDescent="0.2">
      <c r="A21" t="s">
        <v>317</v>
      </c>
      <c r="B21" t="s">
        <v>305</v>
      </c>
      <c r="C21" t="s">
        <v>305</v>
      </c>
      <c r="D21" t="s">
        <v>208</v>
      </c>
      <c r="E21" t="s">
        <v>304</v>
      </c>
      <c r="F21" t="s">
        <v>208</v>
      </c>
      <c r="G21" t="s">
        <v>307</v>
      </c>
      <c r="H21" t="s">
        <v>306</v>
      </c>
      <c r="I21" t="s">
        <v>304</v>
      </c>
    </row>
    <row r="22" spans="1:9" x14ac:dyDescent="0.2">
      <c r="A22" t="s">
        <v>1657</v>
      </c>
      <c r="B22" t="s">
        <v>208</v>
      </c>
      <c r="C22" t="s">
        <v>307</v>
      </c>
      <c r="D22" t="s">
        <v>208</v>
      </c>
      <c r="E22" t="s">
        <v>208</v>
      </c>
      <c r="F22" t="s">
        <v>306</v>
      </c>
      <c r="G22" t="s">
        <v>305</v>
      </c>
      <c r="H22" t="s">
        <v>305</v>
      </c>
      <c r="I22" t="s">
        <v>306</v>
      </c>
    </row>
    <row r="23" spans="1:9" x14ac:dyDescent="0.2">
      <c r="A23" t="s">
        <v>318</v>
      </c>
      <c r="B23" t="s">
        <v>309</v>
      </c>
      <c r="C23" t="s">
        <v>304</v>
      </c>
      <c r="D23" t="s">
        <v>305</v>
      </c>
      <c r="E23" t="s">
        <v>309</v>
      </c>
      <c r="F23" t="s">
        <v>307</v>
      </c>
      <c r="G23" t="s">
        <v>308</v>
      </c>
      <c r="H23" t="s">
        <v>208</v>
      </c>
      <c r="I23" t="s">
        <v>306</v>
      </c>
    </row>
    <row r="24" spans="1:9" x14ac:dyDescent="0.2">
      <c r="A24" t="s">
        <v>319</v>
      </c>
      <c r="B24" t="s">
        <v>208</v>
      </c>
      <c r="C24" t="s">
        <v>304</v>
      </c>
      <c r="D24" t="s">
        <v>305</v>
      </c>
      <c r="E24" t="s">
        <v>304</v>
      </c>
      <c r="F24" t="s">
        <v>305</v>
      </c>
      <c r="G24" t="s">
        <v>208</v>
      </c>
      <c r="H24" t="s">
        <v>308</v>
      </c>
      <c r="I24" t="s">
        <v>307</v>
      </c>
    </row>
    <row r="25" spans="1:9" x14ac:dyDescent="0.2">
      <c r="A25" t="s">
        <v>320</v>
      </c>
      <c r="B25" t="s">
        <v>304</v>
      </c>
      <c r="C25" t="s">
        <v>305</v>
      </c>
      <c r="D25" t="s">
        <v>306</v>
      </c>
      <c r="E25" t="s">
        <v>309</v>
      </c>
      <c r="F25" t="s">
        <v>308</v>
      </c>
      <c r="G25" t="s">
        <v>308</v>
      </c>
      <c r="H25" t="s">
        <v>304</v>
      </c>
      <c r="I25" t="s">
        <v>304</v>
      </c>
    </row>
    <row r="26" spans="1:9" x14ac:dyDescent="0.2">
      <c r="A26" t="s">
        <v>321</v>
      </c>
      <c r="B26" t="s">
        <v>208</v>
      </c>
      <c r="C26" t="s">
        <v>306</v>
      </c>
      <c r="D26" t="s">
        <v>305</v>
      </c>
      <c r="E26" t="s">
        <v>208</v>
      </c>
      <c r="F26" t="s">
        <v>304</v>
      </c>
      <c r="G26" t="s">
        <v>306</v>
      </c>
      <c r="H26" t="s">
        <v>307</v>
      </c>
      <c r="I26" t="s">
        <v>304</v>
      </c>
    </row>
    <row r="27" spans="1:9" x14ac:dyDescent="0.2">
      <c r="A27" t="s">
        <v>322</v>
      </c>
      <c r="B27" t="s">
        <v>306</v>
      </c>
      <c r="C27" t="s">
        <v>306</v>
      </c>
      <c r="D27" t="s">
        <v>208</v>
      </c>
      <c r="E27" t="s">
        <v>208</v>
      </c>
      <c r="F27" t="s">
        <v>309</v>
      </c>
      <c r="G27" t="s">
        <v>306</v>
      </c>
      <c r="H27" t="s">
        <v>208</v>
      </c>
      <c r="I27" t="s">
        <v>306</v>
      </c>
    </row>
    <row r="28" spans="1:9" x14ac:dyDescent="0.2">
      <c r="A28" t="s">
        <v>323</v>
      </c>
      <c r="B28" t="s">
        <v>208</v>
      </c>
      <c r="C28" t="s">
        <v>208</v>
      </c>
      <c r="D28" t="s">
        <v>208</v>
      </c>
      <c r="E28" t="s">
        <v>306</v>
      </c>
      <c r="F28" t="s">
        <v>306</v>
      </c>
      <c r="G28" t="s">
        <v>304</v>
      </c>
      <c r="H28" t="s">
        <v>304</v>
      </c>
      <c r="I28" t="s">
        <v>208</v>
      </c>
    </row>
    <row r="29" spans="1:9" x14ac:dyDescent="0.2">
      <c r="A29" t="s">
        <v>1658</v>
      </c>
      <c r="B29" t="s">
        <v>305</v>
      </c>
      <c r="C29" t="s">
        <v>304</v>
      </c>
      <c r="D29" t="s">
        <v>208</v>
      </c>
      <c r="E29" t="s">
        <v>306</v>
      </c>
      <c r="F29" t="s">
        <v>305</v>
      </c>
      <c r="G29" t="s">
        <v>208</v>
      </c>
      <c r="H29" t="s">
        <v>208</v>
      </c>
      <c r="I29" t="s">
        <v>307</v>
      </c>
    </row>
    <row r="30" spans="1:9" x14ac:dyDescent="0.2">
      <c r="A30" t="s">
        <v>324</v>
      </c>
      <c r="B30" t="s">
        <v>305</v>
      </c>
      <c r="C30" t="s">
        <v>304</v>
      </c>
      <c r="D30" t="s">
        <v>304</v>
      </c>
      <c r="E30" t="s">
        <v>304</v>
      </c>
      <c r="F30" t="s">
        <v>208</v>
      </c>
      <c r="G30" t="s">
        <v>306</v>
      </c>
      <c r="H30" t="s">
        <v>306</v>
      </c>
      <c r="I30" t="s">
        <v>208</v>
      </c>
    </row>
    <row r="31" spans="1:9" x14ac:dyDescent="0.2">
      <c r="A31" t="s">
        <v>325</v>
      </c>
      <c r="B31" t="s">
        <v>306</v>
      </c>
      <c r="C31" t="s">
        <v>307</v>
      </c>
      <c r="D31" t="s">
        <v>208</v>
      </c>
      <c r="E31" t="s">
        <v>306</v>
      </c>
      <c r="F31" t="s">
        <v>208</v>
      </c>
      <c r="G31" t="s">
        <v>305</v>
      </c>
      <c r="H31" t="s">
        <v>208</v>
      </c>
      <c r="I31" t="s">
        <v>304</v>
      </c>
    </row>
    <row r="32" spans="1:9" x14ac:dyDescent="0.2">
      <c r="A32" t="s">
        <v>326</v>
      </c>
      <c r="B32" t="s">
        <v>308</v>
      </c>
      <c r="C32" t="s">
        <v>307</v>
      </c>
      <c r="D32" t="s">
        <v>306</v>
      </c>
      <c r="E32" t="s">
        <v>307</v>
      </c>
      <c r="F32" t="s">
        <v>208</v>
      </c>
      <c r="G32" t="s">
        <v>305</v>
      </c>
      <c r="H32" t="s">
        <v>305</v>
      </c>
      <c r="I32" t="s">
        <v>305</v>
      </c>
    </row>
    <row r="33" spans="1:10" x14ac:dyDescent="0.2">
      <c r="A33" t="s">
        <v>327</v>
      </c>
      <c r="B33" t="s">
        <v>208</v>
      </c>
      <c r="C33" t="s">
        <v>208</v>
      </c>
      <c r="D33" t="s">
        <v>309</v>
      </c>
      <c r="E33" t="s">
        <v>208</v>
      </c>
      <c r="F33" t="s">
        <v>305</v>
      </c>
      <c r="G33" t="s">
        <v>304</v>
      </c>
      <c r="H33" t="s">
        <v>308</v>
      </c>
      <c r="I33" t="s">
        <v>308</v>
      </c>
    </row>
    <row r="34" spans="1:10" x14ac:dyDescent="0.2">
      <c r="A34" t="s">
        <v>328</v>
      </c>
      <c r="B34" t="s">
        <v>305</v>
      </c>
      <c r="C34" t="s">
        <v>309</v>
      </c>
      <c r="D34" t="s">
        <v>304</v>
      </c>
      <c r="E34" t="s">
        <v>208</v>
      </c>
      <c r="F34" t="s">
        <v>304</v>
      </c>
      <c r="G34" t="s">
        <v>307</v>
      </c>
      <c r="H34" t="s">
        <v>307</v>
      </c>
      <c r="I34" t="s">
        <v>306</v>
      </c>
    </row>
    <row r="35" spans="1:10" x14ac:dyDescent="0.2">
      <c r="A35" t="s">
        <v>329</v>
      </c>
      <c r="B35" t="s">
        <v>306</v>
      </c>
      <c r="C35" t="s">
        <v>208</v>
      </c>
      <c r="D35" t="s">
        <v>307</v>
      </c>
      <c r="E35" t="s">
        <v>208</v>
      </c>
      <c r="F35" t="s">
        <v>306</v>
      </c>
      <c r="G35" t="s">
        <v>306</v>
      </c>
      <c r="H35" t="s">
        <v>309</v>
      </c>
      <c r="I35" t="s">
        <v>304</v>
      </c>
    </row>
    <row r="38" spans="1:10" x14ac:dyDescent="0.2">
      <c r="A38" s="1" t="s">
        <v>330</v>
      </c>
      <c r="B38" t="s">
        <v>331</v>
      </c>
      <c r="C38" t="s">
        <v>332</v>
      </c>
      <c r="D38" t="s">
        <v>333</v>
      </c>
      <c r="E38" t="s">
        <v>334</v>
      </c>
      <c r="F38" t="s">
        <v>335</v>
      </c>
      <c r="G38" t="s">
        <v>336</v>
      </c>
      <c r="H38" t="s">
        <v>337</v>
      </c>
      <c r="I38" t="s">
        <v>338</v>
      </c>
      <c r="J38" t="s">
        <v>339</v>
      </c>
    </row>
    <row r="39" spans="1:10" x14ac:dyDescent="0.2">
      <c r="A39" t="s">
        <v>309</v>
      </c>
      <c r="B39">
        <v>19</v>
      </c>
      <c r="C39">
        <v>9</v>
      </c>
      <c r="D39">
        <v>1</v>
      </c>
      <c r="E39">
        <v>3</v>
      </c>
      <c r="F39">
        <v>3</v>
      </c>
      <c r="G39">
        <v>5</v>
      </c>
      <c r="H39" s="13">
        <v>0.5</v>
      </c>
      <c r="I39" s="13">
        <f>110/1024</f>
        <v>0.107421875</v>
      </c>
      <c r="J39" s="13">
        <f t="shared" ref="J39:J45" si="1">400/1024</f>
        <v>0.390625</v>
      </c>
    </row>
    <row r="40" spans="1:10" x14ac:dyDescent="0.2">
      <c r="A40" t="s">
        <v>305</v>
      </c>
      <c r="B40">
        <v>17</v>
      </c>
      <c r="C40">
        <v>8</v>
      </c>
      <c r="D40">
        <v>1</v>
      </c>
      <c r="E40">
        <v>3</v>
      </c>
      <c r="F40">
        <v>3</v>
      </c>
      <c r="G40">
        <v>4</v>
      </c>
      <c r="H40" s="13">
        <v>0.45</v>
      </c>
      <c r="I40" s="13">
        <f>210/1024</f>
        <v>0.205078125</v>
      </c>
      <c r="J40" s="13">
        <f t="shared" si="1"/>
        <v>0.390625</v>
      </c>
    </row>
    <row r="41" spans="1:10" x14ac:dyDescent="0.2">
      <c r="A41" t="s">
        <v>304</v>
      </c>
      <c r="B41">
        <v>16</v>
      </c>
      <c r="C41">
        <v>7</v>
      </c>
      <c r="D41">
        <v>1</v>
      </c>
      <c r="E41">
        <v>3</v>
      </c>
      <c r="F41">
        <v>3</v>
      </c>
      <c r="G41">
        <v>4</v>
      </c>
      <c r="H41" s="13">
        <v>0.4</v>
      </c>
      <c r="I41" s="13">
        <f>300/1024</f>
        <v>0.29296875</v>
      </c>
      <c r="J41" s="13">
        <f t="shared" si="1"/>
        <v>0.390625</v>
      </c>
    </row>
    <row r="42" spans="1:10" x14ac:dyDescent="0.2">
      <c r="A42" t="s">
        <v>208</v>
      </c>
      <c r="B42">
        <v>14</v>
      </c>
      <c r="C42">
        <v>6</v>
      </c>
      <c r="D42">
        <v>0</v>
      </c>
      <c r="E42">
        <v>3</v>
      </c>
      <c r="F42">
        <v>3</v>
      </c>
      <c r="G42">
        <v>3</v>
      </c>
      <c r="H42" s="13">
        <v>0.35</v>
      </c>
      <c r="I42" s="13">
        <f>350/1024</f>
        <v>0.341796875</v>
      </c>
      <c r="J42" s="13">
        <f t="shared" si="1"/>
        <v>0.390625</v>
      </c>
    </row>
    <row r="43" spans="1:10" x14ac:dyDescent="0.2">
      <c r="A43" t="s">
        <v>306</v>
      </c>
      <c r="B43">
        <v>13</v>
      </c>
      <c r="C43">
        <v>5</v>
      </c>
      <c r="D43">
        <v>0</v>
      </c>
      <c r="E43">
        <v>2</v>
      </c>
      <c r="F43">
        <v>2</v>
      </c>
      <c r="G43">
        <v>3</v>
      </c>
      <c r="H43" s="13">
        <v>0.3</v>
      </c>
      <c r="I43" s="13">
        <f>350/1024</f>
        <v>0.341796875</v>
      </c>
      <c r="J43" s="13">
        <f t="shared" si="1"/>
        <v>0.390625</v>
      </c>
    </row>
    <row r="44" spans="1:10" x14ac:dyDescent="0.2">
      <c r="A44" t="s">
        <v>307</v>
      </c>
      <c r="B44">
        <v>11</v>
      </c>
      <c r="C44">
        <v>4</v>
      </c>
      <c r="D44">
        <v>0</v>
      </c>
      <c r="E44">
        <v>2</v>
      </c>
      <c r="F44">
        <v>2</v>
      </c>
      <c r="G44">
        <v>2</v>
      </c>
      <c r="H44" s="13">
        <v>0.25</v>
      </c>
      <c r="I44" s="13">
        <f>400/1024</f>
        <v>0.390625</v>
      </c>
      <c r="J44" s="13">
        <f t="shared" si="1"/>
        <v>0.390625</v>
      </c>
    </row>
    <row r="45" spans="1:10" x14ac:dyDescent="0.2">
      <c r="A45" t="s">
        <v>308</v>
      </c>
      <c r="B45">
        <v>10</v>
      </c>
      <c r="C45">
        <v>3</v>
      </c>
      <c r="D45">
        <v>0</v>
      </c>
      <c r="E45">
        <v>2</v>
      </c>
      <c r="F45">
        <v>2</v>
      </c>
      <c r="G45">
        <v>2</v>
      </c>
      <c r="H45" s="13">
        <v>0.2</v>
      </c>
      <c r="I45" s="13">
        <f>430/1024</f>
        <v>0.419921875</v>
      </c>
      <c r="J45" s="13">
        <f t="shared" si="1"/>
        <v>0.390625</v>
      </c>
    </row>
    <row r="48" spans="1:10" x14ac:dyDescent="0.2">
      <c r="A48" s="1" t="s">
        <v>126</v>
      </c>
      <c r="B48" s="28" t="s">
        <v>297</v>
      </c>
      <c r="C48" s="28" t="s">
        <v>26</v>
      </c>
      <c r="D48" s="28" t="s">
        <v>27</v>
      </c>
      <c r="E48" s="28" t="s">
        <v>23</v>
      </c>
      <c r="F48" s="28" t="s">
        <v>25</v>
      </c>
      <c r="G48" s="28" t="s">
        <v>298</v>
      </c>
      <c r="H48" s="28" t="s">
        <v>299</v>
      </c>
      <c r="I48" s="28" t="s">
        <v>300</v>
      </c>
    </row>
    <row r="49" spans="1:10" x14ac:dyDescent="0.2">
      <c r="A49" t="str">
        <f>Data!C1</f>
        <v>Drg</v>
      </c>
      <c r="B49" s="4" t="str">
        <f t="shared" ref="B49:I49" si="2">VLOOKUP($A49,Grades,MATCH(B$48,Stats,0),0)</f>
        <v>B</v>
      </c>
      <c r="C49" t="str">
        <f t="shared" si="2"/>
        <v>B</v>
      </c>
      <c r="D49" t="str">
        <f t="shared" si="2"/>
        <v>D</v>
      </c>
      <c r="E49" t="str">
        <f t="shared" si="2"/>
        <v>C</v>
      </c>
      <c r="F49" s="4" t="str">
        <f t="shared" si="2"/>
        <v>D</v>
      </c>
      <c r="G49" s="4" t="str">
        <f t="shared" si="2"/>
        <v>F</v>
      </c>
      <c r="H49" s="4" t="str">
        <f t="shared" si="2"/>
        <v>E</v>
      </c>
      <c r="I49" s="4" t="str">
        <f t="shared" si="2"/>
        <v>C</v>
      </c>
    </row>
    <row r="50" spans="1:10" x14ac:dyDescent="0.2">
      <c r="A50" t="s">
        <v>331</v>
      </c>
      <c r="B50" s="4">
        <f>VLOOKUP(B$49,GradeRates,MATCH($A50,RateTiers,0),0)</f>
        <v>17</v>
      </c>
      <c r="C50" s="13">
        <f t="shared" ref="C50:I53" si="3">VLOOKUP(C$49,GradeRates,MATCH($J50,RateTiers,0),0)</f>
        <v>4</v>
      </c>
      <c r="D50" s="13">
        <f t="shared" si="3"/>
        <v>3</v>
      </c>
      <c r="E50" s="13">
        <f t="shared" si="3"/>
        <v>4</v>
      </c>
      <c r="F50" s="13">
        <f t="shared" si="3"/>
        <v>3</v>
      </c>
      <c r="G50" s="13">
        <f t="shared" si="3"/>
        <v>2</v>
      </c>
      <c r="H50" s="13">
        <f t="shared" si="3"/>
        <v>3</v>
      </c>
      <c r="I50" s="13">
        <f t="shared" si="3"/>
        <v>4</v>
      </c>
      <c r="J50" t="s">
        <v>336</v>
      </c>
    </row>
    <row r="51" spans="1:10" x14ac:dyDescent="0.2">
      <c r="A51" t="s">
        <v>332</v>
      </c>
      <c r="B51" s="4">
        <f>VLOOKUP(B$49,GradeRates,MATCH($A51,RateTiers,0),0)</f>
        <v>8</v>
      </c>
      <c r="C51" s="13">
        <f t="shared" si="3"/>
        <v>0.45</v>
      </c>
      <c r="D51" s="13">
        <f t="shared" si="3"/>
        <v>0.35</v>
      </c>
      <c r="E51" s="13">
        <f t="shared" si="3"/>
        <v>0.4</v>
      </c>
      <c r="F51" s="13">
        <f t="shared" si="3"/>
        <v>0.35</v>
      </c>
      <c r="G51" s="13">
        <f t="shared" si="3"/>
        <v>0.25</v>
      </c>
      <c r="H51" s="13">
        <f t="shared" si="3"/>
        <v>0.3</v>
      </c>
      <c r="I51" s="13">
        <f t="shared" si="3"/>
        <v>0.4</v>
      </c>
      <c r="J51" t="s">
        <v>337</v>
      </c>
    </row>
    <row r="52" spans="1:10" x14ac:dyDescent="0.2">
      <c r="A52" t="s">
        <v>333</v>
      </c>
      <c r="B52" s="4">
        <f>VLOOKUP(B$49,GradeRates,MATCH($A52,RateTiers,0),0)</f>
        <v>1</v>
      </c>
      <c r="C52" s="13">
        <f t="shared" si="3"/>
        <v>0.205078125</v>
      </c>
      <c r="D52" s="13">
        <f t="shared" si="3"/>
        <v>0.341796875</v>
      </c>
      <c r="E52" s="13">
        <f t="shared" si="3"/>
        <v>0.29296875</v>
      </c>
      <c r="F52" s="13">
        <f t="shared" si="3"/>
        <v>0.341796875</v>
      </c>
      <c r="G52" s="13">
        <f t="shared" si="3"/>
        <v>0.390625</v>
      </c>
      <c r="H52" s="13">
        <f t="shared" si="3"/>
        <v>0.341796875</v>
      </c>
      <c r="I52" s="13">
        <f t="shared" si="3"/>
        <v>0.29296875</v>
      </c>
      <c r="J52" t="s">
        <v>338</v>
      </c>
    </row>
    <row r="53" spans="1:10" x14ac:dyDescent="0.2">
      <c r="A53" t="s">
        <v>334</v>
      </c>
      <c r="B53" s="4">
        <f>VLOOKUP(B$49,GradeRates,MATCH($A53,RateTiers,0),0)</f>
        <v>3</v>
      </c>
      <c r="C53" s="13">
        <f t="shared" si="3"/>
        <v>0.390625</v>
      </c>
      <c r="D53" s="13">
        <f t="shared" si="3"/>
        <v>0.390625</v>
      </c>
      <c r="E53" s="13">
        <f t="shared" si="3"/>
        <v>0.390625</v>
      </c>
      <c r="F53" s="13">
        <f t="shared" si="3"/>
        <v>0.390625</v>
      </c>
      <c r="G53" s="13">
        <f t="shared" si="3"/>
        <v>0.390625</v>
      </c>
      <c r="H53" s="13">
        <f t="shared" si="3"/>
        <v>0.390625</v>
      </c>
      <c r="I53" s="13">
        <f t="shared" si="3"/>
        <v>0.390625</v>
      </c>
      <c r="J53" t="s">
        <v>339</v>
      </c>
    </row>
    <row r="54" spans="1:10" x14ac:dyDescent="0.2">
      <c r="A54" t="s">
        <v>335</v>
      </c>
      <c r="B54" s="4">
        <f>VLOOKUP(B$49,GradeRates,MATCH($A54,RateTiers,0),0)</f>
        <v>3</v>
      </c>
    </row>
    <row r="55" spans="1:10" x14ac:dyDescent="0.2">
      <c r="A55" t="s">
        <v>99</v>
      </c>
      <c r="B55" s="4">
        <f>B50+MIN(59,$B$1-1)*B51+MAX(0,$B$1-30)*B52+MIN(15,MAX(0,$B$1-60))*B53+MAX(0,$B$1-75)*B54</f>
        <v>675</v>
      </c>
      <c r="C55" s="4">
        <f t="shared" ref="C55:I55" si="4">C50+FLOOR(MIN(59,$B$1-1)*C51,0.5)+FLOOR(MIN(15,MAX(0,$B$1-60))*C52,0.5)+FLOOR(MAX(0,$B$1-75)*C53,0.5)</f>
        <v>42.5</v>
      </c>
      <c r="D55" s="4">
        <f t="shared" si="4"/>
        <v>37.5</v>
      </c>
      <c r="E55" s="4">
        <f t="shared" si="4"/>
        <v>40.5</v>
      </c>
      <c r="F55" s="4">
        <f t="shared" si="4"/>
        <v>37.5</v>
      </c>
      <c r="G55" s="4">
        <f t="shared" si="4"/>
        <v>31</v>
      </c>
      <c r="H55" s="4">
        <f t="shared" si="4"/>
        <v>34.5</v>
      </c>
      <c r="I55" s="4">
        <f t="shared" si="4"/>
        <v>40.5</v>
      </c>
    </row>
    <row r="58" spans="1:10" x14ac:dyDescent="0.2">
      <c r="A58" s="1" t="s">
        <v>11</v>
      </c>
      <c r="B58" s="28" t="s">
        <v>297</v>
      </c>
      <c r="C58" s="28" t="s">
        <v>26</v>
      </c>
      <c r="D58" s="28" t="s">
        <v>27</v>
      </c>
      <c r="E58" s="28" t="s">
        <v>23</v>
      </c>
      <c r="F58" s="28" t="s">
        <v>25</v>
      </c>
      <c r="G58" s="28" t="s">
        <v>298</v>
      </c>
      <c r="H58" s="28" t="s">
        <v>299</v>
      </c>
      <c r="I58" s="28" t="s">
        <v>300</v>
      </c>
    </row>
    <row r="59" spans="1:10" x14ac:dyDescent="0.2">
      <c r="A59" t="str">
        <f>Data!D1</f>
        <v>Sam</v>
      </c>
      <c r="B59" s="4" t="str">
        <f t="shared" ref="B59:I59" si="5">VLOOKUP($A59,Grades,MATCH(B$58,Stats,0),0)</f>
        <v>B</v>
      </c>
      <c r="C59" t="str">
        <f t="shared" si="5"/>
        <v>C</v>
      </c>
      <c r="D59" t="str">
        <f t="shared" si="5"/>
        <v>C</v>
      </c>
      <c r="E59" t="str">
        <f t="shared" si="5"/>
        <v>C</v>
      </c>
      <c r="F59" s="4" t="str">
        <f t="shared" si="5"/>
        <v>D</v>
      </c>
      <c r="G59" s="4" t="str">
        <f t="shared" si="5"/>
        <v>E</v>
      </c>
      <c r="H59" s="4" t="str">
        <f t="shared" si="5"/>
        <v>E</v>
      </c>
      <c r="I59" s="4" t="str">
        <f t="shared" si="5"/>
        <v>D</v>
      </c>
    </row>
    <row r="60" spans="1:10" x14ac:dyDescent="0.2">
      <c r="A60" t="s">
        <v>331</v>
      </c>
      <c r="B60" s="4">
        <f>VLOOKUP(B$59,GradeRates,MATCH($A60,RateTiers,0),0)</f>
        <v>17</v>
      </c>
      <c r="C60" s="13">
        <f t="shared" ref="C60:I63" si="6">VLOOKUP(C$59,GradeRates,MATCH($J60,RateTiers,0),0)</f>
        <v>4</v>
      </c>
      <c r="D60" s="13">
        <f t="shared" si="6"/>
        <v>4</v>
      </c>
      <c r="E60" s="13">
        <f t="shared" si="6"/>
        <v>4</v>
      </c>
      <c r="F60" s="13">
        <f t="shared" si="6"/>
        <v>3</v>
      </c>
      <c r="G60" s="13">
        <f t="shared" si="6"/>
        <v>3</v>
      </c>
      <c r="H60" s="13">
        <f t="shared" si="6"/>
        <v>3</v>
      </c>
      <c r="I60" s="13">
        <f t="shared" si="6"/>
        <v>3</v>
      </c>
      <c r="J60" t="s">
        <v>336</v>
      </c>
    </row>
    <row r="61" spans="1:10" x14ac:dyDescent="0.2">
      <c r="A61" t="s">
        <v>332</v>
      </c>
      <c r="B61" s="4">
        <f>VLOOKUP(B$59,GradeRates,MATCH($A61,RateTiers,0),0)</f>
        <v>8</v>
      </c>
      <c r="C61" s="13">
        <f t="shared" si="6"/>
        <v>0.4</v>
      </c>
      <c r="D61" s="13">
        <f t="shared" si="6"/>
        <v>0.4</v>
      </c>
      <c r="E61" s="13">
        <f t="shared" si="6"/>
        <v>0.4</v>
      </c>
      <c r="F61" s="13">
        <f t="shared" si="6"/>
        <v>0.35</v>
      </c>
      <c r="G61" s="13">
        <f t="shared" si="6"/>
        <v>0.3</v>
      </c>
      <c r="H61" s="13">
        <f t="shared" si="6"/>
        <v>0.3</v>
      </c>
      <c r="I61" s="13">
        <f t="shared" si="6"/>
        <v>0.35</v>
      </c>
      <c r="J61" t="s">
        <v>337</v>
      </c>
    </row>
    <row r="62" spans="1:10" x14ac:dyDescent="0.2">
      <c r="A62" t="s">
        <v>333</v>
      </c>
      <c r="B62" s="4">
        <f>VLOOKUP(B$59,GradeRates,MATCH($A62,RateTiers,0),0)</f>
        <v>1</v>
      </c>
      <c r="C62" s="13">
        <f t="shared" si="6"/>
        <v>0.29296875</v>
      </c>
      <c r="D62" s="13">
        <f t="shared" si="6"/>
        <v>0.29296875</v>
      </c>
      <c r="E62" s="13">
        <f t="shared" si="6"/>
        <v>0.29296875</v>
      </c>
      <c r="F62" s="13">
        <f t="shared" si="6"/>
        <v>0.341796875</v>
      </c>
      <c r="G62" s="13">
        <f t="shared" si="6"/>
        <v>0.341796875</v>
      </c>
      <c r="H62" s="13">
        <f t="shared" si="6"/>
        <v>0.341796875</v>
      </c>
      <c r="I62" s="13">
        <f t="shared" si="6"/>
        <v>0.341796875</v>
      </c>
      <c r="J62" t="s">
        <v>338</v>
      </c>
    </row>
    <row r="63" spans="1:10" x14ac:dyDescent="0.2">
      <c r="A63" t="s">
        <v>334</v>
      </c>
      <c r="B63" s="4">
        <f>VLOOKUP(B$59,GradeRates,MATCH($A63,RateTiers,0),0)</f>
        <v>3</v>
      </c>
      <c r="C63" s="13">
        <f t="shared" si="6"/>
        <v>0.390625</v>
      </c>
      <c r="D63" s="13">
        <f t="shared" si="6"/>
        <v>0.390625</v>
      </c>
      <c r="E63" s="13">
        <f t="shared" si="6"/>
        <v>0.390625</v>
      </c>
      <c r="F63" s="13">
        <f t="shared" si="6"/>
        <v>0.390625</v>
      </c>
      <c r="G63" s="13">
        <f t="shared" si="6"/>
        <v>0.390625</v>
      </c>
      <c r="H63" s="13">
        <f t="shared" si="6"/>
        <v>0.390625</v>
      </c>
      <c r="I63" s="13">
        <f t="shared" si="6"/>
        <v>0.390625</v>
      </c>
      <c r="J63" t="s">
        <v>339</v>
      </c>
    </row>
    <row r="64" spans="1:10" x14ac:dyDescent="0.2">
      <c r="A64" t="s">
        <v>335</v>
      </c>
      <c r="B64" s="4">
        <f>VLOOKUP(B$59,GradeRates,MATCH($A64,RateTiers,0),0)</f>
        <v>3</v>
      </c>
    </row>
    <row r="65" spans="1:10" x14ac:dyDescent="0.2">
      <c r="A65" t="s">
        <v>99</v>
      </c>
      <c r="B65" s="4">
        <f>FLOOR((B60+MIN(59,$C$1-1)*B61+MAX(0,$C$1-30)*B62+MIN(15,MAX(0,$C$1-60))*B63+MAX(0,$C$1-75)*B64)/2,1)</f>
        <v>210</v>
      </c>
      <c r="C65" s="4">
        <f t="shared" ref="C65:I65" si="7">FLOOR((C60+FLOOR(MIN(59,$C$1-1)*C61,0.5)+FLOOR(MIN(15,MAX(0,$C$1-60))*C62,0.5)+FLOOR(MAX(0,$C$1-75)*C63,0.5))/2,0.5)</f>
        <v>11.5</v>
      </c>
      <c r="D65" s="4">
        <f t="shared" si="7"/>
        <v>11.5</v>
      </c>
      <c r="E65" s="4">
        <f t="shared" si="7"/>
        <v>11.5</v>
      </c>
      <c r="F65" s="4">
        <f t="shared" si="7"/>
        <v>9.5</v>
      </c>
      <c r="G65" s="4">
        <f t="shared" si="7"/>
        <v>8.5</v>
      </c>
      <c r="H65" s="4">
        <f t="shared" si="7"/>
        <v>8.5</v>
      </c>
      <c r="I65" s="4">
        <f t="shared" si="7"/>
        <v>9.5</v>
      </c>
    </row>
    <row r="68" spans="1:10" x14ac:dyDescent="0.2">
      <c r="A68" s="1" t="s">
        <v>6</v>
      </c>
      <c r="B68" s="28" t="s">
        <v>297</v>
      </c>
      <c r="C68" s="28" t="s">
        <v>26</v>
      </c>
      <c r="D68" s="28" t="s">
        <v>27</v>
      </c>
      <c r="E68" s="28" t="s">
        <v>23</v>
      </c>
      <c r="F68" s="28" t="s">
        <v>25</v>
      </c>
      <c r="G68" s="28" t="s">
        <v>298</v>
      </c>
      <c r="H68" s="28" t="s">
        <v>299</v>
      </c>
      <c r="I68" s="28" t="s">
        <v>300</v>
      </c>
    </row>
    <row r="69" spans="1:10" x14ac:dyDescent="0.2">
      <c r="A69" t="str">
        <f>Data!A1</f>
        <v>Hume</v>
      </c>
      <c r="B69" s="4" t="str">
        <f t="shared" ref="B69:I69" si="8">VLOOKUP($A69,Grades,MATCH(B$68,Stats,0),0)</f>
        <v>D</v>
      </c>
      <c r="C69" t="str">
        <f t="shared" si="8"/>
        <v>D</v>
      </c>
      <c r="D69" t="str">
        <f t="shared" si="8"/>
        <v>D</v>
      </c>
      <c r="E69" t="str">
        <f t="shared" si="8"/>
        <v>D</v>
      </c>
      <c r="F69" s="4" t="str">
        <f t="shared" si="8"/>
        <v>D</v>
      </c>
      <c r="G69" s="4" t="str">
        <f t="shared" si="8"/>
        <v>D</v>
      </c>
      <c r="H69" s="4" t="str">
        <f t="shared" si="8"/>
        <v>D</v>
      </c>
      <c r="I69" s="4" t="str">
        <f t="shared" si="8"/>
        <v>D</v>
      </c>
    </row>
    <row r="70" spans="1:10" x14ac:dyDescent="0.2">
      <c r="A70" t="s">
        <v>331</v>
      </c>
      <c r="B70" s="4">
        <f>VLOOKUP(B$69,GradeRates,MATCH($A70,RateTiers,0),0)</f>
        <v>14</v>
      </c>
      <c r="C70" s="13">
        <f t="shared" ref="C70:I73" si="9">VLOOKUP(C$69,GradeRates,MATCH($J70,RateTiers,0),0)</f>
        <v>3</v>
      </c>
      <c r="D70" s="13">
        <f t="shared" si="9"/>
        <v>3</v>
      </c>
      <c r="E70" s="13">
        <f t="shared" si="9"/>
        <v>3</v>
      </c>
      <c r="F70" s="13">
        <f t="shared" si="9"/>
        <v>3</v>
      </c>
      <c r="G70" s="13">
        <f t="shared" si="9"/>
        <v>3</v>
      </c>
      <c r="H70" s="13">
        <f t="shared" si="9"/>
        <v>3</v>
      </c>
      <c r="I70" s="13">
        <f t="shared" si="9"/>
        <v>3</v>
      </c>
      <c r="J70" t="s">
        <v>336</v>
      </c>
    </row>
    <row r="71" spans="1:10" x14ac:dyDescent="0.2">
      <c r="A71" t="s">
        <v>332</v>
      </c>
      <c r="B71" s="4">
        <f>VLOOKUP(B$69,GradeRates,MATCH($A71,RateTiers,0),0)</f>
        <v>6</v>
      </c>
      <c r="C71" s="13">
        <f t="shared" si="9"/>
        <v>0.35</v>
      </c>
      <c r="D71" s="13">
        <f t="shared" si="9"/>
        <v>0.35</v>
      </c>
      <c r="E71" s="13">
        <f t="shared" si="9"/>
        <v>0.35</v>
      </c>
      <c r="F71" s="13">
        <f t="shared" si="9"/>
        <v>0.35</v>
      </c>
      <c r="G71" s="13">
        <f t="shared" si="9"/>
        <v>0.35</v>
      </c>
      <c r="H71" s="13">
        <f t="shared" si="9"/>
        <v>0.35</v>
      </c>
      <c r="I71" s="13">
        <f t="shared" si="9"/>
        <v>0.35</v>
      </c>
      <c r="J71" t="s">
        <v>337</v>
      </c>
    </row>
    <row r="72" spans="1:10" x14ac:dyDescent="0.2">
      <c r="A72" t="s">
        <v>333</v>
      </c>
      <c r="B72" s="4">
        <f>VLOOKUP(B$69,GradeRates,MATCH($A72,RateTiers,0),0)</f>
        <v>0</v>
      </c>
      <c r="C72" s="13">
        <f t="shared" si="9"/>
        <v>0.341796875</v>
      </c>
      <c r="D72" s="13">
        <f t="shared" si="9"/>
        <v>0.341796875</v>
      </c>
      <c r="E72" s="13">
        <f t="shared" si="9"/>
        <v>0.341796875</v>
      </c>
      <c r="F72" s="13">
        <f t="shared" si="9"/>
        <v>0.341796875</v>
      </c>
      <c r="G72" s="13">
        <f t="shared" si="9"/>
        <v>0.341796875</v>
      </c>
      <c r="H72" s="13">
        <f t="shared" si="9"/>
        <v>0.341796875</v>
      </c>
      <c r="I72" s="13">
        <f t="shared" si="9"/>
        <v>0.341796875</v>
      </c>
      <c r="J72" t="s">
        <v>338</v>
      </c>
    </row>
    <row r="73" spans="1:10" x14ac:dyDescent="0.2">
      <c r="A73" t="s">
        <v>334</v>
      </c>
      <c r="B73" s="4">
        <f>VLOOKUP(B$69,GradeRates,MATCH($A73,RateTiers,0),0)</f>
        <v>3</v>
      </c>
      <c r="C73" s="13">
        <f t="shared" si="9"/>
        <v>0.390625</v>
      </c>
      <c r="D73" s="13">
        <f t="shared" si="9"/>
        <v>0.390625</v>
      </c>
      <c r="E73" s="13">
        <f t="shared" si="9"/>
        <v>0.390625</v>
      </c>
      <c r="F73" s="13">
        <f t="shared" si="9"/>
        <v>0.390625</v>
      </c>
      <c r="G73" s="13">
        <f t="shared" si="9"/>
        <v>0.390625</v>
      </c>
      <c r="H73" s="13">
        <f t="shared" si="9"/>
        <v>0.390625</v>
      </c>
      <c r="I73" s="13">
        <f t="shared" si="9"/>
        <v>0.390625</v>
      </c>
      <c r="J73" t="s">
        <v>339</v>
      </c>
    </row>
    <row r="74" spans="1:10" x14ac:dyDescent="0.2">
      <c r="A74" t="s">
        <v>335</v>
      </c>
      <c r="B74" s="4">
        <f>VLOOKUP(B$69,GradeRates,MATCH($A74,RateTiers,0),0)</f>
        <v>3</v>
      </c>
    </row>
    <row r="75" spans="1:10" x14ac:dyDescent="0.2">
      <c r="A75" t="s">
        <v>99</v>
      </c>
      <c r="B75" s="4">
        <f>B70+MIN(59,$B$1-1)*B71+MAX(0,$B$1-30)*B72+MIN(15,MAX(0,$B$1-60))*B73+MAX(0,$B$1-75)*B74</f>
        <v>485</v>
      </c>
      <c r="C75" s="4">
        <f t="shared" ref="C75:I75" si="10">C70+FLOOR(MIN(59,$B$1-1)*C71,0.5)+FLOOR(MIN(15,MAX(0,$B$1-60))*C72,0.5)+FLOOR(MAX(0,$B$1-75)*C73,0.5)</f>
        <v>37.5</v>
      </c>
      <c r="D75" s="4">
        <f t="shared" si="10"/>
        <v>37.5</v>
      </c>
      <c r="E75" s="4">
        <f t="shared" si="10"/>
        <v>37.5</v>
      </c>
      <c r="F75" s="4">
        <f t="shared" si="10"/>
        <v>37.5</v>
      </c>
      <c r="G75" s="4">
        <f t="shared" si="10"/>
        <v>37.5</v>
      </c>
      <c r="H75" s="4">
        <f t="shared" si="10"/>
        <v>37.5</v>
      </c>
      <c r="I75" s="4">
        <f t="shared" si="10"/>
        <v>37.5</v>
      </c>
    </row>
    <row r="77" spans="1:10" x14ac:dyDescent="0.2">
      <c r="B77" s="28" t="s">
        <v>297</v>
      </c>
      <c r="C77" s="28" t="s">
        <v>26</v>
      </c>
      <c r="D77" s="28" t="s">
        <v>27</v>
      </c>
      <c r="E77" s="28" t="s">
        <v>23</v>
      </c>
      <c r="F77" s="28" t="s">
        <v>25</v>
      </c>
      <c r="G77" s="28" t="s">
        <v>298</v>
      </c>
      <c r="H77" s="28" t="s">
        <v>299</v>
      </c>
      <c r="I77" s="28" t="s">
        <v>300</v>
      </c>
    </row>
    <row r="78" spans="1:10" x14ac:dyDescent="0.2">
      <c r="A78" t="s">
        <v>340</v>
      </c>
      <c r="B78" s="4">
        <f>MAX(0,$B$1-10)*2+MIN(10,MAX(0,$B$1-50))*2+IF(A49="Mnk",IF($B$1&gt;=15,30,0)+IF($B$1&gt;=35,30,0)+IF($B$1&gt;=55,60,0)+IF($B$1&gt;=70,60,0)+IF($B$1&gt;=90,60,0))</f>
        <v>198</v>
      </c>
    </row>
  </sheetData>
  <sheetProtection selectLockedCells="1" selectUnlockedCells="1"/>
  <phoneticPr fontId="6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B2:D30"/>
  <sheetViews>
    <sheetView workbookViewId="0">
      <selection activeCell="B5" sqref="B5"/>
    </sheetView>
  </sheetViews>
  <sheetFormatPr defaultRowHeight="12.75" x14ac:dyDescent="0.2"/>
  <sheetData>
    <row r="2" spans="2:2" x14ac:dyDescent="0.2">
      <c r="B2" t="s">
        <v>1376</v>
      </c>
    </row>
    <row r="4" spans="2:2" x14ac:dyDescent="0.2">
      <c r="B4" t="s">
        <v>1867</v>
      </c>
    </row>
    <row r="5" spans="2:2" x14ac:dyDescent="0.2">
      <c r="B5" t="s">
        <v>1438</v>
      </c>
    </row>
    <row r="6" spans="2:2" x14ac:dyDescent="0.2">
      <c r="B6" t="s">
        <v>1375</v>
      </c>
    </row>
    <row r="7" spans="2:2" x14ac:dyDescent="0.2">
      <c r="B7" t="s">
        <v>1721</v>
      </c>
    </row>
    <row r="8" spans="2:2" x14ac:dyDescent="0.2">
      <c r="B8" t="s">
        <v>1714</v>
      </c>
    </row>
    <row r="11" spans="2:2" x14ac:dyDescent="0.2">
      <c r="B11" t="s">
        <v>1377</v>
      </c>
    </row>
    <row r="12" spans="2:2" x14ac:dyDescent="0.2">
      <c r="B12" s="148" t="s">
        <v>1362</v>
      </c>
    </row>
    <row r="13" spans="2:2" x14ac:dyDescent="0.2">
      <c r="B13" s="148" t="s">
        <v>1715</v>
      </c>
    </row>
    <row r="14" spans="2:2" x14ac:dyDescent="0.2">
      <c r="B14" s="148" t="s">
        <v>1436</v>
      </c>
    </row>
    <row r="15" spans="2:2" x14ac:dyDescent="0.2">
      <c r="B15" s="148" t="s">
        <v>1437</v>
      </c>
    </row>
    <row r="16" spans="2:2" x14ac:dyDescent="0.2">
      <c r="B16" s="148" t="s">
        <v>1713</v>
      </c>
    </row>
    <row r="18" spans="2:4" x14ac:dyDescent="0.2">
      <c r="B18" t="s">
        <v>1370</v>
      </c>
    </row>
    <row r="19" spans="2:4" x14ac:dyDescent="0.2">
      <c r="B19" s="148" t="s">
        <v>1367</v>
      </c>
    </row>
    <row r="20" spans="2:4" x14ac:dyDescent="0.2">
      <c r="B20" s="148" t="s">
        <v>1368</v>
      </c>
    </row>
    <row r="21" spans="2:4" x14ac:dyDescent="0.2">
      <c r="B21" s="148" t="s">
        <v>1369</v>
      </c>
    </row>
    <row r="22" spans="2:4" x14ac:dyDescent="0.2">
      <c r="B22" s="148" t="s">
        <v>1656</v>
      </c>
    </row>
    <row r="24" spans="2:4" x14ac:dyDescent="0.2">
      <c r="B24" t="s">
        <v>1866</v>
      </c>
    </row>
    <row r="29" spans="2:4" x14ac:dyDescent="0.2">
      <c r="D29" t="s">
        <v>1725</v>
      </c>
    </row>
    <row r="30" spans="2:4" x14ac:dyDescent="0.2">
      <c r="D30" t="s">
        <v>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P46"/>
  <sheetViews>
    <sheetView workbookViewId="0">
      <selection activeCell="B5" sqref="B5"/>
    </sheetView>
  </sheetViews>
  <sheetFormatPr defaultRowHeight="12.75" x14ac:dyDescent="0.2"/>
  <cols>
    <col min="1" max="1" width="11.5703125" bestFit="1" customWidth="1"/>
    <col min="2" max="2" width="21.42578125" customWidth="1"/>
    <col min="3" max="3" width="4.42578125" customWidth="1"/>
    <col min="4" max="10" width="4.28515625" customWidth="1"/>
    <col min="11" max="13" width="4.7109375" customWidth="1"/>
    <col min="14" max="15" width="6.7109375" customWidth="1"/>
    <col min="16" max="17" width="5.42578125" customWidth="1"/>
    <col min="18" max="18" width="6.42578125" customWidth="1"/>
    <col min="19" max="19" width="5.28515625" customWidth="1"/>
    <col min="20" max="20" width="4.7109375" customWidth="1"/>
    <col min="21" max="21" width="4.42578125" customWidth="1"/>
    <col min="22" max="22" width="4.5703125" customWidth="1"/>
    <col min="23" max="23" width="11.5703125" bestFit="1" customWidth="1"/>
    <col min="24" max="24" width="21.42578125" customWidth="1"/>
    <col min="25" max="25" width="4.5703125" customWidth="1"/>
    <col min="26" max="32" width="4.28515625" customWidth="1"/>
    <col min="33" max="35" width="4.7109375" customWidth="1"/>
    <col min="36" max="37" width="6.7109375" customWidth="1"/>
    <col min="38" max="39" width="5.42578125" customWidth="1"/>
    <col min="40" max="40" width="6.42578125" customWidth="1"/>
    <col min="41" max="41" width="5.28515625" customWidth="1"/>
    <col min="42" max="42" width="5.140625" customWidth="1"/>
  </cols>
  <sheetData>
    <row r="1" spans="1:42" x14ac:dyDescent="0.2">
      <c r="A1" t="s">
        <v>68</v>
      </c>
      <c r="W1" t="s">
        <v>69</v>
      </c>
    </row>
    <row r="2" spans="1:42" x14ac:dyDescent="0.2">
      <c r="A2" t="s">
        <v>70</v>
      </c>
      <c r="B2" t="s">
        <v>71</v>
      </c>
      <c r="C2" t="s">
        <v>72</v>
      </c>
      <c r="D2" t="s">
        <v>26</v>
      </c>
      <c r="E2" t="s">
        <v>27</v>
      </c>
      <c r="F2" t="s">
        <v>25</v>
      </c>
      <c r="G2" t="s">
        <v>23</v>
      </c>
      <c r="H2" t="s">
        <v>73</v>
      </c>
      <c r="I2" t="s">
        <v>74</v>
      </c>
      <c r="J2" t="s">
        <v>375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28</v>
      </c>
      <c r="Q2" t="s">
        <v>80</v>
      </c>
      <c r="R2" t="s">
        <v>81</v>
      </c>
      <c r="T2" t="s">
        <v>82</v>
      </c>
      <c r="W2" t="s">
        <v>70</v>
      </c>
      <c r="X2" t="s">
        <v>71</v>
      </c>
      <c r="Y2" t="s">
        <v>72</v>
      </c>
      <c r="Z2" t="s">
        <v>26</v>
      </c>
      <c r="AA2" t="s">
        <v>27</v>
      </c>
      <c r="AB2" t="s">
        <v>25</v>
      </c>
      <c r="AC2" t="s">
        <v>23</v>
      </c>
      <c r="AD2" t="s">
        <v>73</v>
      </c>
      <c r="AE2" t="s">
        <v>74</v>
      </c>
      <c r="AF2" t="s">
        <v>375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t="s">
        <v>28</v>
      </c>
      <c r="AM2" t="s">
        <v>80</v>
      </c>
      <c r="AN2" t="s">
        <v>81</v>
      </c>
      <c r="AP2" t="s">
        <v>82</v>
      </c>
    </row>
    <row r="3" spans="1:42" x14ac:dyDescent="0.2">
      <c r="A3" t="s">
        <v>83</v>
      </c>
      <c r="B3" s="15" t="s">
        <v>1884</v>
      </c>
      <c r="C3" s="4">
        <f t="shared" ref="C3:M17" ca="1" si="0">IF(ISBLANK($B3),0,VLOOKUP($B3,INDIRECT($A3),MATCH(C$2,StatHeader,0),0))</f>
        <v>250</v>
      </c>
      <c r="D3" s="4">
        <f t="shared" ca="1" si="0"/>
        <v>0</v>
      </c>
      <c r="E3" s="4">
        <f t="shared" ca="1" si="0"/>
        <v>20</v>
      </c>
      <c r="F3" s="4">
        <f t="shared" ca="1" si="0"/>
        <v>0</v>
      </c>
      <c r="G3" s="4">
        <f t="shared" ca="1" si="0"/>
        <v>0</v>
      </c>
      <c r="H3" s="4">
        <f t="shared" ca="1" si="0"/>
        <v>30</v>
      </c>
      <c r="I3" s="4">
        <f t="shared" ca="1" si="0"/>
        <v>40</v>
      </c>
      <c r="J3" s="8">
        <f t="shared" ca="1" si="0"/>
        <v>0</v>
      </c>
      <c r="K3" s="8">
        <f t="shared" ca="1" si="0"/>
        <v>0</v>
      </c>
      <c r="L3" s="8">
        <f t="shared" ca="1" si="0"/>
        <v>0</v>
      </c>
      <c r="M3" s="8">
        <f t="shared" ca="1" si="0"/>
        <v>0</v>
      </c>
      <c r="N3" s="8">
        <f t="shared" ref="N3:T17" ca="1" si="1">IF(ISBLANK($B3),0,VLOOKUP($B3,INDIRECT($A3),MATCH(N$2,StatHeader,0),0))</f>
        <v>0</v>
      </c>
      <c r="O3" s="8">
        <f t="shared" ca="1" si="1"/>
        <v>0</v>
      </c>
      <c r="P3" s="4">
        <f t="shared" ca="1" si="1"/>
        <v>0</v>
      </c>
      <c r="Q3" s="8">
        <f t="shared" ca="1" si="1"/>
        <v>0</v>
      </c>
      <c r="R3" s="4">
        <f t="shared" ca="1" si="1"/>
        <v>0</v>
      </c>
      <c r="S3" s="4"/>
      <c r="T3" s="4">
        <f t="shared" ca="1" si="1"/>
        <v>0</v>
      </c>
      <c r="V3" t="str">
        <f t="shared" ref="V3:V17" si="2">IF(X3=B3,"=","-")</f>
        <v>=</v>
      </c>
      <c r="W3" t="s">
        <v>83</v>
      </c>
      <c r="X3" s="15" t="s">
        <v>1884</v>
      </c>
      <c r="Y3" s="4">
        <f t="shared" ref="Y3:AI17" ca="1" si="3">IF(ISBLANK($X3),0,VLOOKUP($X3,INDIRECT($W3),MATCH(Y$2,StatHeader,0),0))</f>
        <v>250</v>
      </c>
      <c r="Z3" s="4">
        <f t="shared" ca="1" si="3"/>
        <v>0</v>
      </c>
      <c r="AA3" s="4">
        <f t="shared" ca="1" si="3"/>
        <v>20</v>
      </c>
      <c r="AB3" s="4">
        <f t="shared" ca="1" si="3"/>
        <v>0</v>
      </c>
      <c r="AC3" s="4">
        <f t="shared" ca="1" si="3"/>
        <v>0</v>
      </c>
      <c r="AD3" s="4">
        <f t="shared" ca="1" si="3"/>
        <v>30</v>
      </c>
      <c r="AE3" s="4">
        <f t="shared" ca="1" si="3"/>
        <v>40</v>
      </c>
      <c r="AF3" s="8">
        <f t="shared" ca="1" si="3"/>
        <v>0</v>
      </c>
      <c r="AG3" s="8">
        <f t="shared" ca="1" si="3"/>
        <v>0</v>
      </c>
      <c r="AH3" s="8">
        <f t="shared" ca="1" si="3"/>
        <v>0</v>
      </c>
      <c r="AI3" s="8">
        <f t="shared" ca="1" si="3"/>
        <v>0</v>
      </c>
      <c r="AJ3" s="8">
        <f t="shared" ref="AJ3:AP17" ca="1" si="4">IF(ISBLANK($X3),0,VLOOKUP($X3,INDIRECT($W3),MATCH(AJ$2,StatHeader,0),0))</f>
        <v>0</v>
      </c>
      <c r="AK3" s="8">
        <f t="shared" ca="1" si="4"/>
        <v>0</v>
      </c>
      <c r="AL3" s="4">
        <f t="shared" ca="1" si="4"/>
        <v>0</v>
      </c>
      <c r="AM3" s="8">
        <f t="shared" ca="1" si="4"/>
        <v>0</v>
      </c>
      <c r="AN3" s="4">
        <f t="shared" ca="1" si="4"/>
        <v>0</v>
      </c>
      <c r="AO3" s="4"/>
      <c r="AP3" s="4">
        <f t="shared" ca="1" si="4"/>
        <v>0</v>
      </c>
    </row>
    <row r="4" spans="1:42" x14ac:dyDescent="0.2">
      <c r="A4" t="s">
        <v>84</v>
      </c>
      <c r="B4" s="16" t="s">
        <v>1181</v>
      </c>
      <c r="C4" s="4">
        <f t="shared" ca="1" si="0"/>
        <v>0</v>
      </c>
      <c r="D4" s="4">
        <f t="shared" ca="1" si="0"/>
        <v>0</v>
      </c>
      <c r="E4" s="4">
        <f t="shared" ca="1" si="0"/>
        <v>0</v>
      </c>
      <c r="F4" s="4">
        <f t="shared" ca="1" si="0"/>
        <v>0</v>
      </c>
      <c r="G4" s="4">
        <f t="shared" ca="1" si="0"/>
        <v>0</v>
      </c>
      <c r="H4" s="4">
        <f t="shared" ca="1" si="0"/>
        <v>0</v>
      </c>
      <c r="I4" s="4">
        <f t="shared" ca="1" si="0"/>
        <v>6</v>
      </c>
      <c r="J4" s="8">
        <f t="shared" ca="1" si="0"/>
        <v>0</v>
      </c>
      <c r="K4" s="8">
        <f t="shared" ca="1" si="0"/>
        <v>0</v>
      </c>
      <c r="L4" s="8">
        <f t="shared" ca="1" si="0"/>
        <v>0</v>
      </c>
      <c r="M4" s="8">
        <f t="shared" ca="1" si="0"/>
        <v>0</v>
      </c>
      <c r="N4" s="8">
        <f t="shared" ca="1" si="1"/>
        <v>0</v>
      </c>
      <c r="O4" s="8">
        <f t="shared" ca="1" si="1"/>
        <v>0</v>
      </c>
      <c r="P4" s="4">
        <f t="shared" ca="1" si="1"/>
        <v>0</v>
      </c>
      <c r="Q4" s="8">
        <f t="shared" ca="1" si="1"/>
        <v>0</v>
      </c>
      <c r="R4" s="4">
        <f t="shared" ca="1" si="1"/>
        <v>0</v>
      </c>
      <c r="S4" s="4"/>
      <c r="T4" s="4">
        <f t="shared" ca="1" si="1"/>
        <v>6</v>
      </c>
      <c r="V4" t="str">
        <f t="shared" si="2"/>
        <v>=</v>
      </c>
      <c r="W4" t="s">
        <v>84</v>
      </c>
      <c r="X4" s="16" t="s">
        <v>1181</v>
      </c>
      <c r="Y4" s="4">
        <f t="shared" ca="1" si="3"/>
        <v>0</v>
      </c>
      <c r="Z4" s="4">
        <f t="shared" ca="1" si="3"/>
        <v>0</v>
      </c>
      <c r="AA4" s="4">
        <f t="shared" ca="1" si="3"/>
        <v>0</v>
      </c>
      <c r="AB4" s="4">
        <f t="shared" ca="1" si="3"/>
        <v>0</v>
      </c>
      <c r="AC4" s="4">
        <f t="shared" ca="1" si="3"/>
        <v>0</v>
      </c>
      <c r="AD4" s="4">
        <f t="shared" ca="1" si="3"/>
        <v>0</v>
      </c>
      <c r="AE4" s="4">
        <f t="shared" ca="1" si="3"/>
        <v>6</v>
      </c>
      <c r="AF4" s="8">
        <f t="shared" ca="1" si="3"/>
        <v>0</v>
      </c>
      <c r="AG4" s="8">
        <f t="shared" ca="1" si="3"/>
        <v>0</v>
      </c>
      <c r="AH4" s="8">
        <f t="shared" ca="1" si="3"/>
        <v>0</v>
      </c>
      <c r="AI4" s="8">
        <f t="shared" ca="1" si="3"/>
        <v>0</v>
      </c>
      <c r="AJ4" s="8">
        <f t="shared" ca="1" si="4"/>
        <v>0</v>
      </c>
      <c r="AK4" s="8">
        <f t="shared" ca="1" si="4"/>
        <v>0</v>
      </c>
      <c r="AL4" s="4">
        <f t="shared" ca="1" si="4"/>
        <v>0</v>
      </c>
      <c r="AM4" s="8">
        <f t="shared" ca="1" si="4"/>
        <v>0</v>
      </c>
      <c r="AN4" s="4">
        <f t="shared" ca="1" si="4"/>
        <v>0</v>
      </c>
      <c r="AO4" s="4"/>
      <c r="AP4" s="4">
        <f t="shared" ca="1" si="4"/>
        <v>6</v>
      </c>
    </row>
    <row r="5" spans="1:42" x14ac:dyDescent="0.2">
      <c r="A5" t="s">
        <v>86</v>
      </c>
      <c r="B5" s="16" t="s">
        <v>527</v>
      </c>
      <c r="C5" s="4">
        <f t="shared" ca="1" si="0"/>
        <v>0</v>
      </c>
      <c r="D5" s="4">
        <f t="shared" ca="1" si="0"/>
        <v>0</v>
      </c>
      <c r="E5" s="4">
        <f t="shared" ca="1" si="0"/>
        <v>0</v>
      </c>
      <c r="F5" s="4">
        <f t="shared" ca="1" si="0"/>
        <v>0</v>
      </c>
      <c r="G5" s="4">
        <f t="shared" ca="1" si="0"/>
        <v>0</v>
      </c>
      <c r="H5" s="4">
        <f t="shared" ca="1" si="0"/>
        <v>10</v>
      </c>
      <c r="I5" s="4">
        <f t="shared" ca="1" si="0"/>
        <v>5</v>
      </c>
      <c r="J5" s="8">
        <f t="shared" ca="1" si="0"/>
        <v>0</v>
      </c>
      <c r="K5" s="8">
        <f t="shared" ca="1" si="0"/>
        <v>0</v>
      </c>
      <c r="L5" s="8">
        <f t="shared" ca="1" si="0"/>
        <v>0</v>
      </c>
      <c r="M5" s="8">
        <f t="shared" ca="1" si="0"/>
        <v>0</v>
      </c>
      <c r="N5" s="8">
        <f t="shared" ca="1" si="1"/>
        <v>0</v>
      </c>
      <c r="O5" s="8">
        <f t="shared" ca="1" si="1"/>
        <v>0</v>
      </c>
      <c r="P5" s="4">
        <f t="shared" ca="1" si="1"/>
        <v>0</v>
      </c>
      <c r="Q5" s="8">
        <f t="shared" ca="1" si="1"/>
        <v>0</v>
      </c>
      <c r="R5" s="4">
        <f t="shared" ca="1" si="1"/>
        <v>0</v>
      </c>
      <c r="S5" s="4"/>
      <c r="T5" s="4">
        <f t="shared" ca="1" si="1"/>
        <v>3</v>
      </c>
      <c r="V5" t="str">
        <f t="shared" si="2"/>
        <v>=</v>
      </c>
      <c r="W5" t="s">
        <v>86</v>
      </c>
      <c r="X5" s="16" t="s">
        <v>527</v>
      </c>
      <c r="Y5" s="4">
        <f t="shared" ca="1" si="3"/>
        <v>0</v>
      </c>
      <c r="Z5" s="4">
        <f t="shared" ca="1" si="3"/>
        <v>0</v>
      </c>
      <c r="AA5" s="4">
        <f t="shared" ca="1" si="3"/>
        <v>0</v>
      </c>
      <c r="AB5" s="4">
        <f t="shared" ca="1" si="3"/>
        <v>0</v>
      </c>
      <c r="AC5" s="4">
        <f t="shared" ca="1" si="3"/>
        <v>0</v>
      </c>
      <c r="AD5" s="4">
        <f t="shared" ca="1" si="3"/>
        <v>10</v>
      </c>
      <c r="AE5" s="4">
        <f t="shared" ca="1" si="3"/>
        <v>5</v>
      </c>
      <c r="AF5" s="8">
        <f t="shared" ca="1" si="3"/>
        <v>0</v>
      </c>
      <c r="AG5" s="8">
        <f t="shared" ca="1" si="3"/>
        <v>0</v>
      </c>
      <c r="AH5" s="8">
        <f t="shared" ca="1" si="3"/>
        <v>0</v>
      </c>
      <c r="AI5" s="8">
        <f t="shared" ca="1" si="3"/>
        <v>0</v>
      </c>
      <c r="AJ5" s="8">
        <f t="shared" ca="1" si="4"/>
        <v>0</v>
      </c>
      <c r="AK5" s="8">
        <f t="shared" ca="1" si="4"/>
        <v>0</v>
      </c>
      <c r="AL5" s="4">
        <f t="shared" ca="1" si="4"/>
        <v>0</v>
      </c>
      <c r="AM5" s="8">
        <f t="shared" ca="1" si="4"/>
        <v>0</v>
      </c>
      <c r="AN5" s="4">
        <f t="shared" ca="1" si="4"/>
        <v>0</v>
      </c>
      <c r="AO5" s="4"/>
      <c r="AP5" s="4">
        <f t="shared" ca="1" si="4"/>
        <v>3</v>
      </c>
    </row>
    <row r="6" spans="1:42" x14ac:dyDescent="0.2">
      <c r="A6" t="s">
        <v>88</v>
      </c>
      <c r="B6" s="16" t="s">
        <v>1885</v>
      </c>
      <c r="C6" s="4">
        <f t="shared" ca="1" si="0"/>
        <v>0</v>
      </c>
      <c r="D6" s="4">
        <f t="shared" ca="1" si="0"/>
        <v>36</v>
      </c>
      <c r="E6" s="4">
        <f t="shared" ca="1" si="0"/>
        <v>32</v>
      </c>
      <c r="F6" s="4">
        <f t="shared" ca="1" si="0"/>
        <v>16</v>
      </c>
      <c r="G6" s="4">
        <f t="shared" ca="1" si="0"/>
        <v>24</v>
      </c>
      <c r="H6" s="4">
        <f t="shared" ca="1" si="0"/>
        <v>0</v>
      </c>
      <c r="I6" s="4">
        <f t="shared" ca="1" si="0"/>
        <v>44</v>
      </c>
      <c r="J6" s="8">
        <f t="shared" ca="1" si="0"/>
        <v>0</v>
      </c>
      <c r="K6" s="8">
        <f t="shared" ca="1" si="0"/>
        <v>0</v>
      </c>
      <c r="L6" s="8">
        <f t="shared" ca="1" si="0"/>
        <v>0.05</v>
      </c>
      <c r="M6" s="8">
        <f t="shared" ca="1" si="0"/>
        <v>0</v>
      </c>
      <c r="N6" s="8">
        <f t="shared" ca="1" si="1"/>
        <v>0</v>
      </c>
      <c r="O6" s="8">
        <f t="shared" ca="1" si="1"/>
        <v>0</v>
      </c>
      <c r="P6" s="4">
        <f t="shared" ca="1" si="1"/>
        <v>40</v>
      </c>
      <c r="Q6" s="8">
        <f t="shared" ca="1" si="1"/>
        <v>0</v>
      </c>
      <c r="R6" s="4">
        <f t="shared" ca="1" si="1"/>
        <v>0</v>
      </c>
      <c r="S6" s="4"/>
      <c r="T6" s="4">
        <f t="shared" ca="1" si="1"/>
        <v>6</v>
      </c>
      <c r="V6" t="str">
        <f t="shared" si="2"/>
        <v>=</v>
      </c>
      <c r="W6" t="s">
        <v>88</v>
      </c>
      <c r="X6" s="16" t="s">
        <v>1885</v>
      </c>
      <c r="Y6" s="4">
        <f t="shared" ca="1" si="3"/>
        <v>0</v>
      </c>
      <c r="Z6" s="4">
        <f t="shared" ca="1" si="3"/>
        <v>36</v>
      </c>
      <c r="AA6" s="4">
        <f t="shared" ca="1" si="3"/>
        <v>32</v>
      </c>
      <c r="AB6" s="4">
        <f t="shared" ca="1" si="3"/>
        <v>16</v>
      </c>
      <c r="AC6" s="4">
        <f t="shared" ca="1" si="3"/>
        <v>24</v>
      </c>
      <c r="AD6" s="4">
        <f t="shared" ca="1" si="3"/>
        <v>0</v>
      </c>
      <c r="AE6" s="4">
        <f t="shared" ca="1" si="3"/>
        <v>44</v>
      </c>
      <c r="AF6" s="8">
        <f t="shared" ca="1" si="3"/>
        <v>0</v>
      </c>
      <c r="AG6" s="8">
        <f t="shared" ca="1" si="3"/>
        <v>0</v>
      </c>
      <c r="AH6" s="8">
        <f t="shared" ca="1" si="3"/>
        <v>0.05</v>
      </c>
      <c r="AI6" s="8">
        <f t="shared" ca="1" si="3"/>
        <v>0</v>
      </c>
      <c r="AJ6" s="8">
        <f t="shared" ca="1" si="4"/>
        <v>0</v>
      </c>
      <c r="AK6" s="8">
        <f t="shared" ca="1" si="4"/>
        <v>0</v>
      </c>
      <c r="AL6" s="4">
        <f t="shared" ca="1" si="4"/>
        <v>40</v>
      </c>
      <c r="AM6" s="8">
        <f t="shared" ca="1" si="4"/>
        <v>0</v>
      </c>
      <c r="AN6" s="4">
        <f t="shared" ca="1" si="4"/>
        <v>0</v>
      </c>
      <c r="AO6" s="4"/>
      <c r="AP6" s="4">
        <f t="shared" ca="1" si="4"/>
        <v>6</v>
      </c>
    </row>
    <row r="7" spans="1:42" x14ac:dyDescent="0.2">
      <c r="A7" t="s">
        <v>89</v>
      </c>
      <c r="B7" s="16" t="s">
        <v>1718</v>
      </c>
      <c r="C7" s="4">
        <f t="shared" ca="1" si="0"/>
        <v>0</v>
      </c>
      <c r="D7" s="4">
        <f t="shared" ca="1" si="0"/>
        <v>0</v>
      </c>
      <c r="E7" s="4">
        <f t="shared" ca="1" si="0"/>
        <v>0</v>
      </c>
      <c r="F7" s="4">
        <f t="shared" ca="1" si="0"/>
        <v>0</v>
      </c>
      <c r="G7" s="4">
        <f t="shared" ca="1" si="0"/>
        <v>0</v>
      </c>
      <c r="H7" s="4">
        <f t="shared" ca="1" si="0"/>
        <v>20</v>
      </c>
      <c r="I7" s="4">
        <f t="shared" ca="1" si="0"/>
        <v>20</v>
      </c>
      <c r="J7" s="8">
        <f t="shared" ca="1" si="0"/>
        <v>0</v>
      </c>
      <c r="K7" s="8">
        <f t="shared" ca="1" si="0"/>
        <v>0.03</v>
      </c>
      <c r="L7" s="8">
        <f t="shared" ca="1" si="0"/>
        <v>0</v>
      </c>
      <c r="M7" s="8">
        <f t="shared" ca="1" si="0"/>
        <v>0</v>
      </c>
      <c r="N7" s="8">
        <f t="shared" ca="1" si="1"/>
        <v>0</v>
      </c>
      <c r="O7" s="8">
        <f t="shared" ca="1" si="1"/>
        <v>0</v>
      </c>
      <c r="P7" s="4">
        <f t="shared" ca="1" si="1"/>
        <v>0</v>
      </c>
      <c r="Q7" s="8">
        <f t="shared" ca="1" si="1"/>
        <v>0</v>
      </c>
      <c r="R7" s="4">
        <f t="shared" ca="1" si="1"/>
        <v>0</v>
      </c>
      <c r="S7" s="4"/>
      <c r="T7" s="4">
        <f t="shared" ca="1" si="1"/>
        <v>0</v>
      </c>
      <c r="V7" t="str">
        <f t="shared" si="2"/>
        <v>-</v>
      </c>
      <c r="W7" t="s">
        <v>89</v>
      </c>
      <c r="X7" s="16" t="s">
        <v>1717</v>
      </c>
      <c r="Y7" s="4">
        <f t="shared" ca="1" si="3"/>
        <v>0</v>
      </c>
      <c r="Z7" s="4">
        <f t="shared" ca="1" si="3"/>
        <v>0</v>
      </c>
      <c r="AA7" s="4">
        <f t="shared" ca="1" si="3"/>
        <v>0</v>
      </c>
      <c r="AB7" s="4">
        <f t="shared" ca="1" si="3"/>
        <v>0</v>
      </c>
      <c r="AC7" s="4">
        <f t="shared" ca="1" si="3"/>
        <v>0</v>
      </c>
      <c r="AD7" s="4">
        <f t="shared" ca="1" si="3"/>
        <v>20</v>
      </c>
      <c r="AE7" s="4">
        <f t="shared" ca="1" si="3"/>
        <v>0</v>
      </c>
      <c r="AF7" s="8">
        <f t="shared" ca="1" si="3"/>
        <v>0</v>
      </c>
      <c r="AG7" s="8">
        <f t="shared" ca="1" si="3"/>
        <v>0</v>
      </c>
      <c r="AH7" s="8">
        <f t="shared" ca="1" si="3"/>
        <v>0</v>
      </c>
      <c r="AI7" s="8">
        <f t="shared" ca="1" si="3"/>
        <v>0</v>
      </c>
      <c r="AJ7" s="8">
        <f t="shared" ca="1" si="4"/>
        <v>0</v>
      </c>
      <c r="AK7" s="8">
        <f t="shared" ca="1" si="4"/>
        <v>0</v>
      </c>
      <c r="AL7" s="4">
        <f t="shared" ca="1" si="4"/>
        <v>0</v>
      </c>
      <c r="AM7" s="8">
        <f t="shared" ca="1" si="4"/>
        <v>0</v>
      </c>
      <c r="AN7" s="4">
        <f t="shared" ca="1" si="4"/>
        <v>0</v>
      </c>
      <c r="AO7" s="4"/>
      <c r="AP7" s="4">
        <f t="shared" ca="1" si="4"/>
        <v>7</v>
      </c>
    </row>
    <row r="8" spans="1:42" x14ac:dyDescent="0.2">
      <c r="A8" t="s">
        <v>90</v>
      </c>
      <c r="B8" s="16" t="s">
        <v>1142</v>
      </c>
      <c r="C8" s="4">
        <f t="shared" ca="1" si="0"/>
        <v>0</v>
      </c>
      <c r="D8" s="4">
        <f t="shared" ca="1" si="0"/>
        <v>0</v>
      </c>
      <c r="E8" s="4">
        <f t="shared" ca="1" si="0"/>
        <v>0</v>
      </c>
      <c r="F8" s="4">
        <f t="shared" ca="1" si="0"/>
        <v>0</v>
      </c>
      <c r="G8" s="4">
        <f t="shared" ca="1" si="0"/>
        <v>0</v>
      </c>
      <c r="H8" s="4">
        <f t="shared" ca="1" si="0"/>
        <v>0</v>
      </c>
      <c r="I8" s="4">
        <f t="shared" ca="1" si="0"/>
        <v>0</v>
      </c>
      <c r="J8" s="8">
        <f t="shared" ca="1" si="0"/>
        <v>0</v>
      </c>
      <c r="K8" s="8">
        <f t="shared" ca="1" si="0"/>
        <v>0.05</v>
      </c>
      <c r="L8" s="8">
        <f t="shared" ca="1" si="0"/>
        <v>0</v>
      </c>
      <c r="M8" s="8">
        <f t="shared" ca="1" si="0"/>
        <v>0</v>
      </c>
      <c r="N8" s="8">
        <f t="shared" ca="1" si="1"/>
        <v>0</v>
      </c>
      <c r="O8" s="8">
        <f t="shared" ca="1" si="1"/>
        <v>0</v>
      </c>
      <c r="P8" s="4">
        <f t="shared" ca="1" si="1"/>
        <v>0</v>
      </c>
      <c r="Q8" s="8">
        <f t="shared" ca="1" si="1"/>
        <v>0</v>
      </c>
      <c r="R8" s="4">
        <f t="shared" ca="1" si="1"/>
        <v>0</v>
      </c>
      <c r="S8" s="4"/>
      <c r="T8" s="4">
        <f t="shared" ca="1" si="1"/>
        <v>1</v>
      </c>
      <c r="V8" t="str">
        <f t="shared" si="2"/>
        <v>=</v>
      </c>
      <c r="W8" t="s">
        <v>90</v>
      </c>
      <c r="X8" s="16" t="s">
        <v>1142</v>
      </c>
      <c r="Y8" s="4">
        <f t="shared" ca="1" si="3"/>
        <v>0</v>
      </c>
      <c r="Z8" s="4">
        <f t="shared" ca="1" si="3"/>
        <v>0</v>
      </c>
      <c r="AA8" s="4">
        <f t="shared" ca="1" si="3"/>
        <v>0</v>
      </c>
      <c r="AB8" s="4">
        <f t="shared" ca="1" si="3"/>
        <v>0</v>
      </c>
      <c r="AC8" s="4">
        <f t="shared" ca="1" si="3"/>
        <v>0</v>
      </c>
      <c r="AD8" s="4">
        <f t="shared" ca="1" si="3"/>
        <v>0</v>
      </c>
      <c r="AE8" s="4">
        <f t="shared" ca="1" si="3"/>
        <v>0</v>
      </c>
      <c r="AF8" s="8">
        <f t="shared" ca="1" si="3"/>
        <v>0</v>
      </c>
      <c r="AG8" s="8">
        <f t="shared" ca="1" si="3"/>
        <v>0.05</v>
      </c>
      <c r="AH8" s="8">
        <f t="shared" ca="1" si="3"/>
        <v>0</v>
      </c>
      <c r="AI8" s="8">
        <f t="shared" ca="1" si="3"/>
        <v>0</v>
      </c>
      <c r="AJ8" s="8">
        <f t="shared" ca="1" si="4"/>
        <v>0</v>
      </c>
      <c r="AK8" s="8">
        <f t="shared" ca="1" si="4"/>
        <v>0</v>
      </c>
      <c r="AL8" s="4">
        <f t="shared" ca="1" si="4"/>
        <v>0</v>
      </c>
      <c r="AM8" s="8">
        <f t="shared" ca="1" si="4"/>
        <v>0</v>
      </c>
      <c r="AN8" s="4">
        <f t="shared" ca="1" si="4"/>
        <v>0</v>
      </c>
      <c r="AO8" s="4"/>
      <c r="AP8" s="4">
        <f t="shared" ca="1" si="4"/>
        <v>1</v>
      </c>
    </row>
    <row r="9" spans="1:42" x14ac:dyDescent="0.2">
      <c r="A9" t="s">
        <v>90</v>
      </c>
      <c r="B9" s="16" t="s">
        <v>1719</v>
      </c>
      <c r="C9" s="4">
        <f t="shared" ca="1" si="0"/>
        <v>0</v>
      </c>
      <c r="D9" s="4">
        <f t="shared" ca="1" si="0"/>
        <v>5</v>
      </c>
      <c r="E9" s="4">
        <f t="shared" ca="1" si="0"/>
        <v>5</v>
      </c>
      <c r="F9" s="4">
        <f t="shared" ca="1" si="0"/>
        <v>0</v>
      </c>
      <c r="G9" s="4">
        <f t="shared" ca="1" si="0"/>
        <v>0</v>
      </c>
      <c r="H9" s="4">
        <f t="shared" ca="1" si="0"/>
        <v>0</v>
      </c>
      <c r="I9" s="4">
        <f t="shared" ca="1" si="0"/>
        <v>0</v>
      </c>
      <c r="J9" s="8">
        <f t="shared" ca="1" si="0"/>
        <v>0</v>
      </c>
      <c r="K9" s="8">
        <f t="shared" ca="1" si="0"/>
        <v>0.05</v>
      </c>
      <c r="L9" s="8">
        <f t="shared" ca="1" si="0"/>
        <v>0</v>
      </c>
      <c r="M9" s="8">
        <f t="shared" ca="1" si="0"/>
        <v>0</v>
      </c>
      <c r="N9" s="8">
        <f t="shared" ca="1" si="1"/>
        <v>0</v>
      </c>
      <c r="O9" s="8">
        <f t="shared" ca="1" si="1"/>
        <v>0</v>
      </c>
      <c r="P9" s="4">
        <f t="shared" ca="1" si="1"/>
        <v>0</v>
      </c>
      <c r="Q9" s="8">
        <f t="shared" ca="1" si="1"/>
        <v>0</v>
      </c>
      <c r="R9" s="4">
        <f t="shared" ca="1" si="1"/>
        <v>0</v>
      </c>
      <c r="S9" s="4"/>
      <c r="T9" s="4">
        <f t="shared" ca="1" si="1"/>
        <v>5</v>
      </c>
      <c r="V9" t="str">
        <f t="shared" si="2"/>
        <v>=</v>
      </c>
      <c r="W9" t="s">
        <v>90</v>
      </c>
      <c r="X9" s="16" t="s">
        <v>1719</v>
      </c>
      <c r="Y9" s="4">
        <f t="shared" ca="1" si="3"/>
        <v>0</v>
      </c>
      <c r="Z9" s="4">
        <f t="shared" ca="1" si="3"/>
        <v>5</v>
      </c>
      <c r="AA9" s="4">
        <f t="shared" ca="1" si="3"/>
        <v>5</v>
      </c>
      <c r="AB9" s="4">
        <f t="shared" ca="1" si="3"/>
        <v>0</v>
      </c>
      <c r="AC9" s="4">
        <f t="shared" ca="1" si="3"/>
        <v>0</v>
      </c>
      <c r="AD9" s="4">
        <f t="shared" ca="1" si="3"/>
        <v>0</v>
      </c>
      <c r="AE9" s="4">
        <f t="shared" ca="1" si="3"/>
        <v>0</v>
      </c>
      <c r="AF9" s="8">
        <f t="shared" ca="1" si="3"/>
        <v>0</v>
      </c>
      <c r="AG9" s="8">
        <f t="shared" ca="1" si="3"/>
        <v>0.05</v>
      </c>
      <c r="AH9" s="8">
        <f t="shared" ca="1" si="3"/>
        <v>0</v>
      </c>
      <c r="AI9" s="8">
        <f t="shared" ca="1" si="3"/>
        <v>0</v>
      </c>
      <c r="AJ9" s="8">
        <f t="shared" ca="1" si="4"/>
        <v>0</v>
      </c>
      <c r="AK9" s="8">
        <f t="shared" ca="1" si="4"/>
        <v>0</v>
      </c>
      <c r="AL9" s="4">
        <f t="shared" ca="1" si="4"/>
        <v>0</v>
      </c>
      <c r="AM9" s="8">
        <f t="shared" ca="1" si="4"/>
        <v>0</v>
      </c>
      <c r="AN9" s="4">
        <f t="shared" ca="1" si="4"/>
        <v>0</v>
      </c>
      <c r="AO9" s="4"/>
      <c r="AP9" s="4">
        <f t="shared" ca="1" si="4"/>
        <v>5</v>
      </c>
    </row>
    <row r="10" spans="1:42" x14ac:dyDescent="0.2">
      <c r="A10" t="s">
        <v>91</v>
      </c>
      <c r="B10" s="16" t="s">
        <v>1706</v>
      </c>
      <c r="C10" s="4">
        <f t="shared" ca="1" si="0"/>
        <v>0</v>
      </c>
      <c r="D10" s="4">
        <f t="shared" ca="1" si="0"/>
        <v>41</v>
      </c>
      <c r="E10" s="4">
        <f t="shared" ca="1" si="0"/>
        <v>31</v>
      </c>
      <c r="F10" s="4">
        <f t="shared" ca="1" si="0"/>
        <v>31</v>
      </c>
      <c r="G10" s="4">
        <f t="shared" ca="1" si="0"/>
        <v>41</v>
      </c>
      <c r="H10" s="4">
        <f t="shared" ca="1" si="0"/>
        <v>35</v>
      </c>
      <c r="I10" s="4">
        <f t="shared" ca="1" si="0"/>
        <v>57</v>
      </c>
      <c r="J10" s="8">
        <f t="shared" ca="1" si="0"/>
        <v>0</v>
      </c>
      <c r="K10" s="8">
        <f t="shared" ca="1" si="0"/>
        <v>0</v>
      </c>
      <c r="L10" s="8">
        <f t="shared" ca="1" si="0"/>
        <v>0</v>
      </c>
      <c r="M10" s="8">
        <f t="shared" ca="1" si="0"/>
        <v>0</v>
      </c>
      <c r="N10" s="8">
        <f t="shared" ca="1" si="1"/>
        <v>0</v>
      </c>
      <c r="O10" s="8">
        <f t="shared" ca="1" si="1"/>
        <v>0</v>
      </c>
      <c r="P10" s="4">
        <f t="shared" ca="1" si="1"/>
        <v>30</v>
      </c>
      <c r="Q10" s="8">
        <f t="shared" ca="1" si="1"/>
        <v>0</v>
      </c>
      <c r="R10" s="4">
        <f t="shared" ca="1" si="1"/>
        <v>0</v>
      </c>
      <c r="S10" s="4"/>
      <c r="T10" s="4">
        <f t="shared" ca="1" si="1"/>
        <v>8</v>
      </c>
      <c r="V10" t="str">
        <f t="shared" si="2"/>
        <v>=</v>
      </c>
      <c r="W10" t="s">
        <v>91</v>
      </c>
      <c r="X10" s="16" t="s">
        <v>1706</v>
      </c>
      <c r="Y10" s="4">
        <f t="shared" ca="1" si="3"/>
        <v>0</v>
      </c>
      <c r="Z10" s="4">
        <f t="shared" ca="1" si="3"/>
        <v>41</v>
      </c>
      <c r="AA10" s="4">
        <f t="shared" ca="1" si="3"/>
        <v>31</v>
      </c>
      <c r="AB10" s="4">
        <f t="shared" ca="1" si="3"/>
        <v>31</v>
      </c>
      <c r="AC10" s="4">
        <f t="shared" ca="1" si="3"/>
        <v>41</v>
      </c>
      <c r="AD10" s="4">
        <f t="shared" ca="1" si="3"/>
        <v>35</v>
      </c>
      <c r="AE10" s="4">
        <f t="shared" ca="1" si="3"/>
        <v>57</v>
      </c>
      <c r="AF10" s="8">
        <f t="shared" ca="1" si="3"/>
        <v>0</v>
      </c>
      <c r="AG10" s="8">
        <f t="shared" ca="1" si="3"/>
        <v>0</v>
      </c>
      <c r="AH10" s="8">
        <f t="shared" ca="1" si="3"/>
        <v>0</v>
      </c>
      <c r="AI10" s="8">
        <f t="shared" ca="1" si="3"/>
        <v>0</v>
      </c>
      <c r="AJ10" s="8">
        <f t="shared" ca="1" si="4"/>
        <v>0</v>
      </c>
      <c r="AK10" s="8">
        <f t="shared" ca="1" si="4"/>
        <v>0</v>
      </c>
      <c r="AL10" s="4">
        <f t="shared" ca="1" si="4"/>
        <v>30</v>
      </c>
      <c r="AM10" s="8">
        <f t="shared" ca="1" si="4"/>
        <v>0</v>
      </c>
      <c r="AN10" s="4">
        <f t="shared" ca="1" si="4"/>
        <v>0</v>
      </c>
      <c r="AO10" s="4"/>
      <c r="AP10" s="4">
        <f t="shared" ca="1" si="4"/>
        <v>8</v>
      </c>
    </row>
    <row r="11" spans="1:42" x14ac:dyDescent="0.2">
      <c r="A11" t="s">
        <v>92</v>
      </c>
      <c r="B11" s="16" t="s">
        <v>1871</v>
      </c>
      <c r="C11" s="4">
        <f t="shared" ca="1" si="0"/>
        <v>0</v>
      </c>
      <c r="D11" s="4">
        <f t="shared" ca="1" si="0"/>
        <v>23</v>
      </c>
      <c r="E11" s="4">
        <f t="shared" ca="1" si="0"/>
        <v>34</v>
      </c>
      <c r="F11" s="4">
        <f t="shared" ca="1" si="0"/>
        <v>0</v>
      </c>
      <c r="G11" s="4">
        <f t="shared" ca="1" si="0"/>
        <v>45</v>
      </c>
      <c r="H11" s="4">
        <f t="shared" ca="1" si="0"/>
        <v>47</v>
      </c>
      <c r="I11" s="4">
        <f t="shared" ca="1" si="0"/>
        <v>43</v>
      </c>
      <c r="J11" s="8">
        <f t="shared" ca="1" si="0"/>
        <v>0</v>
      </c>
      <c r="K11" s="8">
        <f t="shared" ca="1" si="0"/>
        <v>0.06</v>
      </c>
      <c r="L11" s="8">
        <f t="shared" ca="1" si="0"/>
        <v>0</v>
      </c>
      <c r="M11" s="8">
        <f t="shared" ca="1" si="0"/>
        <v>0</v>
      </c>
      <c r="N11" s="8">
        <f t="shared" ca="1" si="1"/>
        <v>0</v>
      </c>
      <c r="O11" s="8">
        <f t="shared" ca="1" si="1"/>
        <v>0</v>
      </c>
      <c r="P11" s="4">
        <f t="shared" ca="1" si="1"/>
        <v>30</v>
      </c>
      <c r="Q11" s="8">
        <f t="shared" ca="1" si="1"/>
        <v>0</v>
      </c>
      <c r="R11" s="4">
        <f t="shared" ca="1" si="1"/>
        <v>0</v>
      </c>
      <c r="S11" s="4"/>
      <c r="T11" s="4">
        <f t="shared" ca="1" si="1"/>
        <v>0</v>
      </c>
      <c r="V11" t="str">
        <f t="shared" si="2"/>
        <v>=</v>
      </c>
      <c r="W11" t="s">
        <v>92</v>
      </c>
      <c r="X11" s="16" t="s">
        <v>1871</v>
      </c>
      <c r="Y11" s="4">
        <f t="shared" ca="1" si="3"/>
        <v>0</v>
      </c>
      <c r="Z11" s="4">
        <f t="shared" ca="1" si="3"/>
        <v>23</v>
      </c>
      <c r="AA11" s="4">
        <f t="shared" ca="1" si="3"/>
        <v>34</v>
      </c>
      <c r="AB11" s="4">
        <f t="shared" ca="1" si="3"/>
        <v>0</v>
      </c>
      <c r="AC11" s="4">
        <f t="shared" ca="1" si="3"/>
        <v>45</v>
      </c>
      <c r="AD11" s="4">
        <f t="shared" ca="1" si="3"/>
        <v>47</v>
      </c>
      <c r="AE11" s="4">
        <f t="shared" ca="1" si="3"/>
        <v>43</v>
      </c>
      <c r="AF11" s="8">
        <f t="shared" ca="1" si="3"/>
        <v>0</v>
      </c>
      <c r="AG11" s="8">
        <f t="shared" ca="1" si="3"/>
        <v>0.06</v>
      </c>
      <c r="AH11" s="8">
        <f t="shared" ca="1" si="3"/>
        <v>0</v>
      </c>
      <c r="AI11" s="8">
        <f t="shared" ca="1" si="3"/>
        <v>0</v>
      </c>
      <c r="AJ11" s="8">
        <f t="shared" ca="1" si="4"/>
        <v>0</v>
      </c>
      <c r="AK11" s="8">
        <f t="shared" ca="1" si="4"/>
        <v>0</v>
      </c>
      <c r="AL11" s="4">
        <f t="shared" ca="1" si="4"/>
        <v>30</v>
      </c>
      <c r="AM11" s="8">
        <f t="shared" ca="1" si="4"/>
        <v>0</v>
      </c>
      <c r="AN11" s="4">
        <f t="shared" ca="1" si="4"/>
        <v>0</v>
      </c>
      <c r="AO11" s="4"/>
      <c r="AP11" s="4">
        <f t="shared" ca="1" si="4"/>
        <v>0</v>
      </c>
    </row>
    <row r="12" spans="1:42" x14ac:dyDescent="0.2">
      <c r="A12" t="s">
        <v>93</v>
      </c>
      <c r="B12" s="16" t="s">
        <v>1720</v>
      </c>
      <c r="C12" s="4">
        <f t="shared" ca="1" si="0"/>
        <v>0</v>
      </c>
      <c r="D12" s="4">
        <f t="shared" ca="1" si="0"/>
        <v>10</v>
      </c>
      <c r="E12" s="4">
        <f t="shared" ca="1" si="0"/>
        <v>10</v>
      </c>
      <c r="F12" s="4">
        <f t="shared" ca="1" si="0"/>
        <v>0</v>
      </c>
      <c r="G12" s="4">
        <f t="shared" ca="1" si="0"/>
        <v>10</v>
      </c>
      <c r="H12" s="4">
        <f t="shared" ca="1" si="0"/>
        <v>0</v>
      </c>
      <c r="I12" s="4">
        <f t="shared" ca="1" si="0"/>
        <v>0</v>
      </c>
      <c r="J12" s="8">
        <f t="shared" ca="1" si="0"/>
        <v>0</v>
      </c>
      <c r="K12" s="8">
        <f t="shared" ca="1" si="0"/>
        <v>0</v>
      </c>
      <c r="L12" s="8">
        <f t="shared" ca="1" si="0"/>
        <v>0</v>
      </c>
      <c r="M12" s="8">
        <f t="shared" ca="1" si="0"/>
        <v>0.03</v>
      </c>
      <c r="N12" s="8">
        <f t="shared" ca="1" si="1"/>
        <v>0</v>
      </c>
      <c r="O12" s="8">
        <f t="shared" ca="1" si="1"/>
        <v>0</v>
      </c>
      <c r="P12" s="4">
        <f t="shared" ca="1" si="1"/>
        <v>0</v>
      </c>
      <c r="Q12" s="8">
        <f t="shared" ca="1" si="1"/>
        <v>0</v>
      </c>
      <c r="R12" s="4">
        <f t="shared" ca="1" si="1"/>
        <v>0</v>
      </c>
      <c r="S12" s="4"/>
      <c r="T12" s="4">
        <f t="shared" ca="1" si="1"/>
        <v>0</v>
      </c>
      <c r="V12" t="str">
        <f t="shared" si="2"/>
        <v>=</v>
      </c>
      <c r="W12" t="s">
        <v>93</v>
      </c>
      <c r="X12" s="16" t="s">
        <v>1720</v>
      </c>
      <c r="Y12" s="4">
        <f t="shared" ca="1" si="3"/>
        <v>0</v>
      </c>
      <c r="Z12" s="4">
        <f t="shared" ca="1" si="3"/>
        <v>10</v>
      </c>
      <c r="AA12" s="4">
        <f t="shared" ca="1" si="3"/>
        <v>10</v>
      </c>
      <c r="AB12" s="4">
        <f t="shared" ca="1" si="3"/>
        <v>0</v>
      </c>
      <c r="AC12" s="4">
        <f t="shared" ca="1" si="3"/>
        <v>10</v>
      </c>
      <c r="AD12" s="4">
        <f t="shared" ca="1" si="3"/>
        <v>0</v>
      </c>
      <c r="AE12" s="4">
        <f t="shared" ca="1" si="3"/>
        <v>0</v>
      </c>
      <c r="AF12" s="8">
        <f t="shared" ca="1" si="3"/>
        <v>0</v>
      </c>
      <c r="AG12" s="8">
        <f t="shared" ca="1" si="3"/>
        <v>0</v>
      </c>
      <c r="AH12" s="8">
        <f t="shared" ca="1" si="3"/>
        <v>0</v>
      </c>
      <c r="AI12" s="8">
        <f t="shared" ca="1" si="3"/>
        <v>0.03</v>
      </c>
      <c r="AJ12" s="8">
        <f t="shared" ca="1" si="4"/>
        <v>0</v>
      </c>
      <c r="AK12" s="8">
        <f t="shared" ca="1" si="4"/>
        <v>0</v>
      </c>
      <c r="AL12" s="4">
        <f t="shared" ca="1" si="4"/>
        <v>0</v>
      </c>
      <c r="AM12" s="8">
        <f t="shared" ca="1" si="4"/>
        <v>0</v>
      </c>
      <c r="AN12" s="4">
        <f t="shared" ca="1" si="4"/>
        <v>0</v>
      </c>
      <c r="AO12" s="4"/>
      <c r="AP12" s="4">
        <f t="shared" ca="1" si="4"/>
        <v>0</v>
      </c>
    </row>
    <row r="13" spans="1:42" x14ac:dyDescent="0.2">
      <c r="A13" t="s">
        <v>93</v>
      </c>
      <c r="B13" s="16" t="s">
        <v>1238</v>
      </c>
      <c r="C13" s="4">
        <f t="shared" ca="1" si="0"/>
        <v>0</v>
      </c>
      <c r="D13" s="4">
        <f t="shared" ca="1" si="0"/>
        <v>3</v>
      </c>
      <c r="E13" s="4">
        <f t="shared" ca="1" si="0"/>
        <v>3</v>
      </c>
      <c r="F13" s="4">
        <f t="shared" ca="1" si="0"/>
        <v>3</v>
      </c>
      <c r="G13" s="4">
        <f t="shared" ca="1" si="0"/>
        <v>3</v>
      </c>
      <c r="H13" s="4">
        <f t="shared" ca="1" si="0"/>
        <v>0</v>
      </c>
      <c r="I13" s="4">
        <f t="shared" ca="1" si="0"/>
        <v>0</v>
      </c>
      <c r="J13" s="8">
        <f t="shared" ca="1" si="0"/>
        <v>0</v>
      </c>
      <c r="K13" s="8">
        <f t="shared" ca="1" si="0"/>
        <v>0.01</v>
      </c>
      <c r="L13" s="8">
        <f t="shared" ca="1" si="0"/>
        <v>0</v>
      </c>
      <c r="M13" s="8">
        <f t="shared" ca="1" si="0"/>
        <v>0</v>
      </c>
      <c r="N13" s="8">
        <f t="shared" ca="1" si="1"/>
        <v>0</v>
      </c>
      <c r="O13" s="8">
        <f t="shared" ca="1" si="1"/>
        <v>0</v>
      </c>
      <c r="P13" s="4">
        <f t="shared" ca="1" si="1"/>
        <v>0</v>
      </c>
      <c r="Q13" s="8">
        <f t="shared" ca="1" si="1"/>
        <v>0</v>
      </c>
      <c r="R13" s="4">
        <f t="shared" ca="1" si="1"/>
        <v>0</v>
      </c>
      <c r="S13" s="4"/>
      <c r="T13" s="4">
        <f t="shared" ca="1" si="1"/>
        <v>5</v>
      </c>
      <c r="V13" t="str">
        <f t="shared" si="2"/>
        <v>=</v>
      </c>
      <c r="W13" t="s">
        <v>93</v>
      </c>
      <c r="X13" s="16" t="s">
        <v>1238</v>
      </c>
      <c r="Y13" s="4">
        <f t="shared" ca="1" si="3"/>
        <v>0</v>
      </c>
      <c r="Z13" s="4">
        <f t="shared" ca="1" si="3"/>
        <v>3</v>
      </c>
      <c r="AA13" s="4">
        <f t="shared" ca="1" si="3"/>
        <v>3</v>
      </c>
      <c r="AB13" s="4">
        <f t="shared" ca="1" si="3"/>
        <v>3</v>
      </c>
      <c r="AC13" s="4">
        <f t="shared" ca="1" si="3"/>
        <v>3</v>
      </c>
      <c r="AD13" s="4">
        <f t="shared" ca="1" si="3"/>
        <v>0</v>
      </c>
      <c r="AE13" s="4">
        <f t="shared" ca="1" si="3"/>
        <v>0</v>
      </c>
      <c r="AF13" s="8">
        <f t="shared" ca="1" si="3"/>
        <v>0</v>
      </c>
      <c r="AG13" s="8">
        <f t="shared" ca="1" si="3"/>
        <v>0.01</v>
      </c>
      <c r="AH13" s="8">
        <f t="shared" ca="1" si="3"/>
        <v>0</v>
      </c>
      <c r="AI13" s="8">
        <f t="shared" ca="1" si="3"/>
        <v>0</v>
      </c>
      <c r="AJ13" s="8">
        <f t="shared" ca="1" si="4"/>
        <v>0</v>
      </c>
      <c r="AK13" s="8">
        <f t="shared" ca="1" si="4"/>
        <v>0</v>
      </c>
      <c r="AL13" s="4">
        <f t="shared" ca="1" si="4"/>
        <v>0</v>
      </c>
      <c r="AM13" s="8">
        <f t="shared" ca="1" si="4"/>
        <v>0</v>
      </c>
      <c r="AN13" s="4">
        <f t="shared" ca="1" si="4"/>
        <v>0</v>
      </c>
      <c r="AO13" s="4"/>
      <c r="AP13" s="4">
        <f t="shared" ca="1" si="4"/>
        <v>5</v>
      </c>
    </row>
    <row r="14" spans="1:42" x14ac:dyDescent="0.2">
      <c r="A14" t="s">
        <v>94</v>
      </c>
      <c r="B14" s="16" t="s">
        <v>1417</v>
      </c>
      <c r="C14" s="4">
        <f t="shared" ca="1" si="0"/>
        <v>0</v>
      </c>
      <c r="D14" s="4">
        <f t="shared" ca="1" si="0"/>
        <v>30</v>
      </c>
      <c r="E14" s="4">
        <f t="shared" ca="1" si="0"/>
        <v>0</v>
      </c>
      <c r="F14" s="4">
        <f t="shared" ca="1" si="0"/>
        <v>0</v>
      </c>
      <c r="G14" s="4">
        <f t="shared" ca="1" si="0"/>
        <v>0</v>
      </c>
      <c r="H14" s="4">
        <f t="shared" ca="1" si="0"/>
        <v>20</v>
      </c>
      <c r="I14" s="4">
        <f t="shared" ca="1" si="0"/>
        <v>20</v>
      </c>
      <c r="J14" s="8">
        <f t="shared" ca="1" si="0"/>
        <v>0</v>
      </c>
      <c r="K14" s="8">
        <f t="shared" ca="1" si="0"/>
        <v>0.1</v>
      </c>
      <c r="L14" s="8">
        <f t="shared" ca="1" si="0"/>
        <v>0</v>
      </c>
      <c r="M14" s="8">
        <f t="shared" ca="1" si="0"/>
        <v>0</v>
      </c>
      <c r="N14" s="8">
        <f t="shared" ca="1" si="1"/>
        <v>0</v>
      </c>
      <c r="O14" s="8">
        <f t="shared" ca="1" si="1"/>
        <v>0</v>
      </c>
      <c r="P14" s="4">
        <f t="shared" ca="1" si="1"/>
        <v>0</v>
      </c>
      <c r="Q14" s="8">
        <f t="shared" ca="1" si="1"/>
        <v>0</v>
      </c>
      <c r="R14" s="4">
        <f t="shared" ca="1" si="1"/>
        <v>0</v>
      </c>
      <c r="S14" s="4"/>
      <c r="T14" s="4">
        <f t="shared" ca="1" si="1"/>
        <v>0</v>
      </c>
      <c r="V14" t="str">
        <f t="shared" si="2"/>
        <v>=</v>
      </c>
      <c r="W14" t="s">
        <v>94</v>
      </c>
      <c r="X14" s="16" t="s">
        <v>1417</v>
      </c>
      <c r="Y14" s="4">
        <f t="shared" ca="1" si="3"/>
        <v>0</v>
      </c>
      <c r="Z14" s="4">
        <f t="shared" ca="1" si="3"/>
        <v>30</v>
      </c>
      <c r="AA14" s="4">
        <f t="shared" ca="1" si="3"/>
        <v>0</v>
      </c>
      <c r="AB14" s="4">
        <f t="shared" ca="1" si="3"/>
        <v>0</v>
      </c>
      <c r="AC14" s="4">
        <f t="shared" ca="1" si="3"/>
        <v>0</v>
      </c>
      <c r="AD14" s="4">
        <f t="shared" ca="1" si="3"/>
        <v>20</v>
      </c>
      <c r="AE14" s="4">
        <f t="shared" ca="1" si="3"/>
        <v>20</v>
      </c>
      <c r="AF14" s="8">
        <f t="shared" ca="1" si="3"/>
        <v>0</v>
      </c>
      <c r="AG14" s="8">
        <f t="shared" ca="1" si="3"/>
        <v>0.1</v>
      </c>
      <c r="AH14" s="8">
        <f t="shared" ca="1" si="3"/>
        <v>0</v>
      </c>
      <c r="AI14" s="8">
        <f t="shared" ca="1" si="3"/>
        <v>0</v>
      </c>
      <c r="AJ14" s="8">
        <f t="shared" ca="1" si="4"/>
        <v>0</v>
      </c>
      <c r="AK14" s="8">
        <f t="shared" ca="1" si="4"/>
        <v>0</v>
      </c>
      <c r="AL14" s="4">
        <f t="shared" ca="1" si="4"/>
        <v>0</v>
      </c>
      <c r="AM14" s="8">
        <f t="shared" ca="1" si="4"/>
        <v>0</v>
      </c>
      <c r="AN14" s="4">
        <f t="shared" ca="1" si="4"/>
        <v>0</v>
      </c>
      <c r="AO14" s="4"/>
      <c r="AP14" s="4">
        <f t="shared" ca="1" si="4"/>
        <v>0</v>
      </c>
    </row>
    <row r="15" spans="1:42" x14ac:dyDescent="0.2">
      <c r="A15" t="s">
        <v>95</v>
      </c>
      <c r="B15" s="16" t="s">
        <v>1077</v>
      </c>
      <c r="C15" s="4">
        <f t="shared" ca="1" si="0"/>
        <v>0</v>
      </c>
      <c r="D15" s="4">
        <f t="shared" ca="1" si="0"/>
        <v>0</v>
      </c>
      <c r="E15" s="4">
        <f t="shared" ca="1" si="0"/>
        <v>0</v>
      </c>
      <c r="F15" s="4">
        <f t="shared" ca="1" si="0"/>
        <v>0</v>
      </c>
      <c r="G15" s="4">
        <f t="shared" ca="1" si="0"/>
        <v>0</v>
      </c>
      <c r="H15" s="4">
        <f t="shared" ca="1" si="0"/>
        <v>0</v>
      </c>
      <c r="I15" s="4">
        <f t="shared" ca="1" si="0"/>
        <v>2</v>
      </c>
      <c r="J15" s="8">
        <f t="shared" ca="1" si="0"/>
        <v>0</v>
      </c>
      <c r="K15" s="8">
        <f t="shared" ca="1" si="0"/>
        <v>0</v>
      </c>
      <c r="L15" s="8">
        <f t="shared" ca="1" si="0"/>
        <v>0.02</v>
      </c>
      <c r="M15" s="8">
        <f t="shared" ca="1" si="0"/>
        <v>0.02</v>
      </c>
      <c r="N15" s="8">
        <f t="shared" ca="1" si="1"/>
        <v>0</v>
      </c>
      <c r="O15" s="8">
        <f t="shared" ca="1" si="1"/>
        <v>0</v>
      </c>
      <c r="P15" s="4">
        <f t="shared" ca="1" si="1"/>
        <v>0</v>
      </c>
      <c r="Q15" s="8">
        <f t="shared" ca="1" si="1"/>
        <v>0</v>
      </c>
      <c r="R15" s="4">
        <f t="shared" ca="1" si="1"/>
        <v>0</v>
      </c>
      <c r="S15" s="4"/>
      <c r="T15" s="4">
        <f t="shared" ca="1" si="1"/>
        <v>0</v>
      </c>
      <c r="V15" t="str">
        <f t="shared" si="2"/>
        <v>=</v>
      </c>
      <c r="W15" t="s">
        <v>95</v>
      </c>
      <c r="X15" s="16" t="s">
        <v>1077</v>
      </c>
      <c r="Y15" s="4">
        <f t="shared" ca="1" si="3"/>
        <v>0</v>
      </c>
      <c r="Z15" s="4">
        <f t="shared" ca="1" si="3"/>
        <v>0</v>
      </c>
      <c r="AA15" s="4">
        <f t="shared" ca="1" si="3"/>
        <v>0</v>
      </c>
      <c r="AB15" s="4">
        <f t="shared" ca="1" si="3"/>
        <v>0</v>
      </c>
      <c r="AC15" s="4">
        <f t="shared" ca="1" si="3"/>
        <v>0</v>
      </c>
      <c r="AD15" s="4">
        <f t="shared" ca="1" si="3"/>
        <v>0</v>
      </c>
      <c r="AE15" s="4">
        <f t="shared" ca="1" si="3"/>
        <v>2</v>
      </c>
      <c r="AF15" s="8">
        <f t="shared" ca="1" si="3"/>
        <v>0</v>
      </c>
      <c r="AG15" s="8">
        <f t="shared" ca="1" si="3"/>
        <v>0</v>
      </c>
      <c r="AH15" s="8">
        <f t="shared" ca="1" si="3"/>
        <v>0.02</v>
      </c>
      <c r="AI15" s="8">
        <f t="shared" ca="1" si="3"/>
        <v>0.02</v>
      </c>
      <c r="AJ15" s="8">
        <f t="shared" ca="1" si="4"/>
        <v>0</v>
      </c>
      <c r="AK15" s="8">
        <f t="shared" ca="1" si="4"/>
        <v>0</v>
      </c>
      <c r="AL15" s="4">
        <f t="shared" ca="1" si="4"/>
        <v>0</v>
      </c>
      <c r="AM15" s="8">
        <f t="shared" ca="1" si="4"/>
        <v>0</v>
      </c>
      <c r="AN15" s="4">
        <f t="shared" ca="1" si="4"/>
        <v>0</v>
      </c>
      <c r="AO15" s="4"/>
      <c r="AP15" s="4">
        <f t="shared" ca="1" si="4"/>
        <v>0</v>
      </c>
    </row>
    <row r="16" spans="1:42" x14ac:dyDescent="0.2">
      <c r="A16" t="s">
        <v>96</v>
      </c>
      <c r="B16" s="16" t="s">
        <v>1872</v>
      </c>
      <c r="C16" s="4">
        <f t="shared" ca="1" si="0"/>
        <v>0</v>
      </c>
      <c r="D16" s="4">
        <f t="shared" ca="1" si="0"/>
        <v>47</v>
      </c>
      <c r="E16" s="4">
        <f t="shared" ca="1" si="0"/>
        <v>0</v>
      </c>
      <c r="F16" s="4">
        <f t="shared" ca="1" si="0"/>
        <v>14</v>
      </c>
      <c r="G16" s="4">
        <f t="shared" ca="1" si="0"/>
        <v>33</v>
      </c>
      <c r="H16" s="4">
        <f t="shared" ca="1" si="0"/>
        <v>49</v>
      </c>
      <c r="I16" s="4">
        <f t="shared" ca="1" si="0"/>
        <v>45</v>
      </c>
      <c r="J16" s="8">
        <f t="shared" ca="1" si="0"/>
        <v>0</v>
      </c>
      <c r="K16" s="8">
        <f t="shared" ca="1" si="0"/>
        <v>0</v>
      </c>
      <c r="L16" s="8">
        <f t="shared" ca="1" si="0"/>
        <v>0.04</v>
      </c>
      <c r="M16" s="8">
        <f t="shared" ca="1" si="0"/>
        <v>0</v>
      </c>
      <c r="N16" s="8">
        <f t="shared" ca="1" si="1"/>
        <v>0</v>
      </c>
      <c r="O16" s="8">
        <f t="shared" ca="1" si="1"/>
        <v>0</v>
      </c>
      <c r="P16" s="4">
        <f t="shared" ca="1" si="1"/>
        <v>20</v>
      </c>
      <c r="Q16" s="8">
        <f t="shared" ca="1" si="1"/>
        <v>0</v>
      </c>
      <c r="R16" s="4">
        <f t="shared" ca="1" si="1"/>
        <v>0</v>
      </c>
      <c r="S16" s="4"/>
      <c r="T16" s="4">
        <f t="shared" ca="1" si="1"/>
        <v>0</v>
      </c>
      <c r="V16" t="str">
        <f t="shared" si="2"/>
        <v>=</v>
      </c>
      <c r="W16" t="s">
        <v>96</v>
      </c>
      <c r="X16" s="16" t="s">
        <v>1872</v>
      </c>
      <c r="Y16" s="4">
        <f t="shared" ca="1" si="3"/>
        <v>0</v>
      </c>
      <c r="Z16" s="4">
        <f t="shared" ca="1" si="3"/>
        <v>47</v>
      </c>
      <c r="AA16" s="4">
        <f t="shared" ca="1" si="3"/>
        <v>0</v>
      </c>
      <c r="AB16" s="4">
        <f t="shared" ca="1" si="3"/>
        <v>14</v>
      </c>
      <c r="AC16" s="4">
        <f t="shared" ca="1" si="3"/>
        <v>33</v>
      </c>
      <c r="AD16" s="4">
        <f t="shared" ca="1" si="3"/>
        <v>49</v>
      </c>
      <c r="AE16" s="4">
        <f t="shared" ca="1" si="3"/>
        <v>45</v>
      </c>
      <c r="AF16" s="8">
        <f t="shared" ca="1" si="3"/>
        <v>0</v>
      </c>
      <c r="AG16" s="8">
        <f t="shared" ca="1" si="3"/>
        <v>0</v>
      </c>
      <c r="AH16" s="8">
        <f t="shared" ca="1" si="3"/>
        <v>0.04</v>
      </c>
      <c r="AI16" s="8">
        <f t="shared" ca="1" si="3"/>
        <v>0</v>
      </c>
      <c r="AJ16" s="8">
        <f t="shared" ca="1" si="4"/>
        <v>0</v>
      </c>
      <c r="AK16" s="8">
        <f t="shared" ca="1" si="4"/>
        <v>0</v>
      </c>
      <c r="AL16" s="4">
        <f t="shared" ca="1" si="4"/>
        <v>20</v>
      </c>
      <c r="AM16" s="8">
        <f t="shared" ca="1" si="4"/>
        <v>0</v>
      </c>
      <c r="AN16" s="4">
        <f t="shared" ca="1" si="4"/>
        <v>0</v>
      </c>
      <c r="AO16" s="4"/>
      <c r="AP16" s="4">
        <f t="shared" ca="1" si="4"/>
        <v>0</v>
      </c>
    </row>
    <row r="17" spans="1:42" x14ac:dyDescent="0.2">
      <c r="A17" t="s">
        <v>97</v>
      </c>
      <c r="B17" s="16" t="s">
        <v>1886</v>
      </c>
      <c r="C17" s="4">
        <f t="shared" ca="1" si="0"/>
        <v>0</v>
      </c>
      <c r="D17" s="4">
        <f t="shared" ca="1" si="0"/>
        <v>31</v>
      </c>
      <c r="E17" s="4">
        <f t="shared" ca="1" si="0"/>
        <v>34</v>
      </c>
      <c r="F17" s="4">
        <f t="shared" ca="1" si="0"/>
        <v>26</v>
      </c>
      <c r="G17" s="4">
        <f t="shared" ca="1" si="0"/>
        <v>20</v>
      </c>
      <c r="H17" s="4">
        <f t="shared" ca="1" si="0"/>
        <v>0</v>
      </c>
      <c r="I17" s="4">
        <f t="shared" ca="1" si="0"/>
        <v>42</v>
      </c>
      <c r="J17" s="8">
        <f t="shared" ca="1" si="0"/>
        <v>0</v>
      </c>
      <c r="K17" s="8">
        <f t="shared" ca="1" si="0"/>
        <v>0.06</v>
      </c>
      <c r="L17" s="8">
        <f t="shared" ca="1" si="0"/>
        <v>0</v>
      </c>
      <c r="M17" s="8">
        <f t="shared" ca="1" si="0"/>
        <v>0</v>
      </c>
      <c r="N17" s="8">
        <f t="shared" ca="1" si="1"/>
        <v>0</v>
      </c>
      <c r="O17" s="8">
        <f t="shared" ca="1" si="1"/>
        <v>0</v>
      </c>
      <c r="P17" s="4">
        <f t="shared" ca="1" si="1"/>
        <v>20</v>
      </c>
      <c r="Q17" s="8">
        <f t="shared" ca="1" si="1"/>
        <v>0</v>
      </c>
      <c r="R17" s="4">
        <f t="shared" ca="1" si="1"/>
        <v>0</v>
      </c>
      <c r="S17" s="4"/>
      <c r="T17" s="4">
        <f t="shared" ca="1" si="1"/>
        <v>6</v>
      </c>
      <c r="V17" t="str">
        <f t="shared" si="2"/>
        <v>=</v>
      </c>
      <c r="W17" t="s">
        <v>97</v>
      </c>
      <c r="X17" s="16" t="s">
        <v>1886</v>
      </c>
      <c r="Y17" s="4">
        <f t="shared" ca="1" si="3"/>
        <v>0</v>
      </c>
      <c r="Z17" s="4">
        <f t="shared" ca="1" si="3"/>
        <v>31</v>
      </c>
      <c r="AA17" s="4">
        <f t="shared" ca="1" si="3"/>
        <v>34</v>
      </c>
      <c r="AB17" s="4">
        <f t="shared" ca="1" si="3"/>
        <v>26</v>
      </c>
      <c r="AC17" s="4">
        <f t="shared" ca="1" si="3"/>
        <v>20</v>
      </c>
      <c r="AD17" s="4">
        <f t="shared" ca="1" si="3"/>
        <v>0</v>
      </c>
      <c r="AE17" s="4">
        <f t="shared" ca="1" si="3"/>
        <v>42</v>
      </c>
      <c r="AF17" s="8">
        <f t="shared" ca="1" si="3"/>
        <v>0</v>
      </c>
      <c r="AG17" s="8">
        <f t="shared" ca="1" si="3"/>
        <v>0.06</v>
      </c>
      <c r="AH17" s="8">
        <f t="shared" ca="1" si="3"/>
        <v>0</v>
      </c>
      <c r="AI17" s="8">
        <f t="shared" ca="1" si="3"/>
        <v>0</v>
      </c>
      <c r="AJ17" s="8">
        <f t="shared" ca="1" si="4"/>
        <v>0</v>
      </c>
      <c r="AK17" s="8">
        <f t="shared" ca="1" si="4"/>
        <v>0</v>
      </c>
      <c r="AL17" s="4">
        <f t="shared" ca="1" si="4"/>
        <v>20</v>
      </c>
      <c r="AM17" s="8">
        <f t="shared" ca="1" si="4"/>
        <v>0</v>
      </c>
      <c r="AN17" s="4">
        <f t="shared" ca="1" si="4"/>
        <v>0</v>
      </c>
      <c r="AO17" s="4"/>
      <c r="AP17" s="4">
        <f t="shared" ca="1" si="4"/>
        <v>6</v>
      </c>
    </row>
    <row r="18" spans="1:42" x14ac:dyDescent="0.2">
      <c r="A18" t="s">
        <v>98</v>
      </c>
      <c r="B18" s="174"/>
      <c r="C18" s="4">
        <f t="shared" ref="C18:R18" si="5">SUMIF(INDEX(SetBonusLookup, 0, 1), "="&amp;C2, INDEX(SetBonusLookup, 0, MATCH("TPSet1Gear", INDEX(SetBonusLookup, 1, 0), 0)))</f>
        <v>0</v>
      </c>
      <c r="D18" s="4">
        <f t="shared" si="5"/>
        <v>0</v>
      </c>
      <c r="E18" s="4">
        <f t="shared" si="5"/>
        <v>0</v>
      </c>
      <c r="F18" s="4">
        <f t="shared" si="5"/>
        <v>0</v>
      </c>
      <c r="G18" s="4">
        <f t="shared" si="5"/>
        <v>0</v>
      </c>
      <c r="H18" s="4">
        <f t="shared" si="5"/>
        <v>0</v>
      </c>
      <c r="I18" s="4">
        <f t="shared" ca="1" si="5"/>
        <v>0</v>
      </c>
      <c r="J18" s="96">
        <f t="shared" si="5"/>
        <v>0</v>
      </c>
      <c r="K18" s="96">
        <f t="shared" ca="1" si="5"/>
        <v>0</v>
      </c>
      <c r="L18" s="96">
        <f t="shared" si="5"/>
        <v>0</v>
      </c>
      <c r="M18" s="96">
        <f t="shared" si="5"/>
        <v>0</v>
      </c>
      <c r="N18" s="96">
        <f t="shared" si="5"/>
        <v>0</v>
      </c>
      <c r="O18" s="96">
        <f t="shared" ca="1" si="5"/>
        <v>0</v>
      </c>
      <c r="P18" s="4">
        <f t="shared" si="5"/>
        <v>0</v>
      </c>
      <c r="Q18" s="96">
        <f t="shared" si="5"/>
        <v>0</v>
      </c>
      <c r="R18" s="4">
        <f t="shared" si="5"/>
        <v>0</v>
      </c>
      <c r="S18" s="4"/>
      <c r="T18" s="4">
        <f>SUMIF(INDEX(SetBonusLookup, 0, 1), "="&amp;T2, INDEX(SetBonusLookup, 0, MATCH("TPSet1Gear", INDEX(SetBonusLookup, 1, 0), 0)))</f>
        <v>0</v>
      </c>
      <c r="V18" t="str">
        <f ca="1">IF(AND(C18=Y18,D18=Z18,E18=AA18,F18=AB18,G18=AC18,H18=AD18,I18=AE18,J18=AF18,K18=AG18,L18=AH18,M18=AI18,N18=AJ18,O18=AK18,P18=AL18,Q18=AM18,R18=AN18, T18=AP18),"=","-")</f>
        <v>=</v>
      </c>
      <c r="W18" t="s">
        <v>98</v>
      </c>
      <c r="X18" s="174"/>
      <c r="Y18" s="4">
        <f t="shared" ref="Y18:AN18" si="6">SUMIF(INDEX(SetBonusLookup, 0, 1), "="&amp;Y2, INDEX(SetBonusLookup, 0, MATCH("TPSet2Gear", INDEX(SetBonusLookup, 1, 0), 0)))</f>
        <v>0</v>
      </c>
      <c r="Z18" s="4">
        <f t="shared" si="6"/>
        <v>0</v>
      </c>
      <c r="AA18" s="4">
        <f t="shared" si="6"/>
        <v>0</v>
      </c>
      <c r="AB18" s="4">
        <f t="shared" si="6"/>
        <v>0</v>
      </c>
      <c r="AC18" s="4">
        <f t="shared" si="6"/>
        <v>0</v>
      </c>
      <c r="AD18" s="4">
        <f t="shared" si="6"/>
        <v>0</v>
      </c>
      <c r="AE18" s="4">
        <f t="shared" ca="1" si="6"/>
        <v>0</v>
      </c>
      <c r="AF18" s="96">
        <f t="shared" si="6"/>
        <v>0</v>
      </c>
      <c r="AG18" s="96">
        <f t="shared" ca="1" si="6"/>
        <v>0</v>
      </c>
      <c r="AH18" s="96">
        <f t="shared" si="6"/>
        <v>0</v>
      </c>
      <c r="AI18" s="96">
        <f t="shared" si="6"/>
        <v>0</v>
      </c>
      <c r="AJ18" s="96">
        <f t="shared" si="6"/>
        <v>0</v>
      </c>
      <c r="AK18" s="96">
        <f t="shared" ca="1" si="6"/>
        <v>0</v>
      </c>
      <c r="AL18" s="4">
        <f t="shared" si="6"/>
        <v>0</v>
      </c>
      <c r="AM18" s="96">
        <f t="shared" si="6"/>
        <v>0</v>
      </c>
      <c r="AN18" s="4">
        <f t="shared" si="6"/>
        <v>0</v>
      </c>
      <c r="AO18" s="4"/>
      <c r="AP18" s="4">
        <f>SUMIF(INDEX(SetBonusLookup, 0, 1), "="&amp;AP2, INDEX(SetBonusLookup, 0, MATCH("TPSet2Gear", INDEX(SetBonusLookup, 1, 0), 0)))</f>
        <v>0</v>
      </c>
    </row>
    <row r="19" spans="1:42" x14ac:dyDescent="0.2">
      <c r="A19" t="s">
        <v>473</v>
      </c>
      <c r="B19" s="1" t="str">
        <f>IF(COUNTBLANK(C19:T19)=18,"","Active!")</f>
        <v/>
      </c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  <c r="Q19" s="19"/>
      <c r="R19" s="19"/>
      <c r="S19" s="19"/>
      <c r="T19" s="17"/>
      <c r="V19" t="str">
        <f>IF(AND(C19=Y19,D19=Z19,E19=AA19,F19=AB19,G19=AC19,H19=AD19,I19=AE19,J19=AF19,K19=AG19,L19=AH19,M19=AI19,N19=AJ19,O19=AK19,P19=AL19,Q19=AM19,R19=AN19, T19=AP19),"=","-")</f>
        <v>=</v>
      </c>
      <c r="W19" t="s">
        <v>473</v>
      </c>
      <c r="X19" s="1" t="str">
        <f>IF(COUNTBLANK(Y19:AP19)=18,"","Active!")</f>
        <v/>
      </c>
      <c r="Y19" s="17"/>
      <c r="Z19" s="17"/>
      <c r="AA19" s="17"/>
      <c r="AB19" s="17"/>
      <c r="AC19" s="17"/>
      <c r="AD19" s="17"/>
      <c r="AE19" s="17"/>
      <c r="AF19" s="17"/>
      <c r="AG19" s="18"/>
      <c r="AH19" s="18"/>
      <c r="AI19" s="18"/>
      <c r="AJ19" s="18"/>
      <c r="AK19" s="18"/>
      <c r="AL19" s="19"/>
      <c r="AM19" s="19"/>
      <c r="AN19" s="19"/>
      <c r="AO19" s="19"/>
      <c r="AP19" s="17"/>
    </row>
    <row r="20" spans="1:42" x14ac:dyDescent="0.2">
      <c r="K20" s="8"/>
      <c r="L20" s="8"/>
      <c r="M20" s="8"/>
      <c r="N20" s="8"/>
      <c r="O20" s="8"/>
      <c r="P20" s="8"/>
      <c r="Q20" s="8"/>
      <c r="R20" s="8"/>
      <c r="S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2" x14ac:dyDescent="0.2">
      <c r="A21" t="s">
        <v>99</v>
      </c>
      <c r="C21" s="4">
        <f t="shared" ref="C21:J21" ca="1" si="7">IF($B10="Onca Suit",SUM(C3:C19)-SUM(C11,C16,C17),SUM(C3:C19))</f>
        <v>250</v>
      </c>
      <c r="D21" s="4">
        <f t="shared" ca="1" si="7"/>
        <v>226</v>
      </c>
      <c r="E21" s="4">
        <f t="shared" ca="1" si="7"/>
        <v>169</v>
      </c>
      <c r="F21" s="4">
        <f t="shared" ca="1" si="7"/>
        <v>90</v>
      </c>
      <c r="G21" s="4">
        <f t="shared" ca="1" si="7"/>
        <v>176</v>
      </c>
      <c r="H21" s="4">
        <f t="shared" ca="1" si="7"/>
        <v>211</v>
      </c>
      <c r="I21" s="4">
        <f t="shared" ca="1" si="7"/>
        <v>324</v>
      </c>
      <c r="J21" s="8">
        <f t="shared" ca="1" si="7"/>
        <v>0</v>
      </c>
      <c r="K21" s="8">
        <f t="shared" ref="K21:O21" ca="1" si="8">IF($B10="Onca Suit",SUM(K3:K19)-SUM(K11,K16,K17),SUM(K3:K19))</f>
        <v>0.36000000000000004</v>
      </c>
      <c r="L21" s="8">
        <f t="shared" ca="1" si="8"/>
        <v>0.11000000000000001</v>
      </c>
      <c r="M21" s="8">
        <f t="shared" ca="1" si="8"/>
        <v>0.05</v>
      </c>
      <c r="N21" s="8">
        <f t="shared" ca="1" si="8"/>
        <v>0</v>
      </c>
      <c r="O21" s="8">
        <f t="shared" ca="1" si="8"/>
        <v>0</v>
      </c>
      <c r="P21" s="8">
        <f ca="1">IF($B10="Onca Suit",SUM(P3:P19)-SUM(P11,P16,P17),SUM(P3:P19))/1024</f>
        <v>0.13671875</v>
      </c>
      <c r="Q21" s="8">
        <f ca="1">IF($B10="Onca Suit",SUM(Q3:Q19)-SUM(Q11,Q16,Q17),SUM(Q3:Q19))</f>
        <v>0</v>
      </c>
      <c r="R21" s="4">
        <f ca="1">IF($B10="Onca Suit",SUM(R3:R19)-SUM(R11,R16,R17),SUM(R3:R19))</f>
        <v>0</v>
      </c>
      <c r="S21" s="4"/>
      <c r="T21" s="4">
        <f ca="1">IF($B10="Onca Suit",SUM(T3:T19)-SUM(T11,T16,T17),SUM(T3:T19))</f>
        <v>40</v>
      </c>
      <c r="W21" t="s">
        <v>99</v>
      </c>
      <c r="Y21" s="4">
        <f ca="1">IF($X10="Onca Suit",SUM(Y3:Y19)-SUM(Y11,Y16,Y17),SUM(Y3:Y19))</f>
        <v>250</v>
      </c>
      <c r="Z21" s="4">
        <f t="shared" ref="Z21:AJ21" ca="1" si="9">IF($X10="Onca Suit",SUM(Z3:Z19)-SUM(Z11,Z16,Z17),SUM(Z3:Z19))</f>
        <v>226</v>
      </c>
      <c r="AA21" s="4">
        <f t="shared" ca="1" si="9"/>
        <v>169</v>
      </c>
      <c r="AB21" s="4">
        <f t="shared" ca="1" si="9"/>
        <v>90</v>
      </c>
      <c r="AC21" s="4">
        <f t="shared" ca="1" si="9"/>
        <v>176</v>
      </c>
      <c r="AD21" s="4">
        <f t="shared" ca="1" si="9"/>
        <v>211</v>
      </c>
      <c r="AE21" s="4">
        <f t="shared" ca="1" si="9"/>
        <v>304</v>
      </c>
      <c r="AF21" s="8">
        <f t="shared" ca="1" si="9"/>
        <v>0</v>
      </c>
      <c r="AG21" s="8">
        <f t="shared" ca="1" si="9"/>
        <v>0.33</v>
      </c>
      <c r="AH21" s="8">
        <f t="shared" ca="1" si="9"/>
        <v>0.11000000000000001</v>
      </c>
      <c r="AI21" s="8">
        <f t="shared" ca="1" si="9"/>
        <v>0.05</v>
      </c>
      <c r="AJ21" s="8">
        <f t="shared" ca="1" si="9"/>
        <v>0</v>
      </c>
      <c r="AK21" s="8">
        <f ca="1">IF($X10="Onca Suit",SUM(AK3:AK19)-SUM(AK11,AK16,AK17),SUM(AK3:AK19))</f>
        <v>0</v>
      </c>
      <c r="AL21" s="8">
        <f ca="1">IF($X10="Onca Suit",SUM(AL3:AL19)-SUM(AL11,AL16,AL17),SUM(AL3:AL19))/1024</f>
        <v>0.13671875</v>
      </c>
      <c r="AM21" s="8">
        <f ca="1">IF($X10="Onca Suit",SUM(AM3:AM19)-SUM(AM11,AM16,AM17),SUM(AM3:AM19))</f>
        <v>0</v>
      </c>
      <c r="AN21" s="4">
        <f ca="1">IF($X10="Onca Suit",SUM(AN3:AN19)-SUM(AN11,AN16,AN17),SUM(AN3:AN19))</f>
        <v>0</v>
      </c>
      <c r="AO21" s="4"/>
      <c r="AP21" s="4">
        <f ca="1">IF($X10="Onca Suit",SUM(AP3:AP19)-SUM(AP11,AP16,AP17),SUM(AP3:AP19))</f>
        <v>47</v>
      </c>
    </row>
    <row r="22" spans="1:42" x14ac:dyDescent="0.2">
      <c r="A22" s="1" t="s">
        <v>106</v>
      </c>
      <c r="B22" s="14">
        <f ca="1">Data!D195</f>
        <v>1905.3524592409435</v>
      </c>
      <c r="W22" s="1" t="s">
        <v>106</v>
      </c>
      <c r="X22" s="14">
        <f ca="1">Data!E195</f>
        <v>1913.9892151149354</v>
      </c>
    </row>
    <row r="24" spans="1:42" x14ac:dyDescent="0.2">
      <c r="A24" t="s">
        <v>100</v>
      </c>
      <c r="W24" t="s">
        <v>101</v>
      </c>
    </row>
    <row r="25" spans="1:42" x14ac:dyDescent="0.2">
      <c r="A25" t="s">
        <v>70</v>
      </c>
      <c r="B25" t="s">
        <v>71</v>
      </c>
      <c r="C25" t="s">
        <v>72</v>
      </c>
      <c r="D25" t="s">
        <v>26</v>
      </c>
      <c r="E25" t="s">
        <v>27</v>
      </c>
      <c r="F25" t="s">
        <v>25</v>
      </c>
      <c r="G25" t="s">
        <v>23</v>
      </c>
      <c r="H25" t="s">
        <v>73</v>
      </c>
      <c r="I25" t="s">
        <v>74</v>
      </c>
      <c r="J25" t="s">
        <v>375</v>
      </c>
      <c r="K25" t="s">
        <v>75</v>
      </c>
      <c r="L25" t="s">
        <v>76</v>
      </c>
      <c r="M25" t="s">
        <v>77</v>
      </c>
      <c r="N25" t="s">
        <v>78</v>
      </c>
      <c r="O25" t="s">
        <v>79</v>
      </c>
      <c r="P25" t="s">
        <v>102</v>
      </c>
      <c r="Q25" t="s">
        <v>103</v>
      </c>
      <c r="R25" t="s">
        <v>349</v>
      </c>
      <c r="S25" t="s">
        <v>452</v>
      </c>
      <c r="T25" t="s">
        <v>82</v>
      </c>
      <c r="W25" t="s">
        <v>70</v>
      </c>
      <c r="X25" t="s">
        <v>71</v>
      </c>
      <c r="Y25" t="s">
        <v>72</v>
      </c>
      <c r="Z25" t="s">
        <v>26</v>
      </c>
      <c r="AA25" t="s">
        <v>27</v>
      </c>
      <c r="AB25" t="s">
        <v>25</v>
      </c>
      <c r="AC25" t="s">
        <v>23</v>
      </c>
      <c r="AD25" t="s">
        <v>73</v>
      </c>
      <c r="AE25" t="s">
        <v>74</v>
      </c>
      <c r="AF25" t="s">
        <v>375</v>
      </c>
      <c r="AG25" t="s">
        <v>75</v>
      </c>
      <c r="AH25" t="s">
        <v>76</v>
      </c>
      <c r="AI25" t="s">
        <v>77</v>
      </c>
      <c r="AJ25" t="s">
        <v>78</v>
      </c>
      <c r="AK25" t="s">
        <v>79</v>
      </c>
      <c r="AL25" t="s">
        <v>102</v>
      </c>
      <c r="AM25" t="s">
        <v>103</v>
      </c>
      <c r="AN25" t="s">
        <v>349</v>
      </c>
      <c r="AO25" t="s">
        <v>452</v>
      </c>
      <c r="AP25" t="s">
        <v>82</v>
      </c>
    </row>
    <row r="26" spans="1:42" x14ac:dyDescent="0.2">
      <c r="A26" t="s">
        <v>83</v>
      </c>
      <c r="B26" t="str">
        <f>B3</f>
        <v>Shining One</v>
      </c>
      <c r="C26" s="4">
        <f t="shared" ref="C26:I40" ca="1" si="10">IF(ISBLANK($B26),0,VLOOKUP($B26,INDIRECT($A26),MATCH(C$25,StatHeader,0),0))</f>
        <v>250</v>
      </c>
      <c r="D26" s="4">
        <f t="shared" ca="1" si="10"/>
        <v>0</v>
      </c>
      <c r="E26" s="4">
        <f t="shared" ca="1" si="10"/>
        <v>20</v>
      </c>
      <c r="F26" s="4">
        <f t="shared" ca="1" si="10"/>
        <v>0</v>
      </c>
      <c r="G26" s="4">
        <f t="shared" ca="1" si="10"/>
        <v>0</v>
      </c>
      <c r="H26" s="4">
        <f t="shared" ca="1" si="10"/>
        <v>30</v>
      </c>
      <c r="I26" s="4">
        <f t="shared" ca="1" si="10"/>
        <v>40</v>
      </c>
      <c r="J26" s="8">
        <f t="shared" ref="J26:K40" ca="1" si="11">IF(ISBLANK($B26),0,VLOOKUP($B26,INDIRECT($A26),MATCH(J$2,StatHeader,0),0))</f>
        <v>0</v>
      </c>
      <c r="K26" s="8">
        <f t="shared" ca="1" si="11"/>
        <v>0</v>
      </c>
      <c r="L26" s="8">
        <f t="shared" ref="L26:T40" ca="1" si="12">IF(ISBLANK($B26),0,VLOOKUP($B26,INDIRECT($A26),MATCH(L$25,StatHeader,0),0))</f>
        <v>0</v>
      </c>
      <c r="M26" s="8">
        <f t="shared" ca="1" si="12"/>
        <v>0</v>
      </c>
      <c r="N26" s="8">
        <f t="shared" ca="1" si="12"/>
        <v>0</v>
      </c>
      <c r="O26" s="8">
        <f t="shared" ca="1" si="12"/>
        <v>0</v>
      </c>
      <c r="P26" s="4">
        <f t="shared" ca="1" si="12"/>
        <v>0</v>
      </c>
      <c r="Q26" s="8">
        <f t="shared" ca="1" si="12"/>
        <v>0</v>
      </c>
      <c r="R26" s="8">
        <f t="shared" ca="1" si="12"/>
        <v>0</v>
      </c>
      <c r="S26" s="4">
        <f ca="1">IF(ISBLANK($B26), 0, IF(ISNUMBER(VLOOKUP($B26, INDIRECT($A26), MATCH("D"&amp;S$25, StatHeader, 0), 0)), IF(Setup!$F$50=1, VLOOKUP($B26, INDIRECT($A26), MATCH("D"&amp;S$25, StatHeader, 0), 0), 0), VLOOKUP($B26, INDIRECT($A26), MATCH(S$25, StatHeader, 0), 0)))</f>
        <v>0</v>
      </c>
      <c r="T26" s="4">
        <f t="shared" ca="1" si="12"/>
        <v>0</v>
      </c>
      <c r="W26" t="s">
        <v>83</v>
      </c>
      <c r="X26" t="str">
        <f>X3</f>
        <v>Shining One</v>
      </c>
      <c r="Y26" s="4">
        <f t="shared" ref="Y26:AI40" ca="1" si="13">IF(ISBLANK($X26),0,VLOOKUP($X26,INDIRECT($W26),MATCH(Y$25,StatHeader,0),0))</f>
        <v>250</v>
      </c>
      <c r="Z26" s="4">
        <f t="shared" ca="1" si="13"/>
        <v>0</v>
      </c>
      <c r="AA26" s="4">
        <f t="shared" ca="1" si="13"/>
        <v>20</v>
      </c>
      <c r="AB26" s="4">
        <f t="shared" ca="1" si="13"/>
        <v>0</v>
      </c>
      <c r="AC26" s="4">
        <f t="shared" ca="1" si="13"/>
        <v>0</v>
      </c>
      <c r="AD26" s="4">
        <f t="shared" ca="1" si="13"/>
        <v>30</v>
      </c>
      <c r="AE26" s="4">
        <f t="shared" ca="1" si="13"/>
        <v>40</v>
      </c>
      <c r="AF26" s="8">
        <f t="shared" ca="1" si="13"/>
        <v>0</v>
      </c>
      <c r="AG26" s="8">
        <f t="shared" ca="1" si="13"/>
        <v>0</v>
      </c>
      <c r="AH26" s="8">
        <f t="shared" ca="1" si="13"/>
        <v>0</v>
      </c>
      <c r="AI26" s="8">
        <f t="shared" ca="1" si="13"/>
        <v>0</v>
      </c>
      <c r="AJ26" s="8">
        <f t="shared" ref="AJ26:AP40" ca="1" si="14">IF(ISBLANK($X26),0,VLOOKUP($X26,INDIRECT($W26),MATCH(AJ$25,StatHeader,0),0))</f>
        <v>0</v>
      </c>
      <c r="AK26" s="8">
        <f t="shared" ca="1" si="14"/>
        <v>0</v>
      </c>
      <c r="AL26" s="4">
        <f t="shared" ca="1" si="14"/>
        <v>0</v>
      </c>
      <c r="AM26" s="8">
        <f t="shared" ca="1" si="14"/>
        <v>0</v>
      </c>
      <c r="AN26" s="8">
        <f t="shared" ca="1" si="14"/>
        <v>0</v>
      </c>
      <c r="AO26" s="4">
        <f ca="1">IF(ISBLANK($X26), 0, IF(ISNUMBER(VLOOKUP($X26, INDIRECT($W26), MATCH("D"&amp;AO$25, StatHeader, 0), 0)), IF(Setup!$G$50=1, VLOOKUP($X26, INDIRECT($W26), MATCH("D"&amp;AO$25, StatHeader, 0), 0), 0), VLOOKUP($X26, INDIRECT($W26), MATCH(AO$25, StatHeader, 0), 0)))</f>
        <v>0</v>
      </c>
      <c r="AP26" s="4">
        <f t="shared" ca="1" si="14"/>
        <v>0</v>
      </c>
    </row>
    <row r="27" spans="1:42" x14ac:dyDescent="0.2">
      <c r="A27" t="s">
        <v>84</v>
      </c>
      <c r="B27" s="20" t="str">
        <f>B4</f>
        <v>Bloodrain Strap</v>
      </c>
      <c r="C27" s="4">
        <f t="shared" ca="1" si="10"/>
        <v>0</v>
      </c>
      <c r="D27" s="4">
        <f t="shared" ca="1" si="10"/>
        <v>0</v>
      </c>
      <c r="E27" s="4">
        <f t="shared" ca="1" si="10"/>
        <v>0</v>
      </c>
      <c r="F27" s="4">
        <f t="shared" ca="1" si="10"/>
        <v>0</v>
      </c>
      <c r="G27" s="4">
        <f t="shared" ca="1" si="10"/>
        <v>0</v>
      </c>
      <c r="H27" s="4">
        <f t="shared" ca="1" si="10"/>
        <v>0</v>
      </c>
      <c r="I27" s="4">
        <f t="shared" ca="1" si="10"/>
        <v>6</v>
      </c>
      <c r="J27" s="8">
        <f t="shared" ca="1" si="11"/>
        <v>0</v>
      </c>
      <c r="K27" s="8">
        <f t="shared" ca="1" si="11"/>
        <v>0</v>
      </c>
      <c r="L27" s="8">
        <f t="shared" ca="1" si="12"/>
        <v>0</v>
      </c>
      <c r="M27" s="8">
        <f t="shared" ca="1" si="12"/>
        <v>0</v>
      </c>
      <c r="N27" s="8">
        <f t="shared" ca="1" si="12"/>
        <v>0</v>
      </c>
      <c r="O27" s="8">
        <f t="shared" ca="1" si="12"/>
        <v>0</v>
      </c>
      <c r="P27" s="4">
        <f t="shared" ca="1" si="12"/>
        <v>0</v>
      </c>
      <c r="Q27" s="8">
        <f t="shared" ca="1" si="12"/>
        <v>0</v>
      </c>
      <c r="R27" s="8">
        <f t="shared" ca="1" si="12"/>
        <v>0</v>
      </c>
      <c r="S27" s="4">
        <f ca="1">IF(ISBLANK($B27), 0, IF(ISNUMBER(VLOOKUP($B27, INDIRECT($A27), MATCH("D"&amp;S$25, StatHeader, 0), 0)), IF(Setup!$F$50=1, VLOOKUP($B27, INDIRECT($A27), MATCH("D"&amp;S$25, StatHeader, 0), 0), 0), VLOOKUP($B27, INDIRECT($A27), MATCH(S$25, StatHeader, 0), 0)))</f>
        <v>0</v>
      </c>
      <c r="T27" s="4">
        <f t="shared" ca="1" si="12"/>
        <v>6</v>
      </c>
      <c r="W27" t="s">
        <v>84</v>
      </c>
      <c r="X27" s="21" t="str">
        <f>X4</f>
        <v>Bloodrain Strap</v>
      </c>
      <c r="Y27" s="4">
        <f t="shared" ca="1" si="13"/>
        <v>0</v>
      </c>
      <c r="Z27" s="4">
        <f t="shared" ca="1" si="13"/>
        <v>0</v>
      </c>
      <c r="AA27" s="4">
        <f t="shared" ca="1" si="13"/>
        <v>0</v>
      </c>
      <c r="AB27" s="4">
        <f t="shared" ca="1" si="13"/>
        <v>0</v>
      </c>
      <c r="AC27" s="4">
        <f t="shared" ca="1" si="13"/>
        <v>0</v>
      </c>
      <c r="AD27" s="4">
        <f t="shared" ca="1" si="13"/>
        <v>0</v>
      </c>
      <c r="AE27" s="4">
        <f t="shared" ca="1" si="13"/>
        <v>6</v>
      </c>
      <c r="AF27" s="8">
        <f t="shared" ca="1" si="13"/>
        <v>0</v>
      </c>
      <c r="AG27" s="8">
        <f t="shared" ca="1" si="13"/>
        <v>0</v>
      </c>
      <c r="AH27" s="8">
        <f t="shared" ca="1" si="13"/>
        <v>0</v>
      </c>
      <c r="AI27" s="8">
        <f t="shared" ca="1" si="13"/>
        <v>0</v>
      </c>
      <c r="AJ27" s="8">
        <f t="shared" ca="1" si="14"/>
        <v>0</v>
      </c>
      <c r="AK27" s="8">
        <f t="shared" ca="1" si="14"/>
        <v>0</v>
      </c>
      <c r="AL27" s="4">
        <f t="shared" ca="1" si="14"/>
        <v>0</v>
      </c>
      <c r="AM27" s="8">
        <f t="shared" ca="1" si="14"/>
        <v>0</v>
      </c>
      <c r="AN27" s="8">
        <f t="shared" ca="1" si="14"/>
        <v>0</v>
      </c>
      <c r="AO27" s="4">
        <f ca="1">IF(ISBLANK($X27), 0, IF(ISNUMBER(VLOOKUP($X27, INDIRECT($W27), MATCH("D"&amp;AO$25, StatHeader, 0), 0)), IF(Setup!$G$50=1, VLOOKUP($X27, INDIRECT($W27), MATCH("D"&amp;AO$25, StatHeader, 0), 0), 0), VLOOKUP($X27, INDIRECT($W27), MATCH(AO$25, StatHeader, 0), 0)))</f>
        <v>0</v>
      </c>
      <c r="AP27" s="4">
        <f t="shared" ca="1" si="14"/>
        <v>6</v>
      </c>
    </row>
    <row r="28" spans="1:42" x14ac:dyDescent="0.2">
      <c r="A28" t="s">
        <v>86</v>
      </c>
      <c r="B28" s="16" t="s">
        <v>1716</v>
      </c>
      <c r="C28" s="4">
        <f t="shared" ca="1" si="10"/>
        <v>0</v>
      </c>
      <c r="D28" s="4">
        <f t="shared" ca="1" si="10"/>
        <v>0</v>
      </c>
      <c r="E28" s="4">
        <f t="shared" ca="1" si="10"/>
        <v>0</v>
      </c>
      <c r="F28" s="4">
        <f t="shared" ca="1" si="10"/>
        <v>0</v>
      </c>
      <c r="G28" s="4">
        <f t="shared" ca="1" si="10"/>
        <v>0</v>
      </c>
      <c r="H28" s="4">
        <f t="shared" ca="1" si="10"/>
        <v>23</v>
      </c>
      <c r="I28" s="4">
        <f t="shared" ca="1" si="10"/>
        <v>0</v>
      </c>
      <c r="J28" s="8">
        <f t="shared" ca="1" si="11"/>
        <v>0</v>
      </c>
      <c r="K28" s="8">
        <f t="shared" ca="1" si="11"/>
        <v>0</v>
      </c>
      <c r="L28" s="8">
        <f t="shared" ca="1" si="12"/>
        <v>0</v>
      </c>
      <c r="M28" s="8">
        <f t="shared" ca="1" si="12"/>
        <v>0</v>
      </c>
      <c r="N28" s="8">
        <f t="shared" ca="1" si="12"/>
        <v>0</v>
      </c>
      <c r="O28" s="8">
        <f t="shared" ca="1" si="12"/>
        <v>0</v>
      </c>
      <c r="P28" s="4">
        <f t="shared" ca="1" si="12"/>
        <v>0</v>
      </c>
      <c r="Q28" s="8">
        <f t="shared" ca="1" si="12"/>
        <v>0.06</v>
      </c>
      <c r="R28" s="8">
        <f t="shared" ca="1" si="12"/>
        <v>0</v>
      </c>
      <c r="S28" s="4">
        <f ca="1">IF(ISBLANK($B28), 0, IF(ISNUMBER(VLOOKUP($B28, INDIRECT($A28), MATCH("D"&amp;S$25, StatHeader, 0), 0)), IF(Setup!$F$50=1, VLOOKUP($B28, INDIRECT($A28), MATCH("D"&amp;S$25, StatHeader, 0), 0), 0), VLOOKUP($B28, INDIRECT($A28), MATCH(S$25, StatHeader, 0), 0)))</f>
        <v>0</v>
      </c>
      <c r="T28" s="4">
        <f t="shared" ca="1" si="12"/>
        <v>0</v>
      </c>
      <c r="V28" t="str">
        <f t="shared" ref="V28:V40" si="15">IF(X28=B28,"=","-")</f>
        <v>=</v>
      </c>
      <c r="W28" t="s">
        <v>86</v>
      </c>
      <c r="X28" s="16" t="s">
        <v>1716</v>
      </c>
      <c r="Y28" s="4">
        <f t="shared" ca="1" si="13"/>
        <v>0</v>
      </c>
      <c r="Z28" s="4">
        <f t="shared" ca="1" si="13"/>
        <v>0</v>
      </c>
      <c r="AA28" s="4">
        <f t="shared" ca="1" si="13"/>
        <v>0</v>
      </c>
      <c r="AB28" s="4">
        <f t="shared" ca="1" si="13"/>
        <v>0</v>
      </c>
      <c r="AC28" s="4">
        <f t="shared" ca="1" si="13"/>
        <v>0</v>
      </c>
      <c r="AD28" s="4">
        <f t="shared" ca="1" si="13"/>
        <v>23</v>
      </c>
      <c r="AE28" s="4">
        <f t="shared" ca="1" si="13"/>
        <v>0</v>
      </c>
      <c r="AF28" s="8">
        <f t="shared" ca="1" si="13"/>
        <v>0</v>
      </c>
      <c r="AG28" s="8">
        <f t="shared" ca="1" si="13"/>
        <v>0</v>
      </c>
      <c r="AH28" s="8">
        <f t="shared" ca="1" si="13"/>
        <v>0</v>
      </c>
      <c r="AI28" s="8">
        <f t="shared" ca="1" si="13"/>
        <v>0</v>
      </c>
      <c r="AJ28" s="8">
        <f t="shared" ca="1" si="14"/>
        <v>0</v>
      </c>
      <c r="AK28" s="8">
        <f t="shared" ca="1" si="14"/>
        <v>0</v>
      </c>
      <c r="AL28" s="4">
        <f t="shared" ca="1" si="14"/>
        <v>0</v>
      </c>
      <c r="AM28" s="8">
        <f t="shared" ca="1" si="14"/>
        <v>0.06</v>
      </c>
      <c r="AN28" s="8">
        <f t="shared" ca="1" si="14"/>
        <v>0</v>
      </c>
      <c r="AO28" s="4">
        <f ca="1">IF(ISBLANK($X28), 0, IF(ISNUMBER(VLOOKUP($X28, INDIRECT($W28), MATCH("D"&amp;AO$25, StatHeader, 0), 0)), IF(Setup!$G$50=1, VLOOKUP($X28, INDIRECT($W28), MATCH("D"&amp;AO$25, StatHeader, 0), 0), 0), VLOOKUP($X28, INDIRECT($W28), MATCH(AO$25, StatHeader, 0), 0)))</f>
        <v>0</v>
      </c>
      <c r="AP28" s="4">
        <f t="shared" ca="1" si="14"/>
        <v>0</v>
      </c>
    </row>
    <row r="29" spans="1:42" x14ac:dyDescent="0.2">
      <c r="A29" t="s">
        <v>88</v>
      </c>
      <c r="B29" s="16" t="s">
        <v>1708</v>
      </c>
      <c r="C29" s="4">
        <f t="shared" ca="1" si="10"/>
        <v>0</v>
      </c>
      <c r="D29" s="4">
        <f t="shared" ca="1" si="10"/>
        <v>37</v>
      </c>
      <c r="E29" s="4">
        <f t="shared" ca="1" si="10"/>
        <v>30</v>
      </c>
      <c r="F29" s="4">
        <f t="shared" ca="1" si="10"/>
        <v>30</v>
      </c>
      <c r="G29" s="4">
        <f t="shared" ca="1" si="10"/>
        <v>35</v>
      </c>
      <c r="H29" s="4">
        <f t="shared" ca="1" si="10"/>
        <v>42</v>
      </c>
      <c r="I29" s="4">
        <f t="shared" ca="1" si="10"/>
        <v>47</v>
      </c>
      <c r="J29" s="8">
        <f t="shared" ca="1" si="11"/>
        <v>0</v>
      </c>
      <c r="K29" s="8">
        <f t="shared" ca="1" si="11"/>
        <v>0</v>
      </c>
      <c r="L29" s="8">
        <f t="shared" ca="1" si="12"/>
        <v>0</v>
      </c>
      <c r="M29" s="8">
        <f t="shared" ca="1" si="12"/>
        <v>0</v>
      </c>
      <c r="N29" s="8">
        <f t="shared" ca="1" si="12"/>
        <v>0</v>
      </c>
      <c r="O29" s="8">
        <f t="shared" ca="1" si="12"/>
        <v>0</v>
      </c>
      <c r="P29" s="4">
        <f t="shared" ca="1" si="12"/>
        <v>0</v>
      </c>
      <c r="Q29" s="8">
        <f t="shared" ca="1" si="12"/>
        <v>0</v>
      </c>
      <c r="R29" s="8">
        <f t="shared" ca="1" si="12"/>
        <v>0</v>
      </c>
      <c r="S29" s="4">
        <f ca="1">IF(ISBLANK($B29), 0, IF(ISNUMBER(VLOOKUP($B29, INDIRECT($A29), MATCH("D"&amp;S$25, StatHeader, 0), 0)), IF(Setup!$F$50=1, VLOOKUP($B29, INDIRECT($A29), MATCH("D"&amp;S$25, StatHeader, 0), 0), 0), VLOOKUP($B29, INDIRECT($A29), MATCH(S$25, StatHeader, 0), 0)))</f>
        <v>0</v>
      </c>
      <c r="T29" s="4">
        <f t="shared" ca="1" si="12"/>
        <v>0</v>
      </c>
      <c r="V29" t="str">
        <f t="shared" si="15"/>
        <v>=</v>
      </c>
      <c r="W29" t="s">
        <v>88</v>
      </c>
      <c r="X29" s="16" t="s">
        <v>1708</v>
      </c>
      <c r="Y29" s="4">
        <f t="shared" ca="1" si="13"/>
        <v>0</v>
      </c>
      <c r="Z29" s="4">
        <f t="shared" ca="1" si="13"/>
        <v>37</v>
      </c>
      <c r="AA29" s="4">
        <f t="shared" ca="1" si="13"/>
        <v>30</v>
      </c>
      <c r="AB29" s="4">
        <f t="shared" ca="1" si="13"/>
        <v>30</v>
      </c>
      <c r="AC29" s="4">
        <f t="shared" ca="1" si="13"/>
        <v>35</v>
      </c>
      <c r="AD29" s="4">
        <f t="shared" ca="1" si="13"/>
        <v>42</v>
      </c>
      <c r="AE29" s="4">
        <f t="shared" ca="1" si="13"/>
        <v>47</v>
      </c>
      <c r="AF29" s="8">
        <f t="shared" ca="1" si="13"/>
        <v>0</v>
      </c>
      <c r="AG29" s="8">
        <f t="shared" ca="1" si="13"/>
        <v>0</v>
      </c>
      <c r="AH29" s="8">
        <f t="shared" ca="1" si="13"/>
        <v>0</v>
      </c>
      <c r="AI29" s="8">
        <f t="shared" ca="1" si="13"/>
        <v>0</v>
      </c>
      <c r="AJ29" s="8">
        <f t="shared" ca="1" si="14"/>
        <v>0</v>
      </c>
      <c r="AK29" s="8">
        <f t="shared" ca="1" si="14"/>
        <v>0</v>
      </c>
      <c r="AL29" s="4">
        <f t="shared" ca="1" si="14"/>
        <v>0</v>
      </c>
      <c r="AM29" s="8">
        <f t="shared" ca="1" si="14"/>
        <v>0</v>
      </c>
      <c r="AN29" s="8">
        <f t="shared" ca="1" si="14"/>
        <v>0</v>
      </c>
      <c r="AO29" s="4">
        <f ca="1">IF(ISBLANK($X29), 0, IF(ISNUMBER(VLOOKUP($X29, INDIRECT($W29), MATCH("D"&amp;AO$25, StatHeader, 0), 0)), IF(Setup!$G$50=1, VLOOKUP($X29, INDIRECT($W29), MATCH("D"&amp;AO$25, StatHeader, 0), 0), 0), VLOOKUP($X29, INDIRECT($W29), MATCH(AO$25, StatHeader, 0), 0)))</f>
        <v>0</v>
      </c>
      <c r="AP29" s="4">
        <f t="shared" ca="1" si="14"/>
        <v>0</v>
      </c>
    </row>
    <row r="30" spans="1:42" x14ac:dyDescent="0.2">
      <c r="A30" t="s">
        <v>89</v>
      </c>
      <c r="B30" s="16" t="s">
        <v>1364</v>
      </c>
      <c r="C30" s="4">
        <f t="shared" ca="1" si="10"/>
        <v>0</v>
      </c>
      <c r="D30" s="4">
        <f t="shared" ca="1" si="10"/>
        <v>0</v>
      </c>
      <c r="E30" s="4">
        <f t="shared" ca="1" si="10"/>
        <v>0</v>
      </c>
      <c r="F30" s="4">
        <f t="shared" ca="1" si="10"/>
        <v>0</v>
      </c>
      <c r="G30" s="4">
        <f t="shared" ca="1" si="10"/>
        <v>0</v>
      </c>
      <c r="H30" s="4">
        <f t="shared" ca="1" si="10"/>
        <v>0</v>
      </c>
      <c r="I30" s="4">
        <f t="shared" ca="1" si="10"/>
        <v>10</v>
      </c>
      <c r="J30" s="8">
        <f t="shared" ca="1" si="11"/>
        <v>0</v>
      </c>
      <c r="K30" s="8">
        <f t="shared" ca="1" si="11"/>
        <v>0</v>
      </c>
      <c r="L30" s="8">
        <f t="shared" ca="1" si="12"/>
        <v>0</v>
      </c>
      <c r="M30" s="8">
        <f t="shared" ca="1" si="12"/>
        <v>0</v>
      </c>
      <c r="N30" s="8">
        <f t="shared" ca="1" si="12"/>
        <v>0</v>
      </c>
      <c r="O30" s="8">
        <f t="shared" ca="1" si="12"/>
        <v>0</v>
      </c>
      <c r="P30" s="4">
        <f t="shared" ca="1" si="12"/>
        <v>0</v>
      </c>
      <c r="Q30" s="8">
        <f t="shared" ca="1" si="12"/>
        <v>0</v>
      </c>
      <c r="R30" s="8">
        <f t="shared" ca="1" si="12"/>
        <v>0</v>
      </c>
      <c r="S30" s="4">
        <f ca="1">IF(ISBLANK($B30), 0, IF(ISNUMBER(VLOOKUP($B30, INDIRECT($A30), MATCH("D"&amp;S$25, StatHeader, 0), 0)), IF(Setup!$F$50=1, VLOOKUP($B30, INDIRECT($A30), MATCH("D"&amp;S$25, StatHeader, 0), 0), 0), VLOOKUP($B30, INDIRECT($A30), MATCH(S$25, StatHeader, 0), 0)))</f>
        <v>100</v>
      </c>
      <c r="T30" s="4">
        <f t="shared" ca="1" si="12"/>
        <v>0</v>
      </c>
      <c r="V30" t="str">
        <f t="shared" si="15"/>
        <v>=</v>
      </c>
      <c r="W30" t="s">
        <v>89</v>
      </c>
      <c r="X30" s="16" t="s">
        <v>1364</v>
      </c>
      <c r="Y30" s="4">
        <f t="shared" ca="1" si="13"/>
        <v>0</v>
      </c>
      <c r="Z30" s="4">
        <f t="shared" ca="1" si="13"/>
        <v>0</v>
      </c>
      <c r="AA30" s="4">
        <f t="shared" ca="1" si="13"/>
        <v>0</v>
      </c>
      <c r="AB30" s="4">
        <f t="shared" ca="1" si="13"/>
        <v>0</v>
      </c>
      <c r="AC30" s="4">
        <f t="shared" ca="1" si="13"/>
        <v>0</v>
      </c>
      <c r="AD30" s="4">
        <f t="shared" ca="1" si="13"/>
        <v>0</v>
      </c>
      <c r="AE30" s="4">
        <f t="shared" ca="1" si="13"/>
        <v>10</v>
      </c>
      <c r="AF30" s="8">
        <f t="shared" ca="1" si="13"/>
        <v>0</v>
      </c>
      <c r="AG30" s="8">
        <f t="shared" ca="1" si="13"/>
        <v>0</v>
      </c>
      <c r="AH30" s="8">
        <f t="shared" ca="1" si="13"/>
        <v>0</v>
      </c>
      <c r="AI30" s="8">
        <f t="shared" ca="1" si="13"/>
        <v>0</v>
      </c>
      <c r="AJ30" s="8">
        <f t="shared" ca="1" si="14"/>
        <v>0</v>
      </c>
      <c r="AK30" s="8">
        <f t="shared" ca="1" si="14"/>
        <v>0</v>
      </c>
      <c r="AL30" s="4">
        <f t="shared" ca="1" si="14"/>
        <v>0</v>
      </c>
      <c r="AM30" s="8">
        <f t="shared" ca="1" si="14"/>
        <v>0</v>
      </c>
      <c r="AN30" s="8">
        <f t="shared" ca="1" si="14"/>
        <v>0</v>
      </c>
      <c r="AO30" s="4">
        <f ca="1">IF(ISBLANK($X30), 0, IF(ISNUMBER(VLOOKUP($X30, INDIRECT($W30), MATCH("D"&amp;AO$25, StatHeader, 0), 0)), IF(Setup!$G$50=1, VLOOKUP($X30, INDIRECT($W30), MATCH("D"&amp;AO$25, StatHeader, 0), 0), 0), VLOOKUP($X30, INDIRECT($W30), MATCH(AO$25, StatHeader, 0), 0)))</f>
        <v>100</v>
      </c>
      <c r="AP30" s="4">
        <f t="shared" ca="1" si="14"/>
        <v>0</v>
      </c>
    </row>
    <row r="31" spans="1:42" x14ac:dyDescent="0.2">
      <c r="A31" t="s">
        <v>90</v>
      </c>
      <c r="B31" s="16" t="s">
        <v>1719</v>
      </c>
      <c r="C31" s="4">
        <f t="shared" ca="1" si="10"/>
        <v>0</v>
      </c>
      <c r="D31" s="4">
        <f t="shared" ca="1" si="10"/>
        <v>5</v>
      </c>
      <c r="E31" s="4">
        <f t="shared" ca="1" si="10"/>
        <v>5</v>
      </c>
      <c r="F31" s="4">
        <f t="shared" ca="1" si="10"/>
        <v>0</v>
      </c>
      <c r="G31" s="4">
        <f t="shared" ca="1" si="10"/>
        <v>0</v>
      </c>
      <c r="H31" s="4">
        <f t="shared" ca="1" si="10"/>
        <v>0</v>
      </c>
      <c r="I31" s="4">
        <f t="shared" ca="1" si="10"/>
        <v>0</v>
      </c>
      <c r="J31" s="8">
        <f t="shared" ca="1" si="11"/>
        <v>0</v>
      </c>
      <c r="K31" s="8">
        <f t="shared" ca="1" si="11"/>
        <v>0.05</v>
      </c>
      <c r="L31" s="8">
        <f t="shared" ca="1" si="12"/>
        <v>0</v>
      </c>
      <c r="M31" s="8">
        <f t="shared" ca="1" si="12"/>
        <v>0</v>
      </c>
      <c r="N31" s="8">
        <f t="shared" ca="1" si="12"/>
        <v>0</v>
      </c>
      <c r="O31" s="8">
        <f t="shared" ca="1" si="12"/>
        <v>0</v>
      </c>
      <c r="P31" s="4">
        <f t="shared" ca="1" si="12"/>
        <v>0</v>
      </c>
      <c r="Q31" s="8">
        <f t="shared" ca="1" si="12"/>
        <v>0</v>
      </c>
      <c r="R31" s="8">
        <f t="shared" ca="1" si="12"/>
        <v>0</v>
      </c>
      <c r="S31" s="4">
        <f ca="1">IF(ISBLANK($B31), 0, IF(ISNUMBER(VLOOKUP($B31, INDIRECT($A31), MATCH("D"&amp;S$25, StatHeader, 0), 0)), IF(Setup!$F$50=1, VLOOKUP($B31, INDIRECT($A31), MATCH("D"&amp;S$25, StatHeader, 0), 0), 0), VLOOKUP($B31, INDIRECT($A31), MATCH(S$25, StatHeader, 0), 0)))</f>
        <v>0</v>
      </c>
      <c r="T31" s="4">
        <f t="shared" ca="1" si="12"/>
        <v>5</v>
      </c>
      <c r="V31" t="str">
        <f t="shared" si="15"/>
        <v>=</v>
      </c>
      <c r="W31" t="s">
        <v>90</v>
      </c>
      <c r="X31" s="16" t="s">
        <v>1719</v>
      </c>
      <c r="Y31" s="4">
        <f t="shared" ca="1" si="13"/>
        <v>0</v>
      </c>
      <c r="Z31" s="4">
        <f t="shared" ca="1" si="13"/>
        <v>5</v>
      </c>
      <c r="AA31" s="4">
        <f t="shared" ca="1" si="13"/>
        <v>5</v>
      </c>
      <c r="AB31" s="4">
        <f t="shared" ca="1" si="13"/>
        <v>0</v>
      </c>
      <c r="AC31" s="4">
        <f t="shared" ca="1" si="13"/>
        <v>0</v>
      </c>
      <c r="AD31" s="4">
        <f t="shared" ca="1" si="13"/>
        <v>0</v>
      </c>
      <c r="AE31" s="4">
        <f t="shared" ca="1" si="13"/>
        <v>0</v>
      </c>
      <c r="AF31" s="8">
        <f t="shared" ca="1" si="13"/>
        <v>0</v>
      </c>
      <c r="AG31" s="8">
        <f t="shared" ca="1" si="13"/>
        <v>0.05</v>
      </c>
      <c r="AH31" s="8">
        <f t="shared" ca="1" si="13"/>
        <v>0</v>
      </c>
      <c r="AI31" s="8">
        <f t="shared" ca="1" si="13"/>
        <v>0</v>
      </c>
      <c r="AJ31" s="8">
        <f t="shared" ca="1" si="14"/>
        <v>0</v>
      </c>
      <c r="AK31" s="8">
        <f t="shared" ca="1" si="14"/>
        <v>0</v>
      </c>
      <c r="AL31" s="4">
        <f t="shared" ca="1" si="14"/>
        <v>0</v>
      </c>
      <c r="AM31" s="8">
        <f t="shared" ca="1" si="14"/>
        <v>0</v>
      </c>
      <c r="AN31" s="8">
        <f t="shared" ca="1" si="14"/>
        <v>0</v>
      </c>
      <c r="AO31" s="4">
        <f ca="1">IF(ISBLANK($X31), 0, IF(ISNUMBER(VLOOKUP($X31, INDIRECT($W31), MATCH("D"&amp;AO$25, StatHeader, 0), 0)), IF(Setup!$G$50=1, VLOOKUP($X31, INDIRECT($W31), MATCH("D"&amp;AO$25, StatHeader, 0), 0), 0), VLOOKUP($X31, INDIRECT($W31), MATCH(AO$25, StatHeader, 0), 0)))</f>
        <v>0</v>
      </c>
      <c r="AP31" s="4">
        <f t="shared" ca="1" si="14"/>
        <v>5</v>
      </c>
    </row>
    <row r="32" spans="1:42" x14ac:dyDescent="0.2">
      <c r="A32" t="s">
        <v>90</v>
      </c>
      <c r="B32" s="16" t="s">
        <v>1331</v>
      </c>
      <c r="C32" s="4">
        <f t="shared" ca="1" si="10"/>
        <v>0</v>
      </c>
      <c r="D32" s="4">
        <f t="shared" ca="1" si="10"/>
        <v>0</v>
      </c>
      <c r="E32" s="4">
        <f t="shared" ca="1" si="10"/>
        <v>0</v>
      </c>
      <c r="F32" s="4">
        <f t="shared" ca="1" si="10"/>
        <v>0</v>
      </c>
      <c r="G32" s="4">
        <f t="shared" ca="1" si="10"/>
        <v>0</v>
      </c>
      <c r="H32" s="4">
        <f t="shared" ca="1" si="10"/>
        <v>0</v>
      </c>
      <c r="I32" s="4">
        <f t="shared" ca="1" si="10"/>
        <v>4</v>
      </c>
      <c r="J32" s="8">
        <f t="shared" ca="1" si="11"/>
        <v>0</v>
      </c>
      <c r="K32" s="8">
        <f t="shared" ca="1" si="11"/>
        <v>0</v>
      </c>
      <c r="L32" s="8">
        <f t="shared" ca="1" si="12"/>
        <v>0</v>
      </c>
      <c r="M32" s="8">
        <f t="shared" ca="1" si="12"/>
        <v>0</v>
      </c>
      <c r="N32" s="8">
        <f t="shared" ca="1" si="12"/>
        <v>0</v>
      </c>
      <c r="O32" s="8">
        <f t="shared" ca="1" si="12"/>
        <v>0</v>
      </c>
      <c r="P32" s="4">
        <f t="shared" ca="1" si="12"/>
        <v>250</v>
      </c>
      <c r="Q32" s="8">
        <f t="shared" ca="1" si="12"/>
        <v>0</v>
      </c>
      <c r="R32" s="8">
        <f t="shared" ca="1" si="12"/>
        <v>0</v>
      </c>
      <c r="S32" s="4">
        <f ca="1">IF(ISBLANK($B32), 0, IF(ISNUMBER(VLOOKUP($B32, INDIRECT($A32), MATCH("D"&amp;S$25, StatHeader, 0), 0)), IF(Setup!$F$50=1, VLOOKUP($B32, INDIRECT($A32), MATCH("D"&amp;S$25, StatHeader, 0), 0), 0), VLOOKUP($B32, INDIRECT($A32), MATCH(S$25, StatHeader, 0), 0)))</f>
        <v>0</v>
      </c>
      <c r="T32" s="4">
        <f t="shared" ca="1" si="12"/>
        <v>0</v>
      </c>
      <c r="V32" t="str">
        <f t="shared" si="15"/>
        <v>=</v>
      </c>
      <c r="W32" t="s">
        <v>90</v>
      </c>
      <c r="X32" s="16" t="s">
        <v>1331</v>
      </c>
      <c r="Y32" s="4">
        <f t="shared" ca="1" si="13"/>
        <v>0</v>
      </c>
      <c r="Z32" s="4">
        <f t="shared" ca="1" si="13"/>
        <v>0</v>
      </c>
      <c r="AA32" s="4">
        <f t="shared" ca="1" si="13"/>
        <v>0</v>
      </c>
      <c r="AB32" s="4">
        <f t="shared" ca="1" si="13"/>
        <v>0</v>
      </c>
      <c r="AC32" s="4">
        <f t="shared" ca="1" si="13"/>
        <v>0</v>
      </c>
      <c r="AD32" s="4">
        <f t="shared" ca="1" si="13"/>
        <v>0</v>
      </c>
      <c r="AE32" s="4">
        <f t="shared" ca="1" si="13"/>
        <v>4</v>
      </c>
      <c r="AF32" s="8">
        <f t="shared" ca="1" si="13"/>
        <v>0</v>
      </c>
      <c r="AG32" s="8">
        <f t="shared" ca="1" si="13"/>
        <v>0</v>
      </c>
      <c r="AH32" s="8">
        <f t="shared" ca="1" si="13"/>
        <v>0</v>
      </c>
      <c r="AI32" s="8">
        <f t="shared" ca="1" si="13"/>
        <v>0</v>
      </c>
      <c r="AJ32" s="8">
        <f t="shared" ca="1" si="14"/>
        <v>0</v>
      </c>
      <c r="AK32" s="8">
        <f t="shared" ca="1" si="14"/>
        <v>0</v>
      </c>
      <c r="AL32" s="4">
        <f t="shared" ca="1" si="14"/>
        <v>250</v>
      </c>
      <c r="AM32" s="8">
        <f t="shared" ca="1" si="14"/>
        <v>0</v>
      </c>
      <c r="AN32" s="8">
        <f t="shared" ca="1" si="14"/>
        <v>0</v>
      </c>
      <c r="AO32" s="4">
        <f ca="1">IF(ISBLANK($X32), 0, IF(ISNUMBER(VLOOKUP($X32, INDIRECT($W32), MATCH("D"&amp;AO$25, StatHeader, 0), 0)), IF(Setup!$G$50=1, VLOOKUP($X32, INDIRECT($W32), MATCH("D"&amp;AO$25, StatHeader, 0), 0), 0), VLOOKUP($X32, INDIRECT($W32), MATCH(AO$25, StatHeader, 0), 0)))</f>
        <v>0</v>
      </c>
      <c r="AP32" s="4">
        <f t="shared" ca="1" si="14"/>
        <v>0</v>
      </c>
    </row>
    <row r="33" spans="1:42" x14ac:dyDescent="0.2">
      <c r="A33" t="s">
        <v>91</v>
      </c>
      <c r="B33" s="16" t="s">
        <v>1704</v>
      </c>
      <c r="C33" s="4">
        <f t="shared" ca="1" si="10"/>
        <v>0</v>
      </c>
      <c r="D33" s="4">
        <f t="shared" ca="1" si="10"/>
        <v>40</v>
      </c>
      <c r="E33" s="4">
        <f t="shared" ca="1" si="10"/>
        <v>30</v>
      </c>
      <c r="F33" s="4">
        <f t="shared" ca="1" si="10"/>
        <v>30</v>
      </c>
      <c r="G33" s="4">
        <f t="shared" ca="1" si="10"/>
        <v>40</v>
      </c>
      <c r="H33" s="4">
        <f t="shared" ca="1" si="10"/>
        <v>45</v>
      </c>
      <c r="I33" s="4">
        <f t="shared" ca="1" si="10"/>
        <v>45</v>
      </c>
      <c r="J33" s="8">
        <f t="shared" ca="1" si="11"/>
        <v>0</v>
      </c>
      <c r="K33" s="8">
        <f t="shared" ca="1" si="11"/>
        <v>0</v>
      </c>
      <c r="L33" s="8">
        <f t="shared" ca="1" si="12"/>
        <v>0.05</v>
      </c>
      <c r="M33" s="8">
        <f t="shared" ca="1" si="12"/>
        <v>0</v>
      </c>
      <c r="N33" s="8">
        <f t="shared" ca="1" si="12"/>
        <v>0.04</v>
      </c>
      <c r="O33" s="8">
        <f t="shared" ca="1" si="12"/>
        <v>0</v>
      </c>
      <c r="P33" s="4">
        <f t="shared" ca="1" si="12"/>
        <v>0</v>
      </c>
      <c r="Q33" s="8">
        <f t="shared" ca="1" si="12"/>
        <v>0</v>
      </c>
      <c r="R33" s="8">
        <f t="shared" ca="1" si="12"/>
        <v>0</v>
      </c>
      <c r="S33" s="4">
        <f ca="1">IF(ISBLANK($B33), 0, IF(ISNUMBER(VLOOKUP($B33, INDIRECT($A33), MATCH("D"&amp;S$25, StatHeader, 0), 0)), IF(Setup!$F$50=1, VLOOKUP($B33, INDIRECT($A33), MATCH("D"&amp;S$25, StatHeader, 0), 0), 0), VLOOKUP($B33, INDIRECT($A33), MATCH(S$25, StatHeader, 0), 0)))</f>
        <v>0</v>
      </c>
      <c r="T33" s="4">
        <f t="shared" ca="1" si="12"/>
        <v>0</v>
      </c>
      <c r="V33" t="str">
        <f t="shared" si="15"/>
        <v>=</v>
      </c>
      <c r="W33" t="s">
        <v>91</v>
      </c>
      <c r="X33" s="16" t="s">
        <v>1704</v>
      </c>
      <c r="Y33" s="4">
        <f t="shared" ca="1" si="13"/>
        <v>0</v>
      </c>
      <c r="Z33" s="4">
        <f t="shared" ca="1" si="13"/>
        <v>40</v>
      </c>
      <c r="AA33" s="4">
        <f t="shared" ca="1" si="13"/>
        <v>30</v>
      </c>
      <c r="AB33" s="4">
        <f t="shared" ca="1" si="13"/>
        <v>30</v>
      </c>
      <c r="AC33" s="4">
        <f t="shared" ca="1" si="13"/>
        <v>40</v>
      </c>
      <c r="AD33" s="4">
        <f t="shared" ca="1" si="13"/>
        <v>45</v>
      </c>
      <c r="AE33" s="4">
        <f t="shared" ca="1" si="13"/>
        <v>45</v>
      </c>
      <c r="AF33" s="8">
        <f t="shared" ca="1" si="13"/>
        <v>0</v>
      </c>
      <c r="AG33" s="8">
        <f t="shared" ca="1" si="13"/>
        <v>0</v>
      </c>
      <c r="AH33" s="8">
        <f t="shared" ca="1" si="13"/>
        <v>0.05</v>
      </c>
      <c r="AI33" s="8">
        <f t="shared" ca="1" si="13"/>
        <v>0</v>
      </c>
      <c r="AJ33" s="8">
        <f t="shared" ca="1" si="14"/>
        <v>0.04</v>
      </c>
      <c r="AK33" s="8">
        <f t="shared" ca="1" si="14"/>
        <v>0</v>
      </c>
      <c r="AL33" s="4">
        <f t="shared" ca="1" si="14"/>
        <v>0</v>
      </c>
      <c r="AM33" s="8">
        <f t="shared" ca="1" si="14"/>
        <v>0</v>
      </c>
      <c r="AN33" s="8">
        <f t="shared" ca="1" si="14"/>
        <v>0</v>
      </c>
      <c r="AO33" s="4">
        <f ca="1">IF(ISBLANK($X33), 0, IF(ISNUMBER(VLOOKUP($X33, INDIRECT($W33), MATCH("D"&amp;AO$25, StatHeader, 0), 0)), IF(Setup!$G$50=1, VLOOKUP($X33, INDIRECT($W33), MATCH("D"&amp;AO$25, StatHeader, 0), 0), 0), VLOOKUP($X33, INDIRECT($W33), MATCH(AO$25, StatHeader, 0), 0)))</f>
        <v>0</v>
      </c>
      <c r="AP33" s="4">
        <f t="shared" ca="1" si="14"/>
        <v>0</v>
      </c>
    </row>
    <row r="34" spans="1:42" x14ac:dyDescent="0.2">
      <c r="A34" t="s">
        <v>92</v>
      </c>
      <c r="B34" s="16" t="s">
        <v>1871</v>
      </c>
      <c r="C34" s="4">
        <f t="shared" ca="1" si="10"/>
        <v>0</v>
      </c>
      <c r="D34" s="4">
        <f t="shared" ca="1" si="10"/>
        <v>23</v>
      </c>
      <c r="E34" s="4">
        <f t="shared" ca="1" si="10"/>
        <v>34</v>
      </c>
      <c r="F34" s="4">
        <f t="shared" ca="1" si="10"/>
        <v>0</v>
      </c>
      <c r="G34" s="4">
        <f t="shared" ca="1" si="10"/>
        <v>45</v>
      </c>
      <c r="H34" s="4">
        <f t="shared" ca="1" si="10"/>
        <v>47</v>
      </c>
      <c r="I34" s="4">
        <f t="shared" ca="1" si="10"/>
        <v>43</v>
      </c>
      <c r="J34" s="8">
        <f t="shared" ca="1" si="11"/>
        <v>0</v>
      </c>
      <c r="K34" s="8">
        <f t="shared" ca="1" si="11"/>
        <v>0.06</v>
      </c>
      <c r="L34" s="8">
        <f t="shared" ca="1" si="12"/>
        <v>0</v>
      </c>
      <c r="M34" s="8">
        <f t="shared" ca="1" si="12"/>
        <v>0</v>
      </c>
      <c r="N34" s="8">
        <f t="shared" ca="1" si="12"/>
        <v>0</v>
      </c>
      <c r="O34" s="8">
        <f t="shared" ca="1" si="12"/>
        <v>0</v>
      </c>
      <c r="P34" s="4">
        <f t="shared" ca="1" si="12"/>
        <v>0</v>
      </c>
      <c r="Q34" s="8">
        <f t="shared" ca="1" si="12"/>
        <v>0</v>
      </c>
      <c r="R34" s="8">
        <f t="shared" ca="1" si="12"/>
        <v>0</v>
      </c>
      <c r="S34" s="4">
        <f ca="1">IF(ISBLANK($B34), 0, IF(ISNUMBER(VLOOKUP($B34, INDIRECT($A34), MATCH("D"&amp;S$25, StatHeader, 0), 0)), IF(Setup!$F$50=1, VLOOKUP($B34, INDIRECT($A34), MATCH("D"&amp;S$25, StatHeader, 0), 0), 0), VLOOKUP($B34, INDIRECT($A34), MATCH(S$25, StatHeader, 0), 0)))</f>
        <v>0</v>
      </c>
      <c r="T34" s="4">
        <f t="shared" ca="1" si="12"/>
        <v>0</v>
      </c>
      <c r="V34" t="str">
        <f t="shared" si="15"/>
        <v>=</v>
      </c>
      <c r="W34" t="s">
        <v>92</v>
      </c>
      <c r="X34" s="16" t="s">
        <v>1871</v>
      </c>
      <c r="Y34" s="4">
        <f t="shared" ca="1" si="13"/>
        <v>0</v>
      </c>
      <c r="Z34" s="4">
        <f t="shared" ca="1" si="13"/>
        <v>23</v>
      </c>
      <c r="AA34" s="4">
        <f t="shared" ca="1" si="13"/>
        <v>34</v>
      </c>
      <c r="AB34" s="4">
        <f t="shared" ca="1" si="13"/>
        <v>0</v>
      </c>
      <c r="AC34" s="4">
        <f t="shared" ca="1" si="13"/>
        <v>45</v>
      </c>
      <c r="AD34" s="4">
        <f t="shared" ca="1" si="13"/>
        <v>47</v>
      </c>
      <c r="AE34" s="4">
        <f t="shared" ca="1" si="13"/>
        <v>43</v>
      </c>
      <c r="AF34" s="8">
        <f t="shared" ca="1" si="13"/>
        <v>0</v>
      </c>
      <c r="AG34" s="8">
        <f t="shared" ca="1" si="13"/>
        <v>0.06</v>
      </c>
      <c r="AH34" s="8">
        <f t="shared" ca="1" si="13"/>
        <v>0</v>
      </c>
      <c r="AI34" s="8">
        <f t="shared" ca="1" si="13"/>
        <v>0</v>
      </c>
      <c r="AJ34" s="8">
        <f t="shared" ca="1" si="14"/>
        <v>0</v>
      </c>
      <c r="AK34" s="8">
        <f t="shared" ca="1" si="14"/>
        <v>0</v>
      </c>
      <c r="AL34" s="4">
        <f t="shared" ca="1" si="14"/>
        <v>0</v>
      </c>
      <c r="AM34" s="8">
        <f t="shared" ca="1" si="14"/>
        <v>0</v>
      </c>
      <c r="AN34" s="8">
        <f t="shared" ca="1" si="14"/>
        <v>0</v>
      </c>
      <c r="AO34" s="4">
        <f ca="1">IF(ISBLANK($X34), 0, IF(ISNUMBER(VLOOKUP($X34, INDIRECT($W34), MATCH("D"&amp;AO$25, StatHeader, 0), 0)), IF(Setup!$G$50=1, VLOOKUP($X34, INDIRECT($W34), MATCH("D"&amp;AO$25, StatHeader, 0), 0), 0), VLOOKUP($X34, INDIRECT($W34), MATCH(AO$25, StatHeader, 0), 0)))</f>
        <v>0</v>
      </c>
      <c r="AP34" s="4">
        <f t="shared" ca="1" si="14"/>
        <v>0</v>
      </c>
    </row>
    <row r="35" spans="1:42" x14ac:dyDescent="0.2">
      <c r="A35" t="s">
        <v>93</v>
      </c>
      <c r="B35" s="16" t="s">
        <v>1776</v>
      </c>
      <c r="C35" s="4">
        <f t="shared" ca="1" si="10"/>
        <v>0</v>
      </c>
      <c r="D35" s="4">
        <f t="shared" ca="1" si="10"/>
        <v>10</v>
      </c>
      <c r="E35" s="4">
        <f t="shared" ca="1" si="10"/>
        <v>10</v>
      </c>
      <c r="F35" s="4">
        <f t="shared" ca="1" si="10"/>
        <v>10</v>
      </c>
      <c r="G35" s="4">
        <f t="shared" ca="1" si="10"/>
        <v>10</v>
      </c>
      <c r="H35" s="4">
        <f t="shared" ca="1" si="10"/>
        <v>20</v>
      </c>
      <c r="I35" s="4">
        <f t="shared" ca="1" si="10"/>
        <v>0</v>
      </c>
      <c r="J35" s="8">
        <f t="shared" ca="1" si="11"/>
        <v>0</v>
      </c>
      <c r="K35" s="8">
        <f t="shared" ca="1" si="11"/>
        <v>0</v>
      </c>
      <c r="L35" s="8">
        <f t="shared" ca="1" si="12"/>
        <v>0</v>
      </c>
      <c r="M35" s="8">
        <f t="shared" ca="1" si="12"/>
        <v>0</v>
      </c>
      <c r="N35" s="8">
        <f t="shared" ca="1" si="12"/>
        <v>0</v>
      </c>
      <c r="O35" s="8">
        <f t="shared" ca="1" si="12"/>
        <v>0</v>
      </c>
      <c r="P35" s="4">
        <f t="shared" ca="1" si="12"/>
        <v>0</v>
      </c>
      <c r="Q35" s="8">
        <f t="shared" ca="1" si="12"/>
        <v>0</v>
      </c>
      <c r="R35" s="8">
        <f t="shared" ca="1" si="12"/>
        <v>0</v>
      </c>
      <c r="S35" s="4">
        <f ca="1">IF(ISBLANK($B35), 0, IF(ISNUMBER(VLOOKUP($B35, INDIRECT($A35), MATCH("D"&amp;S$25, StatHeader, 0), 0)), IF(Setup!$F$50=1, VLOOKUP($B35, INDIRECT($A35), MATCH("D"&amp;S$25, StatHeader, 0), 0), 0), VLOOKUP($B35, INDIRECT($A35), MATCH(S$25, StatHeader, 0), 0)))</f>
        <v>0</v>
      </c>
      <c r="T35" s="4">
        <f t="shared" ca="1" si="12"/>
        <v>0</v>
      </c>
      <c r="V35" t="str">
        <f t="shared" si="15"/>
        <v>=</v>
      </c>
      <c r="W35" t="s">
        <v>93</v>
      </c>
      <c r="X35" s="16" t="s">
        <v>1776</v>
      </c>
      <c r="Y35" s="4">
        <f t="shared" ca="1" si="13"/>
        <v>0</v>
      </c>
      <c r="Z35" s="4">
        <f t="shared" ca="1" si="13"/>
        <v>10</v>
      </c>
      <c r="AA35" s="4">
        <f t="shared" ca="1" si="13"/>
        <v>10</v>
      </c>
      <c r="AB35" s="4">
        <f t="shared" ca="1" si="13"/>
        <v>10</v>
      </c>
      <c r="AC35" s="4">
        <f t="shared" ca="1" si="13"/>
        <v>10</v>
      </c>
      <c r="AD35" s="4">
        <f t="shared" ca="1" si="13"/>
        <v>20</v>
      </c>
      <c r="AE35" s="4">
        <f t="shared" ca="1" si="13"/>
        <v>0</v>
      </c>
      <c r="AF35" s="8">
        <f t="shared" ca="1" si="13"/>
        <v>0</v>
      </c>
      <c r="AG35" s="8">
        <f t="shared" ca="1" si="13"/>
        <v>0</v>
      </c>
      <c r="AH35" s="8">
        <f t="shared" ca="1" si="13"/>
        <v>0</v>
      </c>
      <c r="AI35" s="8">
        <f t="shared" ca="1" si="13"/>
        <v>0</v>
      </c>
      <c r="AJ35" s="8">
        <f t="shared" ca="1" si="14"/>
        <v>0</v>
      </c>
      <c r="AK35" s="8">
        <f t="shared" ca="1" si="14"/>
        <v>0</v>
      </c>
      <c r="AL35" s="4">
        <f t="shared" ca="1" si="14"/>
        <v>0</v>
      </c>
      <c r="AM35" s="8">
        <f t="shared" ca="1" si="14"/>
        <v>0</v>
      </c>
      <c r="AN35" s="8">
        <f t="shared" ca="1" si="14"/>
        <v>0</v>
      </c>
      <c r="AO35" s="4">
        <f ca="1">IF(ISBLANK($X35), 0, IF(ISNUMBER(VLOOKUP($X35, INDIRECT($W35), MATCH("D"&amp;AO$25, StatHeader, 0), 0)), IF(Setup!$G$50=1, VLOOKUP($X35, INDIRECT($W35), MATCH("D"&amp;AO$25, StatHeader, 0), 0), 0), VLOOKUP($X35, INDIRECT($W35), MATCH(AO$25, StatHeader, 0), 0)))</f>
        <v>0</v>
      </c>
      <c r="AP35" s="4">
        <f t="shared" ca="1" si="14"/>
        <v>0</v>
      </c>
    </row>
    <row r="36" spans="1:42" x14ac:dyDescent="0.2">
      <c r="A36" t="s">
        <v>93</v>
      </c>
      <c r="B36" s="16" t="s">
        <v>1720</v>
      </c>
      <c r="C36" s="4">
        <f t="shared" ca="1" si="10"/>
        <v>0</v>
      </c>
      <c r="D36" s="4">
        <f t="shared" ca="1" si="10"/>
        <v>10</v>
      </c>
      <c r="E36" s="4">
        <f t="shared" ca="1" si="10"/>
        <v>10</v>
      </c>
      <c r="F36" s="4">
        <f t="shared" ca="1" si="10"/>
        <v>0</v>
      </c>
      <c r="G36" s="4">
        <f t="shared" ca="1" si="10"/>
        <v>10</v>
      </c>
      <c r="H36" s="4">
        <f t="shared" ca="1" si="10"/>
        <v>0</v>
      </c>
      <c r="I36" s="4">
        <f t="shared" ca="1" si="10"/>
        <v>0</v>
      </c>
      <c r="J36" s="8">
        <f t="shared" ca="1" si="11"/>
        <v>0</v>
      </c>
      <c r="K36" s="8">
        <f t="shared" ca="1" si="11"/>
        <v>0</v>
      </c>
      <c r="L36" s="8">
        <f t="shared" ca="1" si="12"/>
        <v>0</v>
      </c>
      <c r="M36" s="8">
        <f t="shared" ca="1" si="12"/>
        <v>0.03</v>
      </c>
      <c r="N36" s="8">
        <f t="shared" ca="1" si="12"/>
        <v>0</v>
      </c>
      <c r="O36" s="8">
        <f t="shared" ca="1" si="12"/>
        <v>0</v>
      </c>
      <c r="P36" s="4">
        <f t="shared" ca="1" si="12"/>
        <v>0</v>
      </c>
      <c r="Q36" s="8">
        <f t="shared" ca="1" si="12"/>
        <v>0</v>
      </c>
      <c r="R36" s="8">
        <f t="shared" ca="1" si="12"/>
        <v>0</v>
      </c>
      <c r="S36" s="4">
        <f ca="1">IF(ISBLANK($B36), 0, IF(ISNUMBER(VLOOKUP($B36, INDIRECT($A36), MATCH("D"&amp;S$25, StatHeader, 0), 0)), IF(Setup!$F$50=1, VLOOKUP($B36, INDIRECT($A36), MATCH("D"&amp;S$25, StatHeader, 0), 0), 0), VLOOKUP($B36, INDIRECT($A36), MATCH(S$25, StatHeader, 0), 0)))</f>
        <v>0</v>
      </c>
      <c r="T36" s="4">
        <f t="shared" ca="1" si="12"/>
        <v>0</v>
      </c>
      <c r="V36" t="str">
        <f t="shared" si="15"/>
        <v>=</v>
      </c>
      <c r="W36" t="s">
        <v>93</v>
      </c>
      <c r="X36" s="16" t="s">
        <v>1720</v>
      </c>
      <c r="Y36" s="4">
        <f t="shared" ca="1" si="13"/>
        <v>0</v>
      </c>
      <c r="Z36" s="4">
        <f t="shared" ca="1" si="13"/>
        <v>10</v>
      </c>
      <c r="AA36" s="4">
        <f t="shared" ca="1" si="13"/>
        <v>10</v>
      </c>
      <c r="AB36" s="4">
        <f t="shared" ca="1" si="13"/>
        <v>0</v>
      </c>
      <c r="AC36" s="4">
        <f t="shared" ca="1" si="13"/>
        <v>10</v>
      </c>
      <c r="AD36" s="4">
        <f t="shared" ca="1" si="13"/>
        <v>0</v>
      </c>
      <c r="AE36" s="4">
        <f t="shared" ca="1" si="13"/>
        <v>0</v>
      </c>
      <c r="AF36" s="8">
        <f t="shared" ca="1" si="13"/>
        <v>0</v>
      </c>
      <c r="AG36" s="8">
        <f t="shared" ca="1" si="13"/>
        <v>0</v>
      </c>
      <c r="AH36" s="8">
        <f t="shared" ca="1" si="13"/>
        <v>0</v>
      </c>
      <c r="AI36" s="8">
        <f t="shared" ca="1" si="13"/>
        <v>0.03</v>
      </c>
      <c r="AJ36" s="8">
        <f t="shared" ca="1" si="14"/>
        <v>0</v>
      </c>
      <c r="AK36" s="8">
        <f t="shared" ca="1" si="14"/>
        <v>0</v>
      </c>
      <c r="AL36" s="4">
        <f t="shared" ca="1" si="14"/>
        <v>0</v>
      </c>
      <c r="AM36" s="8">
        <f t="shared" ca="1" si="14"/>
        <v>0</v>
      </c>
      <c r="AN36" s="8">
        <f t="shared" ca="1" si="14"/>
        <v>0</v>
      </c>
      <c r="AO36" s="4">
        <f ca="1">IF(ISBLANK($X36), 0, IF(ISNUMBER(VLOOKUP($X36, INDIRECT($W36), MATCH("D"&amp;AO$25, StatHeader, 0), 0)), IF(Setup!$G$50=1, VLOOKUP($X36, INDIRECT($W36), MATCH("D"&amp;AO$25, StatHeader, 0), 0), 0), VLOOKUP($X36, INDIRECT($W36), MATCH(AO$25, StatHeader, 0), 0)))</f>
        <v>0</v>
      </c>
      <c r="AP36" s="4">
        <f t="shared" ca="1" si="14"/>
        <v>0</v>
      </c>
    </row>
    <row r="37" spans="1:42" x14ac:dyDescent="0.2">
      <c r="A37" t="s">
        <v>94</v>
      </c>
      <c r="B37" s="16" t="s">
        <v>1417</v>
      </c>
      <c r="C37" s="4">
        <f t="shared" ca="1" si="10"/>
        <v>0</v>
      </c>
      <c r="D37" s="4">
        <f t="shared" ca="1" si="10"/>
        <v>30</v>
      </c>
      <c r="E37" s="4">
        <f t="shared" ca="1" si="10"/>
        <v>0</v>
      </c>
      <c r="F37" s="4">
        <f t="shared" ca="1" si="10"/>
        <v>0</v>
      </c>
      <c r="G37" s="4">
        <f t="shared" ca="1" si="10"/>
        <v>0</v>
      </c>
      <c r="H37" s="4">
        <f t="shared" ca="1" si="10"/>
        <v>20</v>
      </c>
      <c r="I37" s="4">
        <f t="shared" ca="1" si="10"/>
        <v>20</v>
      </c>
      <c r="J37" s="8">
        <f t="shared" ca="1" si="11"/>
        <v>0</v>
      </c>
      <c r="K37" s="8">
        <f t="shared" ca="1" si="11"/>
        <v>0.1</v>
      </c>
      <c r="L37" s="8">
        <f t="shared" ca="1" si="12"/>
        <v>0</v>
      </c>
      <c r="M37" s="8">
        <f t="shared" ca="1" si="12"/>
        <v>0</v>
      </c>
      <c r="N37" s="8">
        <f t="shared" ca="1" si="12"/>
        <v>0</v>
      </c>
      <c r="O37" s="8">
        <f t="shared" ca="1" si="12"/>
        <v>0</v>
      </c>
      <c r="P37" s="4">
        <f t="shared" ca="1" si="12"/>
        <v>0</v>
      </c>
      <c r="Q37" s="8">
        <f t="shared" ca="1" si="12"/>
        <v>0</v>
      </c>
      <c r="R37" s="8">
        <f t="shared" ca="1" si="12"/>
        <v>0</v>
      </c>
      <c r="S37" s="4">
        <f ca="1">IF(ISBLANK($B37), 0, IF(ISNUMBER(VLOOKUP($B37, INDIRECT($A37), MATCH("D"&amp;S$25, StatHeader, 0), 0)), IF(Setup!$F$50=1, VLOOKUP($B37, INDIRECT($A37), MATCH("D"&amp;S$25, StatHeader, 0), 0), 0), VLOOKUP($B37, INDIRECT($A37), MATCH(S$25, StatHeader, 0), 0)))</f>
        <v>0</v>
      </c>
      <c r="T37" s="4">
        <f t="shared" ca="1" si="12"/>
        <v>0</v>
      </c>
      <c r="V37" t="str">
        <f t="shared" si="15"/>
        <v>=</v>
      </c>
      <c r="W37" t="s">
        <v>94</v>
      </c>
      <c r="X37" s="16" t="s">
        <v>1417</v>
      </c>
      <c r="Y37" s="4">
        <f t="shared" ca="1" si="13"/>
        <v>0</v>
      </c>
      <c r="Z37" s="4">
        <f t="shared" ca="1" si="13"/>
        <v>30</v>
      </c>
      <c r="AA37" s="4">
        <f t="shared" ca="1" si="13"/>
        <v>0</v>
      </c>
      <c r="AB37" s="4">
        <f t="shared" ca="1" si="13"/>
        <v>0</v>
      </c>
      <c r="AC37" s="4">
        <f t="shared" ca="1" si="13"/>
        <v>0</v>
      </c>
      <c r="AD37" s="4">
        <f t="shared" ca="1" si="13"/>
        <v>20</v>
      </c>
      <c r="AE37" s="4">
        <f t="shared" ca="1" si="13"/>
        <v>20</v>
      </c>
      <c r="AF37" s="8">
        <f t="shared" ca="1" si="13"/>
        <v>0</v>
      </c>
      <c r="AG37" s="8">
        <f t="shared" ca="1" si="13"/>
        <v>0.1</v>
      </c>
      <c r="AH37" s="8">
        <f t="shared" ca="1" si="13"/>
        <v>0</v>
      </c>
      <c r="AI37" s="8">
        <f t="shared" ca="1" si="13"/>
        <v>0</v>
      </c>
      <c r="AJ37" s="8">
        <f t="shared" ca="1" si="14"/>
        <v>0</v>
      </c>
      <c r="AK37" s="8">
        <f t="shared" ca="1" si="14"/>
        <v>0</v>
      </c>
      <c r="AL37" s="4">
        <f t="shared" ca="1" si="14"/>
        <v>0</v>
      </c>
      <c r="AM37" s="8">
        <f t="shared" ca="1" si="14"/>
        <v>0</v>
      </c>
      <c r="AN37" s="8">
        <f t="shared" ca="1" si="14"/>
        <v>0</v>
      </c>
      <c r="AO37" s="4">
        <f ca="1">IF(ISBLANK($X37), 0, IF(ISNUMBER(VLOOKUP($X37, INDIRECT($W37), MATCH("D"&amp;AO$25, StatHeader, 0), 0)), IF(Setup!$G$50=1, VLOOKUP($X37, INDIRECT($W37), MATCH("D"&amp;AO$25, StatHeader, 0), 0), 0), VLOOKUP($X37, INDIRECT($W37), MATCH(AO$25, StatHeader, 0), 0)))</f>
        <v>0</v>
      </c>
      <c r="AP37" s="4">
        <f t="shared" ca="1" si="14"/>
        <v>0</v>
      </c>
    </row>
    <row r="38" spans="1:42" x14ac:dyDescent="0.2">
      <c r="A38" t="s">
        <v>95</v>
      </c>
      <c r="B38" s="16" t="s">
        <v>1365</v>
      </c>
      <c r="C38" s="4">
        <f t="shared" ca="1" si="10"/>
        <v>0</v>
      </c>
      <c r="D38" s="4">
        <f t="shared" ca="1" si="10"/>
        <v>0</v>
      </c>
      <c r="E38" s="4">
        <f t="shared" ca="1" si="10"/>
        <v>0</v>
      </c>
      <c r="F38" s="4">
        <f t="shared" ca="1" si="10"/>
        <v>0</v>
      </c>
      <c r="G38" s="4">
        <f t="shared" ca="1" si="10"/>
        <v>0</v>
      </c>
      <c r="H38" s="4">
        <f t="shared" ca="1" si="10"/>
        <v>0</v>
      </c>
      <c r="I38" s="4">
        <f t="shared" ca="1" si="10"/>
        <v>10</v>
      </c>
      <c r="J38" s="8">
        <f t="shared" ca="1" si="11"/>
        <v>0</v>
      </c>
      <c r="K38" s="8">
        <f t="shared" ca="1" si="11"/>
        <v>0</v>
      </c>
      <c r="L38" s="8">
        <f t="shared" ca="1" si="12"/>
        <v>0</v>
      </c>
      <c r="M38" s="8">
        <f t="shared" ca="1" si="12"/>
        <v>0</v>
      </c>
      <c r="N38" s="8">
        <f t="shared" ca="1" si="12"/>
        <v>0</v>
      </c>
      <c r="O38" s="8">
        <f t="shared" ca="1" si="12"/>
        <v>0</v>
      </c>
      <c r="P38" s="4">
        <f t="shared" ca="1" si="12"/>
        <v>0</v>
      </c>
      <c r="Q38" s="8">
        <f t="shared" ca="1" si="12"/>
        <v>0</v>
      </c>
      <c r="R38" s="8">
        <f t="shared" ca="1" si="12"/>
        <v>7.0000000000000007E-2</v>
      </c>
      <c r="S38" s="4">
        <f ca="1">IF(ISBLANK($B38), 0, IF(ISNUMBER(VLOOKUP($B38, INDIRECT($A38), MATCH("D"&amp;S$25, StatHeader, 0), 0)), IF(Setup!$F$50=1, VLOOKUP($B38, INDIRECT($A38), MATCH("D"&amp;S$25, StatHeader, 0), 0), 0), VLOOKUP($B38, INDIRECT($A38), MATCH(S$25, StatHeader, 0), 0)))</f>
        <v>100</v>
      </c>
      <c r="T38" s="4">
        <f t="shared" ca="1" si="12"/>
        <v>0</v>
      </c>
      <c r="V38" t="str">
        <f t="shared" si="15"/>
        <v>=</v>
      </c>
      <c r="W38" t="s">
        <v>95</v>
      </c>
      <c r="X38" s="16" t="s">
        <v>1365</v>
      </c>
      <c r="Y38" s="4">
        <f t="shared" ca="1" si="13"/>
        <v>0</v>
      </c>
      <c r="Z38" s="4">
        <f t="shared" ca="1" si="13"/>
        <v>0</v>
      </c>
      <c r="AA38" s="4">
        <f t="shared" ca="1" si="13"/>
        <v>0</v>
      </c>
      <c r="AB38" s="4">
        <f t="shared" ca="1" si="13"/>
        <v>0</v>
      </c>
      <c r="AC38" s="4">
        <f t="shared" ca="1" si="13"/>
        <v>0</v>
      </c>
      <c r="AD38" s="4">
        <f t="shared" ca="1" si="13"/>
        <v>0</v>
      </c>
      <c r="AE38" s="4">
        <f t="shared" ca="1" si="13"/>
        <v>10</v>
      </c>
      <c r="AF38" s="8">
        <f t="shared" ca="1" si="13"/>
        <v>0</v>
      </c>
      <c r="AG38" s="8">
        <f t="shared" ca="1" si="13"/>
        <v>0</v>
      </c>
      <c r="AH38" s="8">
        <f t="shared" ca="1" si="13"/>
        <v>0</v>
      </c>
      <c r="AI38" s="8">
        <f t="shared" ca="1" si="13"/>
        <v>0</v>
      </c>
      <c r="AJ38" s="8">
        <f t="shared" ca="1" si="14"/>
        <v>0</v>
      </c>
      <c r="AK38" s="8">
        <f t="shared" ca="1" si="14"/>
        <v>0</v>
      </c>
      <c r="AL38" s="4">
        <f t="shared" ca="1" si="14"/>
        <v>0</v>
      </c>
      <c r="AM38" s="8">
        <f t="shared" ca="1" si="14"/>
        <v>0</v>
      </c>
      <c r="AN38" s="8">
        <f t="shared" ca="1" si="14"/>
        <v>7.0000000000000007E-2</v>
      </c>
      <c r="AO38" s="4">
        <f ca="1">IF(ISBLANK($X38), 0, IF(ISNUMBER(VLOOKUP($X38, INDIRECT($W38), MATCH("D"&amp;AO$25, StatHeader, 0), 0)), IF(Setup!$G$50=1, VLOOKUP($X38, INDIRECT($W38), MATCH("D"&amp;AO$25, StatHeader, 0), 0), 0), VLOOKUP($X38, INDIRECT($W38), MATCH(AO$25, StatHeader, 0), 0)))</f>
        <v>100</v>
      </c>
      <c r="AP38" s="4">
        <f t="shared" ca="1" si="14"/>
        <v>0</v>
      </c>
    </row>
    <row r="39" spans="1:42" x14ac:dyDescent="0.2">
      <c r="A39" t="s">
        <v>96</v>
      </c>
      <c r="B39" s="16" t="s">
        <v>1872</v>
      </c>
      <c r="C39" s="4">
        <f t="shared" ca="1" si="10"/>
        <v>0</v>
      </c>
      <c r="D39" s="4">
        <f t="shared" ca="1" si="10"/>
        <v>47</v>
      </c>
      <c r="E39" s="4">
        <f t="shared" ca="1" si="10"/>
        <v>0</v>
      </c>
      <c r="F39" s="4">
        <f t="shared" ca="1" si="10"/>
        <v>14</v>
      </c>
      <c r="G39" s="4">
        <f t="shared" ca="1" si="10"/>
        <v>33</v>
      </c>
      <c r="H39" s="4">
        <f t="shared" ca="1" si="10"/>
        <v>49</v>
      </c>
      <c r="I39" s="4">
        <f t="shared" ca="1" si="10"/>
        <v>45</v>
      </c>
      <c r="J39" s="8">
        <f t="shared" ca="1" si="11"/>
        <v>0</v>
      </c>
      <c r="K39" s="8">
        <f t="shared" ca="1" si="11"/>
        <v>0</v>
      </c>
      <c r="L39" s="8">
        <f t="shared" ca="1" si="12"/>
        <v>0.04</v>
      </c>
      <c r="M39" s="8">
        <f t="shared" ca="1" si="12"/>
        <v>0</v>
      </c>
      <c r="N39" s="8">
        <f t="shared" ca="1" si="12"/>
        <v>0</v>
      </c>
      <c r="O39" s="8">
        <f t="shared" ca="1" si="12"/>
        <v>0</v>
      </c>
      <c r="P39" s="4">
        <f t="shared" ca="1" si="12"/>
        <v>0</v>
      </c>
      <c r="Q39" s="8">
        <f t="shared" ca="1" si="12"/>
        <v>0</v>
      </c>
      <c r="R39" s="8">
        <f t="shared" ca="1" si="12"/>
        <v>0</v>
      </c>
      <c r="S39" s="4">
        <f ca="1">IF(ISBLANK($B39), 0, IF(ISNUMBER(VLOOKUP($B39, INDIRECT($A39), MATCH("D"&amp;S$25, StatHeader, 0), 0)), IF(Setup!$F$50=1, VLOOKUP($B39, INDIRECT($A39), MATCH("D"&amp;S$25, StatHeader, 0), 0), 0), VLOOKUP($B39, INDIRECT($A39), MATCH(S$25, StatHeader, 0), 0)))</f>
        <v>0</v>
      </c>
      <c r="T39" s="4">
        <f t="shared" ca="1" si="12"/>
        <v>0</v>
      </c>
      <c r="V39" t="str">
        <f t="shared" si="15"/>
        <v>=</v>
      </c>
      <c r="W39" t="s">
        <v>96</v>
      </c>
      <c r="X39" s="16" t="s">
        <v>1872</v>
      </c>
      <c r="Y39" s="4">
        <f t="shared" ca="1" si="13"/>
        <v>0</v>
      </c>
      <c r="Z39" s="4">
        <f t="shared" ca="1" si="13"/>
        <v>47</v>
      </c>
      <c r="AA39" s="4">
        <f t="shared" ca="1" si="13"/>
        <v>0</v>
      </c>
      <c r="AB39" s="4">
        <f t="shared" ca="1" si="13"/>
        <v>14</v>
      </c>
      <c r="AC39" s="4">
        <f t="shared" ca="1" si="13"/>
        <v>33</v>
      </c>
      <c r="AD39" s="4">
        <f t="shared" ca="1" si="13"/>
        <v>49</v>
      </c>
      <c r="AE39" s="4">
        <f t="shared" ca="1" si="13"/>
        <v>45</v>
      </c>
      <c r="AF39" s="8">
        <f t="shared" ca="1" si="13"/>
        <v>0</v>
      </c>
      <c r="AG39" s="8">
        <f t="shared" ca="1" si="13"/>
        <v>0</v>
      </c>
      <c r="AH39" s="8">
        <f t="shared" ca="1" si="13"/>
        <v>0.04</v>
      </c>
      <c r="AI39" s="8">
        <f t="shared" ca="1" si="13"/>
        <v>0</v>
      </c>
      <c r="AJ39" s="8">
        <f t="shared" ca="1" si="14"/>
        <v>0</v>
      </c>
      <c r="AK39" s="8">
        <f t="shared" ca="1" si="14"/>
        <v>0</v>
      </c>
      <c r="AL39" s="4">
        <f t="shared" ca="1" si="14"/>
        <v>0</v>
      </c>
      <c r="AM39" s="8">
        <f t="shared" ca="1" si="14"/>
        <v>0</v>
      </c>
      <c r="AN39" s="8">
        <f t="shared" ca="1" si="14"/>
        <v>0</v>
      </c>
      <c r="AO39" s="4">
        <f ca="1">IF(ISBLANK($X39), 0, IF(ISNUMBER(VLOOKUP($X39, INDIRECT($W39), MATCH("D"&amp;AO$25, StatHeader, 0), 0)), IF(Setup!$G$50=1, VLOOKUP($X39, INDIRECT($W39), MATCH("D"&amp;AO$25, StatHeader, 0), 0), 0), VLOOKUP($X39, INDIRECT($W39), MATCH(AO$25, StatHeader, 0), 0)))</f>
        <v>0</v>
      </c>
      <c r="AP39" s="4">
        <f t="shared" ca="1" si="14"/>
        <v>0</v>
      </c>
    </row>
    <row r="40" spans="1:42" x14ac:dyDescent="0.2">
      <c r="A40" t="s">
        <v>97</v>
      </c>
      <c r="B40" s="16" t="s">
        <v>1873</v>
      </c>
      <c r="C40" s="4">
        <f t="shared" ca="1" si="10"/>
        <v>0</v>
      </c>
      <c r="D40" s="4">
        <f t="shared" ca="1" si="10"/>
        <v>29</v>
      </c>
      <c r="E40" s="4">
        <f t="shared" ca="1" si="10"/>
        <v>19</v>
      </c>
      <c r="F40" s="4">
        <f t="shared" ca="1" si="10"/>
        <v>26</v>
      </c>
      <c r="G40" s="4">
        <f t="shared" ca="1" si="10"/>
        <v>29</v>
      </c>
      <c r="H40" s="4">
        <f t="shared" ca="1" si="10"/>
        <v>46</v>
      </c>
      <c r="I40" s="4">
        <f t="shared" ca="1" si="10"/>
        <v>42</v>
      </c>
      <c r="J40" s="8">
        <f t="shared" ca="1" si="11"/>
        <v>0</v>
      </c>
      <c r="K40" s="8">
        <f t="shared" ca="1" si="11"/>
        <v>0</v>
      </c>
      <c r="L40" s="8">
        <f t="shared" ca="1" si="12"/>
        <v>0</v>
      </c>
      <c r="M40" s="8">
        <f t="shared" ca="1" si="12"/>
        <v>0</v>
      </c>
      <c r="N40" s="8">
        <f t="shared" ca="1" si="12"/>
        <v>0</v>
      </c>
      <c r="O40" s="8">
        <f t="shared" ca="1" si="12"/>
        <v>0</v>
      </c>
      <c r="P40" s="4">
        <f t="shared" ca="1" si="12"/>
        <v>0</v>
      </c>
      <c r="Q40" s="8">
        <f t="shared" ca="1" si="12"/>
        <v>7.0000000000000007E-2</v>
      </c>
      <c r="R40" s="8">
        <f t="shared" ca="1" si="12"/>
        <v>0</v>
      </c>
      <c r="S40" s="4">
        <f ca="1">IF(ISBLANK($B40), 0, IF(ISNUMBER(VLOOKUP($B40, INDIRECT($A40), MATCH("D"&amp;S$25, StatHeader, 0), 0)), IF(Setup!$F$50=1, VLOOKUP($B40, INDIRECT($A40), MATCH("D"&amp;S$25, StatHeader, 0), 0), 0), VLOOKUP($B40, INDIRECT($A40), MATCH(S$25, StatHeader, 0), 0)))</f>
        <v>0</v>
      </c>
      <c r="T40" s="4">
        <f t="shared" ca="1" si="12"/>
        <v>0</v>
      </c>
      <c r="V40" t="str">
        <f t="shared" si="15"/>
        <v>=</v>
      </c>
      <c r="W40" t="s">
        <v>97</v>
      </c>
      <c r="X40" s="16" t="s">
        <v>1873</v>
      </c>
      <c r="Y40" s="4">
        <f t="shared" ca="1" si="13"/>
        <v>0</v>
      </c>
      <c r="Z40" s="4">
        <f t="shared" ca="1" si="13"/>
        <v>29</v>
      </c>
      <c r="AA40" s="4">
        <f t="shared" ca="1" si="13"/>
        <v>19</v>
      </c>
      <c r="AB40" s="4">
        <f t="shared" ca="1" si="13"/>
        <v>26</v>
      </c>
      <c r="AC40" s="4">
        <f t="shared" ca="1" si="13"/>
        <v>29</v>
      </c>
      <c r="AD40" s="4">
        <f t="shared" ca="1" si="13"/>
        <v>46</v>
      </c>
      <c r="AE40" s="4">
        <f t="shared" ca="1" si="13"/>
        <v>42</v>
      </c>
      <c r="AF40" s="8">
        <f t="shared" ca="1" si="13"/>
        <v>0</v>
      </c>
      <c r="AG40" s="8">
        <f t="shared" ca="1" si="13"/>
        <v>0</v>
      </c>
      <c r="AH40" s="8">
        <f t="shared" ca="1" si="13"/>
        <v>0</v>
      </c>
      <c r="AI40" s="8">
        <f t="shared" ca="1" si="13"/>
        <v>0</v>
      </c>
      <c r="AJ40" s="8">
        <f t="shared" ca="1" si="14"/>
        <v>0</v>
      </c>
      <c r="AK40" s="8">
        <f t="shared" ca="1" si="14"/>
        <v>0</v>
      </c>
      <c r="AL40" s="4">
        <f t="shared" ca="1" si="14"/>
        <v>0</v>
      </c>
      <c r="AM40" s="8">
        <f t="shared" ca="1" si="14"/>
        <v>7.0000000000000007E-2</v>
      </c>
      <c r="AN40" s="8">
        <f t="shared" ca="1" si="14"/>
        <v>0</v>
      </c>
      <c r="AO40" s="4">
        <f ca="1">IF(ISBLANK($X40), 0, IF(ISNUMBER(VLOOKUP($X40, INDIRECT($W40), MATCH("D"&amp;AO$25, StatHeader, 0), 0)), IF(Setup!$G$50=1, VLOOKUP($X40, INDIRECT($W40), MATCH("D"&amp;AO$25, StatHeader, 0), 0), 0), VLOOKUP($X40, INDIRECT($W40), MATCH(AO$25, StatHeader, 0), 0)))</f>
        <v>0</v>
      </c>
      <c r="AP40" s="4">
        <f t="shared" ca="1" si="14"/>
        <v>0</v>
      </c>
    </row>
    <row r="41" spans="1:42" x14ac:dyDescent="0.2">
      <c r="A41" t="s">
        <v>98</v>
      </c>
      <c r="B41" s="174"/>
      <c r="C41" s="4">
        <f t="shared" ref="C41:T41" si="16">SUMIF(INDEX(SetBonusLookup, 0, 1), "="&amp;C25, INDEX(SetBonusLookup, 0, MATCH("WSSet1Gear", INDEX(SetBonusLookup, 1, 0), 0)))</f>
        <v>0</v>
      </c>
      <c r="D41" s="4">
        <f t="shared" si="16"/>
        <v>0</v>
      </c>
      <c r="E41" s="4">
        <f t="shared" si="16"/>
        <v>0</v>
      </c>
      <c r="F41" s="4">
        <f t="shared" si="16"/>
        <v>0</v>
      </c>
      <c r="G41" s="4">
        <f t="shared" si="16"/>
        <v>0</v>
      </c>
      <c r="H41" s="4">
        <f t="shared" si="16"/>
        <v>0</v>
      </c>
      <c r="I41" s="4">
        <f t="shared" ca="1" si="16"/>
        <v>15</v>
      </c>
      <c r="J41" s="96">
        <f t="shared" si="16"/>
        <v>0</v>
      </c>
      <c r="K41" s="96">
        <f t="shared" ca="1" si="16"/>
        <v>0</v>
      </c>
      <c r="L41" s="96">
        <f t="shared" si="16"/>
        <v>0</v>
      </c>
      <c r="M41" s="96">
        <f t="shared" si="16"/>
        <v>0</v>
      </c>
      <c r="N41" s="96">
        <f t="shared" si="16"/>
        <v>0</v>
      </c>
      <c r="O41" s="96">
        <f t="shared" ca="1" si="16"/>
        <v>0</v>
      </c>
      <c r="P41" s="4">
        <f t="shared" si="16"/>
        <v>0</v>
      </c>
      <c r="Q41" s="96">
        <f t="shared" ca="1" si="16"/>
        <v>0</v>
      </c>
      <c r="R41" s="96">
        <f t="shared" si="16"/>
        <v>0</v>
      </c>
      <c r="S41" s="4">
        <f t="shared" si="16"/>
        <v>0</v>
      </c>
      <c r="T41" s="4">
        <f t="shared" si="16"/>
        <v>0</v>
      </c>
      <c r="V41" t="str">
        <f ca="1">IF(AND(C41=Y41,D41=Z41,E41=AA41,F41=AB41,G41=AC41,H41=AD41,I41=AE41,J41=AF41,K41=AG41,L41=AH41,M41=AI41,N41=AJ41,O41=AK41,P41=AL41,Q41=AM41,R41=AN41, S41=AO41, T41=AP41),"=","-")</f>
        <v>=</v>
      </c>
      <c r="W41" t="s">
        <v>98</v>
      </c>
      <c r="X41" s="174"/>
      <c r="Y41" s="4">
        <f t="shared" ref="Y41:AP41" si="17">SUMIF(INDEX(SetBonusLookup, 0, 1), "="&amp;Y25, INDEX(SetBonusLookup, 0, MATCH("WSSet2Gear", INDEX(SetBonusLookup, 1, 0), 0)))</f>
        <v>0</v>
      </c>
      <c r="Z41" s="4">
        <f t="shared" si="17"/>
        <v>0</v>
      </c>
      <c r="AA41" s="4">
        <f t="shared" si="17"/>
        <v>0</v>
      </c>
      <c r="AB41" s="4">
        <f t="shared" si="17"/>
        <v>0</v>
      </c>
      <c r="AC41" s="4">
        <f t="shared" si="17"/>
        <v>0</v>
      </c>
      <c r="AD41" s="4">
        <f t="shared" si="17"/>
        <v>0</v>
      </c>
      <c r="AE41" s="4">
        <f t="shared" ca="1" si="17"/>
        <v>15</v>
      </c>
      <c r="AF41" s="96">
        <f t="shared" si="17"/>
        <v>0</v>
      </c>
      <c r="AG41" s="96">
        <f t="shared" ca="1" si="17"/>
        <v>0</v>
      </c>
      <c r="AH41" s="96">
        <f t="shared" si="17"/>
        <v>0</v>
      </c>
      <c r="AI41" s="96">
        <f t="shared" si="17"/>
        <v>0</v>
      </c>
      <c r="AJ41" s="96">
        <f t="shared" si="17"/>
        <v>0</v>
      </c>
      <c r="AK41" s="96">
        <f t="shared" ca="1" si="17"/>
        <v>0</v>
      </c>
      <c r="AL41" s="4">
        <f t="shared" si="17"/>
        <v>0</v>
      </c>
      <c r="AM41" s="96">
        <f t="shared" ca="1" si="17"/>
        <v>0</v>
      </c>
      <c r="AN41" s="96">
        <f t="shared" si="17"/>
        <v>0</v>
      </c>
      <c r="AO41" s="4">
        <f t="shared" si="17"/>
        <v>0</v>
      </c>
      <c r="AP41" s="4">
        <f t="shared" si="17"/>
        <v>0</v>
      </c>
    </row>
    <row r="42" spans="1:42" x14ac:dyDescent="0.2">
      <c r="A42" t="s">
        <v>473</v>
      </c>
      <c r="B42" s="1" t="str">
        <f>IF(COUNTBLANK(C42:T42)=18,"","Active!")</f>
        <v/>
      </c>
      <c r="C42" s="17"/>
      <c r="D42" s="17"/>
      <c r="E42" s="17"/>
      <c r="F42" s="17"/>
      <c r="G42" s="17"/>
      <c r="H42" s="17"/>
      <c r="I42" s="17"/>
      <c r="J42" s="17"/>
      <c r="K42" s="18"/>
      <c r="L42" s="18"/>
      <c r="M42" s="18"/>
      <c r="N42" s="18"/>
      <c r="O42" s="18"/>
      <c r="P42" s="19"/>
      <c r="Q42" s="19"/>
      <c r="R42" s="18"/>
      <c r="S42" s="18"/>
      <c r="T42" s="17"/>
      <c r="V42" t="str">
        <f>IF(AND(C42=Y42,D42=Z42,E42=AA42,F42=AB42,G42=AC42,H42=AD42,I42=AE42,J42=AF42,K42=AG42,L42=AH42,M42=AI42,N42=AJ42,O42=AK42,P42=AL42,Q42=AM42,R42=AN42, S42=AO42, T42=AP42),"=","-")</f>
        <v>=</v>
      </c>
      <c r="W42" t="s">
        <v>473</v>
      </c>
      <c r="X42" s="1" t="str">
        <f>IF(COUNTBLANK(Y42:AP42)=18,"","Active!")</f>
        <v/>
      </c>
      <c r="Y42" s="17"/>
      <c r="Z42" s="17"/>
      <c r="AA42" s="17"/>
      <c r="AB42" s="17"/>
      <c r="AC42" s="17"/>
      <c r="AD42" s="17"/>
      <c r="AE42" s="17"/>
      <c r="AF42" s="17"/>
      <c r="AG42" s="18"/>
      <c r="AH42" s="18"/>
      <c r="AI42" s="18"/>
      <c r="AJ42" s="18"/>
      <c r="AK42" s="18"/>
      <c r="AL42" s="19"/>
      <c r="AM42" s="19"/>
      <c r="AN42" s="18"/>
      <c r="AO42" s="18"/>
      <c r="AP42" s="17"/>
    </row>
    <row r="43" spans="1:42" x14ac:dyDescent="0.2">
      <c r="K43" s="8"/>
      <c r="L43" s="8"/>
      <c r="M43" s="8"/>
      <c r="N43" s="8"/>
      <c r="O43" s="8"/>
      <c r="P43" s="8"/>
      <c r="Q43" s="8"/>
      <c r="R43" s="8"/>
      <c r="S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2" x14ac:dyDescent="0.2">
      <c r="A44" t="s">
        <v>99</v>
      </c>
      <c r="C44" s="4">
        <f t="shared" ref="C44:J44" ca="1" si="18">IF($B33="Onca Suit",SUM(C26:C42)-SUM(C34,C39,C40),SUM(C26:C42))</f>
        <v>250</v>
      </c>
      <c r="D44" s="4">
        <f t="shared" ca="1" si="18"/>
        <v>231</v>
      </c>
      <c r="E44" s="4">
        <f t="shared" ca="1" si="18"/>
        <v>158</v>
      </c>
      <c r="F44" s="4">
        <f t="shared" ca="1" si="18"/>
        <v>110</v>
      </c>
      <c r="G44" s="4">
        <f t="shared" ca="1" si="18"/>
        <v>202</v>
      </c>
      <c r="H44" s="4">
        <f t="shared" ca="1" si="18"/>
        <v>322</v>
      </c>
      <c r="I44" s="4">
        <f t="shared" ca="1" si="18"/>
        <v>327</v>
      </c>
      <c r="J44" s="8">
        <f t="shared" ca="1" si="18"/>
        <v>0</v>
      </c>
      <c r="K44" s="8">
        <f t="shared" ref="K44:R44" ca="1" si="19">IF($B33="Onca Suit",SUM(K26:K42)-SUM(K34,K39,K40),SUM(K26:K42))</f>
        <v>0.21000000000000002</v>
      </c>
      <c r="L44" s="8">
        <f t="shared" ca="1" si="19"/>
        <v>0.09</v>
      </c>
      <c r="M44" s="8">
        <f t="shared" ca="1" si="19"/>
        <v>0.03</v>
      </c>
      <c r="N44" s="8">
        <f t="shared" ca="1" si="19"/>
        <v>0.04</v>
      </c>
      <c r="O44" s="8">
        <f t="shared" ca="1" si="19"/>
        <v>0</v>
      </c>
      <c r="P44" s="4">
        <f ca="1">IF($B33="Onca Suit",SUM(P26:P42)-SUM(P34,P39,P40),SUM(P26:P42))</f>
        <v>250</v>
      </c>
      <c r="Q44" s="8">
        <f t="shared" ca="1" si="19"/>
        <v>0.13</v>
      </c>
      <c r="R44" s="8">
        <f t="shared" ca="1" si="19"/>
        <v>7.0000000000000007E-2</v>
      </c>
      <c r="S44" s="4">
        <f ca="1">IF($B33="Onca Suit",SUM(S26:S42)-SUM(S34,S39,S40),SUM(S26:S42))/1024</f>
        <v>0.1953125</v>
      </c>
      <c r="T44" s="4">
        <f ca="1">IF($B33="Onca Suit",SUM(T26:T42)-SUM(T34,T39,T40),SUM(T26:T42))</f>
        <v>11</v>
      </c>
      <c r="W44" t="s">
        <v>99</v>
      </c>
      <c r="Y44" s="4">
        <f ca="1">IF($X33="Onca Suit",SUM(Y26:Y42)-SUM(Y34,Y39,Y40),SUM(Y26:Y42))</f>
        <v>250</v>
      </c>
      <c r="Z44" s="4">
        <f t="shared" ref="Z44:AP44" ca="1" si="20">IF($X33="Onca Suit",SUM(Z26:Z42)-SUM(Z34,Z39,Z40),SUM(Z26:Z42))</f>
        <v>231</v>
      </c>
      <c r="AA44" s="4">
        <f t="shared" ca="1" si="20"/>
        <v>158</v>
      </c>
      <c r="AB44" s="4">
        <f t="shared" ca="1" si="20"/>
        <v>110</v>
      </c>
      <c r="AC44" s="4">
        <f t="shared" ca="1" si="20"/>
        <v>202</v>
      </c>
      <c r="AD44" s="4">
        <f t="shared" ca="1" si="20"/>
        <v>322</v>
      </c>
      <c r="AE44" s="4">
        <f t="shared" ca="1" si="20"/>
        <v>327</v>
      </c>
      <c r="AF44" s="8">
        <f t="shared" ca="1" si="20"/>
        <v>0</v>
      </c>
      <c r="AG44" s="8">
        <f t="shared" ca="1" si="20"/>
        <v>0.21000000000000002</v>
      </c>
      <c r="AH44" s="8">
        <f t="shared" ca="1" si="20"/>
        <v>0.09</v>
      </c>
      <c r="AI44" s="8">
        <f t="shared" ca="1" si="20"/>
        <v>0.03</v>
      </c>
      <c r="AJ44" s="8">
        <f t="shared" ca="1" si="20"/>
        <v>0.04</v>
      </c>
      <c r="AK44" s="8">
        <f ca="1">IF($X33="Onca Suit",SUM(AK26:AK42)-SUM(AK34,AK39,AK40),SUM(AK26:AK42))</f>
        <v>0</v>
      </c>
      <c r="AL44" s="4">
        <f t="shared" ca="1" si="20"/>
        <v>250</v>
      </c>
      <c r="AM44" s="8">
        <f t="shared" ca="1" si="20"/>
        <v>0.13</v>
      </c>
      <c r="AN44" s="8">
        <f t="shared" ca="1" si="20"/>
        <v>7.0000000000000007E-2</v>
      </c>
      <c r="AO44" s="4">
        <f ca="1">IF($X33="Onca Suit",SUM(AO26:AO42)-SUM(AO34,AO39,AO40),SUM(AO26:AO42))/1024</f>
        <v>0.1953125</v>
      </c>
      <c r="AP44" s="4">
        <f t="shared" ca="1" si="20"/>
        <v>11</v>
      </c>
    </row>
    <row r="45" spans="1:42" x14ac:dyDescent="0.2">
      <c r="A45" s="1" t="s">
        <v>105</v>
      </c>
      <c r="B45" s="45">
        <f ca="1">Data!D184</f>
        <v>11811.412339099068</v>
      </c>
      <c r="W45" s="1" t="s">
        <v>105</v>
      </c>
      <c r="X45" s="45">
        <f ca="1">Data!E184</f>
        <v>12024.782611097053</v>
      </c>
    </row>
    <row r="46" spans="1:42" x14ac:dyDescent="0.2">
      <c r="A46" t="s">
        <v>494</v>
      </c>
      <c r="B46" s="13">
        <f ca="1">Data!D185</f>
        <v>2.6917331012774013</v>
      </c>
      <c r="W46" t="s">
        <v>494</v>
      </c>
      <c r="X46" s="13">
        <f ca="1">Data!E185</f>
        <v>2.727555966792008</v>
      </c>
    </row>
  </sheetData>
  <sheetProtection sheet="1" objects="1" scenarios="1"/>
  <phoneticPr fontId="6" type="noConversion"/>
  <conditionalFormatting sqref="V3:V19 V28:V42">
    <cfRule type="cellIs" dxfId="6" priority="1" stopIfTrue="1" operator="equal">
      <formula>"="</formula>
    </cfRule>
    <cfRule type="cellIs" dxfId="5" priority="2" stopIfTrue="1" operator="equal">
      <formula>"-"</formula>
    </cfRule>
  </conditionalFormatting>
  <dataValidations count="13">
    <dataValidation type="list" allowBlank="1" showErrorMessage="1" sqref="B28 X5 B5 X28" xr:uid="{00000000-0002-0000-0100-000000000000}">
      <formula1>AmmoList</formula1>
      <formula2>0</formula2>
    </dataValidation>
    <dataValidation type="list" allowBlank="1" showErrorMessage="1" sqref="B29 X6 B6 X29" xr:uid="{00000000-0002-0000-0100-000001000000}">
      <formula1>HeadList</formula1>
      <formula2>0</formula2>
    </dataValidation>
    <dataValidation type="list" allowBlank="1" showErrorMessage="1" sqref="B30 X7 B7 X30" xr:uid="{00000000-0002-0000-0100-000002000000}">
      <formula1>NeckList</formula1>
      <formula2>0</formula2>
    </dataValidation>
    <dataValidation type="list" allowBlank="1" showErrorMessage="1" sqref="B31:B32 X8:X9 B8:B9 X31:X32" xr:uid="{00000000-0002-0000-0100-000003000000}">
      <formula1>EarringList</formula1>
      <formula2>0</formula2>
    </dataValidation>
    <dataValidation type="list" allowBlank="1" showErrorMessage="1" sqref="B33 X10 B10 X33" xr:uid="{00000000-0002-0000-0100-000004000000}">
      <formula1>BodyList</formula1>
      <formula2>0</formula2>
    </dataValidation>
    <dataValidation type="list" allowBlank="1" showErrorMessage="1" sqref="B34 X11 B11 X34" xr:uid="{00000000-0002-0000-0100-000005000000}">
      <formula1>HandsList</formula1>
      <formula2>0</formula2>
    </dataValidation>
    <dataValidation type="list" allowBlank="1" showErrorMessage="1" sqref="B35:B36 X12:X13 B12:B13 X35:X36" xr:uid="{00000000-0002-0000-0100-000006000000}">
      <formula1>RingList</formula1>
      <formula2>0</formula2>
    </dataValidation>
    <dataValidation type="list" allowBlank="1" showErrorMessage="1" sqref="B37 X14 B14 X37" xr:uid="{00000000-0002-0000-0100-000007000000}">
      <formula1>BackList</formula1>
      <formula2>0</formula2>
    </dataValidation>
    <dataValidation type="list" allowBlank="1" showErrorMessage="1" sqref="B38 X15 B15 X38" xr:uid="{00000000-0002-0000-0100-000008000000}">
      <formula1>WaistList</formula1>
      <formula2>0</formula2>
    </dataValidation>
    <dataValidation type="list" allowBlank="1" showErrorMessage="1" sqref="B39 X16 B16 X39" xr:uid="{00000000-0002-0000-0100-000009000000}">
      <formula1>LegsList</formula1>
      <formula2>0</formula2>
    </dataValidation>
    <dataValidation type="list" allowBlank="1" showErrorMessage="1" sqref="X40 B17 X17 B40" xr:uid="{00000000-0002-0000-0100-00000A000000}">
      <formula1>FeetList</formula1>
      <formula2>0</formula2>
    </dataValidation>
    <dataValidation type="list" allowBlank="1" showErrorMessage="1" sqref="X4 B4" xr:uid="{00000000-0002-0000-0100-00000B000000}">
      <formula1>GripList</formula1>
      <formula2>0</formula2>
    </dataValidation>
    <dataValidation type="list" allowBlank="1" showErrorMessage="1" sqref="X3 B3" xr:uid="{00000000-0002-0000-0100-00000C000000}">
      <formula1>WeaponList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  <ignoredErrors>
    <ignoredError sqref="S26:S40 S44 P21 AL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2"/>
  </sheetPr>
  <dimension ref="A1:AN49"/>
  <sheetViews>
    <sheetView topLeftCell="A7" workbookViewId="0">
      <selection activeCell="W37" sqref="W37"/>
    </sheetView>
  </sheetViews>
  <sheetFormatPr defaultRowHeight="12.75" x14ac:dyDescent="0.2"/>
  <cols>
    <col min="1" max="1" width="11.5703125" customWidth="1"/>
    <col min="2" max="2" width="21.42578125" customWidth="1"/>
    <col min="3" max="3" width="4.42578125" customWidth="1"/>
    <col min="4" max="10" width="4.28515625" customWidth="1"/>
    <col min="11" max="13" width="4.7109375" customWidth="1"/>
    <col min="14" max="15" width="6.7109375" customWidth="1"/>
    <col min="16" max="17" width="5.42578125" customWidth="1"/>
    <col min="18" max="18" width="6.42578125" customWidth="1"/>
    <col min="19" max="19" width="4.7109375" customWidth="1"/>
    <col min="20" max="20" width="4.42578125" customWidth="1"/>
    <col min="21" max="21" width="4.5703125" customWidth="1"/>
    <col min="22" max="22" width="11.5703125" customWidth="1"/>
    <col min="23" max="23" width="21.42578125" customWidth="1"/>
    <col min="24" max="24" width="4.5703125" customWidth="1"/>
    <col min="25" max="31" width="4.28515625" customWidth="1"/>
    <col min="32" max="34" width="4.7109375" customWidth="1"/>
    <col min="35" max="36" width="6.7109375" customWidth="1"/>
    <col min="37" max="38" width="5.42578125" customWidth="1"/>
    <col min="39" max="39" width="6.42578125" customWidth="1"/>
    <col min="40" max="40" width="5.140625" customWidth="1"/>
  </cols>
  <sheetData>
    <row r="1" spans="1:40" s="1" customFormat="1" x14ac:dyDescent="0.2">
      <c r="A1" s="1" t="s">
        <v>107</v>
      </c>
      <c r="V1" s="1" t="s">
        <v>108</v>
      </c>
    </row>
    <row r="2" spans="1:40" x14ac:dyDescent="0.2">
      <c r="A2" t="s">
        <v>70</v>
      </c>
      <c r="B2" t="s">
        <v>71</v>
      </c>
      <c r="C2" t="s">
        <v>72</v>
      </c>
      <c r="D2" t="s">
        <v>26</v>
      </c>
      <c r="E2" t="s">
        <v>27</v>
      </c>
      <c r="F2" t="s">
        <v>25</v>
      </c>
      <c r="G2" t="s">
        <v>23</v>
      </c>
      <c r="H2" t="s">
        <v>73</v>
      </c>
      <c r="I2" t="s">
        <v>74</v>
      </c>
      <c r="J2" t="s">
        <v>375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109</v>
      </c>
      <c r="Q2" t="s">
        <v>80</v>
      </c>
      <c r="R2" t="s">
        <v>81</v>
      </c>
      <c r="S2" t="s">
        <v>82</v>
      </c>
      <c r="V2" t="s">
        <v>70</v>
      </c>
      <c r="W2" t="s">
        <v>71</v>
      </c>
      <c r="X2" t="s">
        <v>72</v>
      </c>
      <c r="Y2" t="s">
        <v>26</v>
      </c>
      <c r="Z2" t="s">
        <v>27</v>
      </c>
      <c r="AA2" t="s">
        <v>25</v>
      </c>
      <c r="AB2" t="s">
        <v>23</v>
      </c>
      <c r="AC2" t="s">
        <v>73</v>
      </c>
      <c r="AD2" t="s">
        <v>74</v>
      </c>
      <c r="AE2" t="s">
        <v>375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109</v>
      </c>
      <c r="AL2" t="s">
        <v>80</v>
      </c>
      <c r="AM2" t="s">
        <v>81</v>
      </c>
      <c r="AN2" t="s">
        <v>82</v>
      </c>
    </row>
    <row r="3" spans="1:40" x14ac:dyDescent="0.2">
      <c r="A3" t="s">
        <v>83</v>
      </c>
      <c r="B3" s="22" t="str">
        <f>Gear!B3</f>
        <v>Shining One</v>
      </c>
      <c r="C3" s="4">
        <f t="shared" ref="C3:S17" ca="1" si="0">IF(ISBLANK($B3),0,VLOOKUP($B3,INDIRECT($A3),MATCH(C$2,StatHeader,0),0))</f>
        <v>250</v>
      </c>
      <c r="D3" s="4">
        <f t="shared" ca="1" si="0"/>
        <v>0</v>
      </c>
      <c r="E3" s="4">
        <f t="shared" ca="1" si="0"/>
        <v>20</v>
      </c>
      <c r="F3" s="4">
        <f t="shared" ca="1" si="0"/>
        <v>0</v>
      </c>
      <c r="G3" s="4">
        <f t="shared" ca="1" si="0"/>
        <v>0</v>
      </c>
      <c r="H3" s="4">
        <f t="shared" ca="1" si="0"/>
        <v>30</v>
      </c>
      <c r="I3" s="4">
        <f t="shared" ca="1" si="0"/>
        <v>40</v>
      </c>
      <c r="J3" s="8">
        <f t="shared" ca="1" si="0"/>
        <v>0</v>
      </c>
      <c r="K3" s="8">
        <f t="shared" ca="1" si="0"/>
        <v>0</v>
      </c>
      <c r="L3" s="8">
        <f t="shared" ca="1" si="0"/>
        <v>0</v>
      </c>
      <c r="M3" s="8">
        <f t="shared" ca="1" si="0"/>
        <v>0</v>
      </c>
      <c r="N3" s="8">
        <f t="shared" ca="1" si="0"/>
        <v>0</v>
      </c>
      <c r="O3" s="8">
        <f t="shared" ca="1" si="0"/>
        <v>0</v>
      </c>
      <c r="P3" s="4">
        <f t="shared" ca="1" si="0"/>
        <v>0</v>
      </c>
      <c r="Q3" s="8">
        <f t="shared" ca="1" si="0"/>
        <v>0</v>
      </c>
      <c r="R3" s="4">
        <f t="shared" ca="1" si="0"/>
        <v>0</v>
      </c>
      <c r="S3" s="4">
        <f t="shared" ca="1" si="0"/>
        <v>0</v>
      </c>
      <c r="U3" t="str">
        <f t="shared" ref="U3:U17" si="1">IF(W3=B3,"=","-")</f>
        <v>=</v>
      </c>
      <c r="V3" t="s">
        <v>83</v>
      </c>
      <c r="W3" s="22" t="str">
        <f>Gear!X3</f>
        <v>Shining One</v>
      </c>
      <c r="X3" s="4">
        <f t="shared" ref="X3:AN17" ca="1" si="2">IF(ISBLANK($W3),0,VLOOKUP($W3,INDIRECT($V3),MATCH(X$2,StatHeader,0),0))</f>
        <v>250</v>
      </c>
      <c r="Y3" s="4">
        <f t="shared" ca="1" si="2"/>
        <v>0</v>
      </c>
      <c r="Z3" s="4">
        <f t="shared" ca="1" si="2"/>
        <v>20</v>
      </c>
      <c r="AA3" s="4">
        <f t="shared" ca="1" si="2"/>
        <v>0</v>
      </c>
      <c r="AB3" s="4">
        <f t="shared" ca="1" si="2"/>
        <v>0</v>
      </c>
      <c r="AC3" s="4">
        <f t="shared" ca="1" si="2"/>
        <v>30</v>
      </c>
      <c r="AD3" s="4">
        <f t="shared" ca="1" si="2"/>
        <v>40</v>
      </c>
      <c r="AE3" s="8">
        <f t="shared" ca="1" si="2"/>
        <v>0</v>
      </c>
      <c r="AF3" s="8">
        <f t="shared" ca="1" si="2"/>
        <v>0</v>
      </c>
      <c r="AG3" s="8">
        <f t="shared" ca="1" si="2"/>
        <v>0</v>
      </c>
      <c r="AH3" s="8">
        <f t="shared" ca="1" si="2"/>
        <v>0</v>
      </c>
      <c r="AI3" s="8">
        <f t="shared" ca="1" si="2"/>
        <v>0</v>
      </c>
      <c r="AJ3" s="8">
        <f t="shared" ca="1" si="2"/>
        <v>0</v>
      </c>
      <c r="AK3" s="4">
        <f t="shared" ca="1" si="2"/>
        <v>0</v>
      </c>
      <c r="AL3" s="8">
        <f t="shared" ca="1" si="2"/>
        <v>0</v>
      </c>
      <c r="AM3" s="4">
        <f t="shared" ca="1" si="2"/>
        <v>0</v>
      </c>
      <c r="AN3" s="4">
        <f t="shared" ca="1" si="2"/>
        <v>0</v>
      </c>
    </row>
    <row r="4" spans="1:40" x14ac:dyDescent="0.2">
      <c r="A4" t="s">
        <v>84</v>
      </c>
      <c r="B4" s="23" t="str">
        <f>Gear!B4</f>
        <v>Bloodrain Strap</v>
      </c>
      <c r="C4" s="4">
        <f t="shared" ca="1" si="0"/>
        <v>0</v>
      </c>
      <c r="D4" s="4">
        <f t="shared" ca="1" si="0"/>
        <v>0</v>
      </c>
      <c r="E4" s="4">
        <f t="shared" ca="1" si="0"/>
        <v>0</v>
      </c>
      <c r="F4" s="4">
        <f t="shared" ca="1" si="0"/>
        <v>0</v>
      </c>
      <c r="G4" s="4">
        <f t="shared" ca="1" si="0"/>
        <v>0</v>
      </c>
      <c r="H4" s="4">
        <f t="shared" ca="1" si="0"/>
        <v>0</v>
      </c>
      <c r="I4" s="4">
        <f t="shared" ca="1" si="0"/>
        <v>6</v>
      </c>
      <c r="J4" s="8">
        <f t="shared" ca="1" si="0"/>
        <v>0</v>
      </c>
      <c r="K4" s="8">
        <f t="shared" ca="1" si="0"/>
        <v>0</v>
      </c>
      <c r="L4" s="8">
        <f t="shared" ca="1" si="0"/>
        <v>0</v>
      </c>
      <c r="M4" s="8">
        <f t="shared" ca="1" si="0"/>
        <v>0</v>
      </c>
      <c r="N4" s="8">
        <f t="shared" ca="1" si="0"/>
        <v>0</v>
      </c>
      <c r="O4" s="8">
        <f t="shared" ca="1" si="0"/>
        <v>0</v>
      </c>
      <c r="P4" s="4">
        <f t="shared" ca="1" si="0"/>
        <v>0</v>
      </c>
      <c r="Q4" s="8">
        <f t="shared" ca="1" si="0"/>
        <v>0</v>
      </c>
      <c r="R4" s="4">
        <f t="shared" ca="1" si="0"/>
        <v>0</v>
      </c>
      <c r="S4" s="4">
        <f t="shared" ca="1" si="0"/>
        <v>6</v>
      </c>
      <c r="U4" t="str">
        <f t="shared" si="1"/>
        <v>=</v>
      </c>
      <c r="V4" t="s">
        <v>84</v>
      </c>
      <c r="W4" s="23" t="str">
        <f>Gear!X4</f>
        <v>Bloodrain Strap</v>
      </c>
      <c r="X4" s="4">
        <f t="shared" ca="1" si="2"/>
        <v>0</v>
      </c>
      <c r="Y4" s="4">
        <f t="shared" ca="1" si="2"/>
        <v>0</v>
      </c>
      <c r="Z4" s="4">
        <f t="shared" ca="1" si="2"/>
        <v>0</v>
      </c>
      <c r="AA4" s="4">
        <f t="shared" ca="1" si="2"/>
        <v>0</v>
      </c>
      <c r="AB4" s="4">
        <f t="shared" ca="1" si="2"/>
        <v>0</v>
      </c>
      <c r="AC4" s="4">
        <f t="shared" ca="1" si="2"/>
        <v>0</v>
      </c>
      <c r="AD4" s="4">
        <f t="shared" ca="1" si="2"/>
        <v>6</v>
      </c>
      <c r="AE4" s="8">
        <f t="shared" ca="1" si="2"/>
        <v>0</v>
      </c>
      <c r="AF4" s="8">
        <f t="shared" ca="1" si="2"/>
        <v>0</v>
      </c>
      <c r="AG4" s="8">
        <f t="shared" ca="1" si="2"/>
        <v>0</v>
      </c>
      <c r="AH4" s="8">
        <f t="shared" ca="1" si="2"/>
        <v>0</v>
      </c>
      <c r="AI4" s="8">
        <f t="shared" ca="1" si="2"/>
        <v>0</v>
      </c>
      <c r="AJ4" s="8">
        <f t="shared" ca="1" si="2"/>
        <v>0</v>
      </c>
      <c r="AK4" s="4">
        <f t="shared" ca="1" si="2"/>
        <v>0</v>
      </c>
      <c r="AL4" s="8">
        <f t="shared" ca="1" si="2"/>
        <v>0</v>
      </c>
      <c r="AM4" s="4">
        <f t="shared" ca="1" si="2"/>
        <v>0</v>
      </c>
      <c r="AN4" s="4">
        <f t="shared" ca="1" si="2"/>
        <v>6</v>
      </c>
    </row>
    <row r="5" spans="1:40" x14ac:dyDescent="0.2">
      <c r="A5" t="s">
        <v>86</v>
      </c>
      <c r="B5" s="16" t="s">
        <v>527</v>
      </c>
      <c r="C5" s="4">
        <f t="shared" ca="1" si="0"/>
        <v>0</v>
      </c>
      <c r="D5" s="4">
        <f t="shared" ca="1" si="0"/>
        <v>0</v>
      </c>
      <c r="E5" s="4">
        <f t="shared" ca="1" si="0"/>
        <v>0</v>
      </c>
      <c r="F5" s="4">
        <f t="shared" ca="1" si="0"/>
        <v>0</v>
      </c>
      <c r="G5" s="4">
        <f t="shared" ca="1" si="0"/>
        <v>0</v>
      </c>
      <c r="H5" s="4">
        <f t="shared" ca="1" si="0"/>
        <v>10</v>
      </c>
      <c r="I5" s="4">
        <f t="shared" ca="1" si="0"/>
        <v>5</v>
      </c>
      <c r="J5" s="8">
        <f t="shared" ca="1" si="0"/>
        <v>0</v>
      </c>
      <c r="K5" s="8">
        <f t="shared" ca="1" si="0"/>
        <v>0</v>
      </c>
      <c r="L5" s="8">
        <f t="shared" ca="1" si="0"/>
        <v>0</v>
      </c>
      <c r="M5" s="8">
        <f t="shared" ca="1" si="0"/>
        <v>0</v>
      </c>
      <c r="N5" s="8">
        <f t="shared" ca="1" si="0"/>
        <v>0</v>
      </c>
      <c r="O5" s="8">
        <f t="shared" ca="1" si="0"/>
        <v>0</v>
      </c>
      <c r="P5" s="4">
        <f t="shared" ca="1" si="0"/>
        <v>0</v>
      </c>
      <c r="Q5" s="8">
        <f t="shared" ca="1" si="0"/>
        <v>0</v>
      </c>
      <c r="R5" s="4">
        <f t="shared" ca="1" si="0"/>
        <v>0</v>
      </c>
      <c r="S5" s="4">
        <f t="shared" ca="1" si="0"/>
        <v>3</v>
      </c>
      <c r="U5" t="str">
        <f t="shared" si="1"/>
        <v>=</v>
      </c>
      <c r="V5" t="s">
        <v>86</v>
      </c>
      <c r="W5" s="16" t="s">
        <v>527</v>
      </c>
      <c r="X5" s="4">
        <f t="shared" ca="1" si="2"/>
        <v>0</v>
      </c>
      <c r="Y5" s="4">
        <f t="shared" ca="1" si="2"/>
        <v>0</v>
      </c>
      <c r="Z5" s="4">
        <f t="shared" ca="1" si="2"/>
        <v>0</v>
      </c>
      <c r="AA5" s="4">
        <f t="shared" ca="1" si="2"/>
        <v>0</v>
      </c>
      <c r="AB5" s="4">
        <f t="shared" ca="1" si="2"/>
        <v>0</v>
      </c>
      <c r="AC5" s="4">
        <f t="shared" ca="1" si="2"/>
        <v>10</v>
      </c>
      <c r="AD5" s="4">
        <f t="shared" ca="1" si="2"/>
        <v>5</v>
      </c>
      <c r="AE5" s="8">
        <f t="shared" ca="1" si="2"/>
        <v>0</v>
      </c>
      <c r="AF5" s="8">
        <f t="shared" ca="1" si="2"/>
        <v>0</v>
      </c>
      <c r="AG5" s="8">
        <f t="shared" ca="1" si="2"/>
        <v>0</v>
      </c>
      <c r="AH5" s="8">
        <f t="shared" ca="1" si="2"/>
        <v>0</v>
      </c>
      <c r="AI5" s="8">
        <f t="shared" ca="1" si="2"/>
        <v>0</v>
      </c>
      <c r="AJ5" s="8">
        <f t="shared" ca="1" si="2"/>
        <v>0</v>
      </c>
      <c r="AK5" s="4">
        <f t="shared" ca="1" si="2"/>
        <v>0</v>
      </c>
      <c r="AL5" s="8">
        <f t="shared" ca="1" si="2"/>
        <v>0</v>
      </c>
      <c r="AM5" s="4">
        <f t="shared" ca="1" si="2"/>
        <v>0</v>
      </c>
      <c r="AN5" s="4">
        <f t="shared" ca="1" si="2"/>
        <v>3</v>
      </c>
    </row>
    <row r="6" spans="1:40" x14ac:dyDescent="0.2">
      <c r="A6" t="s">
        <v>88</v>
      </c>
      <c r="B6" s="16" t="s">
        <v>1380</v>
      </c>
      <c r="C6" s="4">
        <f t="shared" ca="1" si="0"/>
        <v>0</v>
      </c>
      <c r="D6" s="4">
        <f t="shared" ca="1" si="0"/>
        <v>32</v>
      </c>
      <c r="E6" s="4">
        <f t="shared" ca="1" si="0"/>
        <v>28</v>
      </c>
      <c r="F6" s="4">
        <f t="shared" ca="1" si="0"/>
        <v>16</v>
      </c>
      <c r="G6" s="4">
        <f t="shared" ca="1" si="0"/>
        <v>24</v>
      </c>
      <c r="H6" s="4">
        <f t="shared" ca="1" si="0"/>
        <v>0</v>
      </c>
      <c r="I6" s="4">
        <f t="shared" ca="1" si="0"/>
        <v>38</v>
      </c>
      <c r="J6" s="8">
        <f t="shared" ca="1" si="0"/>
        <v>0</v>
      </c>
      <c r="K6" s="8">
        <f t="shared" ca="1" si="0"/>
        <v>0</v>
      </c>
      <c r="L6" s="8">
        <f t="shared" ca="1" si="0"/>
        <v>0.04</v>
      </c>
      <c r="M6" s="8">
        <f t="shared" ca="1" si="0"/>
        <v>0</v>
      </c>
      <c r="N6" s="8">
        <f t="shared" ca="1" si="0"/>
        <v>0</v>
      </c>
      <c r="O6" s="8">
        <f t="shared" ca="1" si="0"/>
        <v>0</v>
      </c>
      <c r="P6" s="4">
        <f t="shared" ca="1" si="0"/>
        <v>0</v>
      </c>
      <c r="Q6" s="8">
        <f t="shared" ca="1" si="0"/>
        <v>0</v>
      </c>
      <c r="R6" s="4">
        <f t="shared" ca="1" si="0"/>
        <v>0</v>
      </c>
      <c r="S6" s="4">
        <f t="shared" ca="1" si="0"/>
        <v>5</v>
      </c>
      <c r="U6" t="str">
        <f t="shared" si="1"/>
        <v>=</v>
      </c>
      <c r="V6" t="s">
        <v>88</v>
      </c>
      <c r="W6" s="16" t="s">
        <v>1380</v>
      </c>
      <c r="X6" s="4">
        <f t="shared" ca="1" si="2"/>
        <v>0</v>
      </c>
      <c r="Y6" s="4">
        <f t="shared" ca="1" si="2"/>
        <v>32</v>
      </c>
      <c r="Z6" s="4">
        <f t="shared" ca="1" si="2"/>
        <v>28</v>
      </c>
      <c r="AA6" s="4">
        <f t="shared" ca="1" si="2"/>
        <v>16</v>
      </c>
      <c r="AB6" s="4">
        <f t="shared" ca="1" si="2"/>
        <v>24</v>
      </c>
      <c r="AC6" s="4">
        <f t="shared" ca="1" si="2"/>
        <v>0</v>
      </c>
      <c r="AD6" s="4">
        <f t="shared" ca="1" si="2"/>
        <v>38</v>
      </c>
      <c r="AE6" s="8">
        <f t="shared" ca="1" si="2"/>
        <v>0</v>
      </c>
      <c r="AF6" s="8">
        <f t="shared" ca="1" si="2"/>
        <v>0</v>
      </c>
      <c r="AG6" s="8">
        <f t="shared" ca="1" si="2"/>
        <v>0.04</v>
      </c>
      <c r="AH6" s="8">
        <f t="shared" ca="1" si="2"/>
        <v>0</v>
      </c>
      <c r="AI6" s="8">
        <f t="shared" ca="1" si="2"/>
        <v>0</v>
      </c>
      <c r="AJ6" s="8">
        <f t="shared" ca="1" si="2"/>
        <v>0</v>
      </c>
      <c r="AK6" s="4">
        <f t="shared" ca="1" si="2"/>
        <v>0</v>
      </c>
      <c r="AL6" s="8">
        <f t="shared" ca="1" si="2"/>
        <v>0</v>
      </c>
      <c r="AM6" s="4">
        <f t="shared" ca="1" si="2"/>
        <v>0</v>
      </c>
      <c r="AN6" s="4">
        <f t="shared" ca="1" si="2"/>
        <v>5</v>
      </c>
    </row>
    <row r="7" spans="1:40" x14ac:dyDescent="0.2">
      <c r="A7" t="s">
        <v>89</v>
      </c>
      <c r="B7" s="16" t="s">
        <v>1035</v>
      </c>
      <c r="C7" s="4">
        <f t="shared" ca="1" si="0"/>
        <v>15</v>
      </c>
      <c r="D7" s="4">
        <f t="shared" ca="1" si="0"/>
        <v>0</v>
      </c>
      <c r="E7" s="4">
        <f t="shared" ca="1" si="0"/>
        <v>0</v>
      </c>
      <c r="F7" s="4">
        <f t="shared" ca="1" si="0"/>
        <v>0</v>
      </c>
      <c r="G7" s="4">
        <f t="shared" ca="1" si="0"/>
        <v>0</v>
      </c>
      <c r="H7" s="4">
        <f t="shared" ca="1" si="0"/>
        <v>0</v>
      </c>
      <c r="I7" s="4">
        <f t="shared" ca="1" si="0"/>
        <v>0</v>
      </c>
      <c r="J7" s="8">
        <f t="shared" ca="1" si="0"/>
        <v>0</v>
      </c>
      <c r="K7" s="8">
        <f t="shared" ca="1" si="0"/>
        <v>0</v>
      </c>
      <c r="L7" s="8">
        <f t="shared" ca="1" si="0"/>
        <v>0</v>
      </c>
      <c r="M7" s="8">
        <f t="shared" ca="1" si="0"/>
        <v>0</v>
      </c>
      <c r="N7" s="8">
        <f t="shared" ca="1" si="0"/>
        <v>0</v>
      </c>
      <c r="O7" s="8">
        <f t="shared" ca="1" si="0"/>
        <v>0</v>
      </c>
      <c r="P7" s="4">
        <f t="shared" ca="1" si="0"/>
        <v>0</v>
      </c>
      <c r="Q7" s="8">
        <f t="shared" ca="1" si="0"/>
        <v>0</v>
      </c>
      <c r="R7" s="4">
        <f t="shared" ca="1" si="0"/>
        <v>0</v>
      </c>
      <c r="S7" s="4">
        <f t="shared" ca="1" si="0"/>
        <v>4</v>
      </c>
      <c r="U7" t="str">
        <f t="shared" si="1"/>
        <v>=</v>
      </c>
      <c r="V7" t="s">
        <v>89</v>
      </c>
      <c r="W7" s="16" t="s">
        <v>1035</v>
      </c>
      <c r="X7" s="4">
        <f t="shared" ca="1" si="2"/>
        <v>15</v>
      </c>
      <c r="Y7" s="4">
        <f t="shared" ca="1" si="2"/>
        <v>0</v>
      </c>
      <c r="Z7" s="4">
        <f t="shared" ca="1" si="2"/>
        <v>0</v>
      </c>
      <c r="AA7" s="4">
        <f t="shared" ca="1" si="2"/>
        <v>0</v>
      </c>
      <c r="AB7" s="4">
        <f t="shared" ca="1" si="2"/>
        <v>0</v>
      </c>
      <c r="AC7" s="4">
        <f t="shared" ca="1" si="2"/>
        <v>0</v>
      </c>
      <c r="AD7" s="4">
        <f t="shared" ca="1" si="2"/>
        <v>0</v>
      </c>
      <c r="AE7" s="8">
        <f t="shared" ca="1" si="2"/>
        <v>0</v>
      </c>
      <c r="AF7" s="8">
        <f t="shared" ca="1" si="2"/>
        <v>0</v>
      </c>
      <c r="AG7" s="8">
        <f t="shared" ca="1" si="2"/>
        <v>0</v>
      </c>
      <c r="AH7" s="8">
        <f t="shared" ca="1" si="2"/>
        <v>0</v>
      </c>
      <c r="AI7" s="8">
        <f t="shared" ca="1" si="2"/>
        <v>0</v>
      </c>
      <c r="AJ7" s="8">
        <f t="shared" ca="1" si="2"/>
        <v>0</v>
      </c>
      <c r="AK7" s="4">
        <f t="shared" ca="1" si="2"/>
        <v>0</v>
      </c>
      <c r="AL7" s="8">
        <f t="shared" ca="1" si="2"/>
        <v>0</v>
      </c>
      <c r="AM7" s="4">
        <f t="shared" ca="1" si="2"/>
        <v>0</v>
      </c>
      <c r="AN7" s="4">
        <f t="shared" ca="1" si="2"/>
        <v>4</v>
      </c>
    </row>
    <row r="8" spans="1:40" x14ac:dyDescent="0.2">
      <c r="A8" t="s">
        <v>90</v>
      </c>
      <c r="B8" s="16" t="s">
        <v>1145</v>
      </c>
      <c r="C8" s="4">
        <f t="shared" ca="1" si="0"/>
        <v>0</v>
      </c>
      <c r="D8" s="4">
        <f t="shared" ca="1" si="0"/>
        <v>0</v>
      </c>
      <c r="E8" s="4">
        <f t="shared" ca="1" si="0"/>
        <v>0</v>
      </c>
      <c r="F8" s="4">
        <f t="shared" ca="1" si="0"/>
        <v>0</v>
      </c>
      <c r="G8" s="4">
        <f t="shared" ca="1" si="0"/>
        <v>0</v>
      </c>
      <c r="H8" s="4">
        <f t="shared" ca="1" si="0"/>
        <v>0</v>
      </c>
      <c r="I8" s="4">
        <f t="shared" ca="1" si="0"/>
        <v>10</v>
      </c>
      <c r="J8" s="8">
        <f t="shared" ca="1" si="0"/>
        <v>0</v>
      </c>
      <c r="K8" s="8">
        <f t="shared" ca="1" si="0"/>
        <v>0</v>
      </c>
      <c r="L8" s="8">
        <f t="shared" ca="1" si="0"/>
        <v>0</v>
      </c>
      <c r="M8" s="8">
        <f t="shared" ca="1" si="0"/>
        <v>0</v>
      </c>
      <c r="N8" s="8">
        <f t="shared" ca="1" si="0"/>
        <v>0</v>
      </c>
      <c r="O8" s="8">
        <f t="shared" ca="1" si="0"/>
        <v>0</v>
      </c>
      <c r="P8" s="4">
        <f t="shared" ca="1" si="0"/>
        <v>0</v>
      </c>
      <c r="Q8" s="8">
        <f t="shared" ca="1" si="0"/>
        <v>0</v>
      </c>
      <c r="R8" s="4">
        <f t="shared" ca="1" si="0"/>
        <v>0</v>
      </c>
      <c r="S8" s="4">
        <f t="shared" ca="1" si="0"/>
        <v>3</v>
      </c>
      <c r="U8" t="str">
        <f t="shared" si="1"/>
        <v>=</v>
      </c>
      <c r="V8" t="s">
        <v>90</v>
      </c>
      <c r="W8" s="16" t="s">
        <v>1145</v>
      </c>
      <c r="X8" s="4">
        <f t="shared" ca="1" si="2"/>
        <v>0</v>
      </c>
      <c r="Y8" s="4">
        <f t="shared" ca="1" si="2"/>
        <v>0</v>
      </c>
      <c r="Z8" s="4">
        <f t="shared" ca="1" si="2"/>
        <v>0</v>
      </c>
      <c r="AA8" s="4">
        <f t="shared" ca="1" si="2"/>
        <v>0</v>
      </c>
      <c r="AB8" s="4">
        <f t="shared" ca="1" si="2"/>
        <v>0</v>
      </c>
      <c r="AC8" s="4">
        <f t="shared" ca="1" si="2"/>
        <v>0</v>
      </c>
      <c r="AD8" s="4">
        <f t="shared" ca="1" si="2"/>
        <v>10</v>
      </c>
      <c r="AE8" s="8">
        <f t="shared" ca="1" si="2"/>
        <v>0</v>
      </c>
      <c r="AF8" s="8">
        <f t="shared" ca="1" si="2"/>
        <v>0</v>
      </c>
      <c r="AG8" s="8">
        <f t="shared" ca="1" si="2"/>
        <v>0</v>
      </c>
      <c r="AH8" s="8">
        <f t="shared" ca="1" si="2"/>
        <v>0</v>
      </c>
      <c r="AI8" s="8">
        <f t="shared" ca="1" si="2"/>
        <v>0</v>
      </c>
      <c r="AJ8" s="8">
        <f t="shared" ca="1" si="2"/>
        <v>0</v>
      </c>
      <c r="AK8" s="4">
        <f t="shared" ca="1" si="2"/>
        <v>0</v>
      </c>
      <c r="AL8" s="8">
        <f t="shared" ca="1" si="2"/>
        <v>0</v>
      </c>
      <c r="AM8" s="4">
        <f t="shared" ca="1" si="2"/>
        <v>0</v>
      </c>
      <c r="AN8" s="4">
        <f t="shared" ca="1" si="2"/>
        <v>3</v>
      </c>
    </row>
    <row r="9" spans="1:40" x14ac:dyDescent="0.2">
      <c r="A9" t="s">
        <v>90</v>
      </c>
      <c r="B9" s="16" t="s">
        <v>1143</v>
      </c>
      <c r="C9" s="4">
        <f t="shared" ca="1" si="0"/>
        <v>0</v>
      </c>
      <c r="D9" s="4">
        <f t="shared" ca="1" si="0"/>
        <v>0</v>
      </c>
      <c r="E9" s="4">
        <f t="shared" ca="1" si="0"/>
        <v>0</v>
      </c>
      <c r="F9" s="4">
        <f t="shared" ca="1" si="0"/>
        <v>0</v>
      </c>
      <c r="G9" s="4">
        <f t="shared" ca="1" si="0"/>
        <v>0</v>
      </c>
      <c r="H9" s="4">
        <f t="shared" ca="1" si="0"/>
        <v>0</v>
      </c>
      <c r="I9" s="4">
        <f t="shared" ca="1" si="0"/>
        <v>6</v>
      </c>
      <c r="J9" s="8">
        <f t="shared" ca="1" si="0"/>
        <v>0</v>
      </c>
      <c r="K9" s="8">
        <f t="shared" ca="1" si="0"/>
        <v>0.03</v>
      </c>
      <c r="L9" s="8">
        <f t="shared" ca="1" si="0"/>
        <v>0</v>
      </c>
      <c r="M9" s="8">
        <f t="shared" ca="1" si="0"/>
        <v>0</v>
      </c>
      <c r="N9" s="8">
        <f t="shared" ca="1" si="0"/>
        <v>0</v>
      </c>
      <c r="O9" s="8">
        <f t="shared" ca="1" si="0"/>
        <v>0</v>
      </c>
      <c r="P9" s="4">
        <f t="shared" ca="1" si="0"/>
        <v>0</v>
      </c>
      <c r="Q9" s="8">
        <f t="shared" ca="1" si="0"/>
        <v>0</v>
      </c>
      <c r="R9" s="4">
        <f t="shared" ca="1" si="0"/>
        <v>0</v>
      </c>
      <c r="S9" s="4">
        <f t="shared" ca="1" si="0"/>
        <v>3</v>
      </c>
      <c r="U9" t="str">
        <f t="shared" si="1"/>
        <v>=</v>
      </c>
      <c r="V9" t="s">
        <v>90</v>
      </c>
      <c r="W9" s="16" t="s">
        <v>1143</v>
      </c>
      <c r="X9" s="4">
        <f t="shared" ca="1" si="2"/>
        <v>0</v>
      </c>
      <c r="Y9" s="4">
        <f t="shared" ca="1" si="2"/>
        <v>0</v>
      </c>
      <c r="Z9" s="4">
        <f t="shared" ca="1" si="2"/>
        <v>0</v>
      </c>
      <c r="AA9" s="4">
        <f t="shared" ca="1" si="2"/>
        <v>0</v>
      </c>
      <c r="AB9" s="4">
        <f t="shared" ca="1" si="2"/>
        <v>0</v>
      </c>
      <c r="AC9" s="4">
        <f t="shared" ca="1" si="2"/>
        <v>0</v>
      </c>
      <c r="AD9" s="4">
        <f t="shared" ca="1" si="2"/>
        <v>6</v>
      </c>
      <c r="AE9" s="8">
        <f t="shared" ca="1" si="2"/>
        <v>0</v>
      </c>
      <c r="AF9" s="8">
        <f t="shared" ca="1" si="2"/>
        <v>0.03</v>
      </c>
      <c r="AG9" s="8">
        <f t="shared" ca="1" si="2"/>
        <v>0</v>
      </c>
      <c r="AH9" s="8">
        <f t="shared" ca="1" si="2"/>
        <v>0</v>
      </c>
      <c r="AI9" s="8">
        <f t="shared" ca="1" si="2"/>
        <v>0</v>
      </c>
      <c r="AJ9" s="8">
        <f t="shared" ca="1" si="2"/>
        <v>0</v>
      </c>
      <c r="AK9" s="4">
        <f t="shared" ca="1" si="2"/>
        <v>0</v>
      </c>
      <c r="AL9" s="8">
        <f t="shared" ca="1" si="2"/>
        <v>0</v>
      </c>
      <c r="AM9" s="4">
        <f t="shared" ca="1" si="2"/>
        <v>0</v>
      </c>
      <c r="AN9" s="4">
        <f t="shared" ca="1" si="2"/>
        <v>3</v>
      </c>
    </row>
    <row r="10" spans="1:40" x14ac:dyDescent="0.2">
      <c r="A10" t="s">
        <v>91</v>
      </c>
      <c r="B10" s="16" t="s">
        <v>851</v>
      </c>
      <c r="C10" s="4">
        <f t="shared" ca="1" si="0"/>
        <v>0</v>
      </c>
      <c r="D10" s="4">
        <f t="shared" ca="1" si="0"/>
        <v>32</v>
      </c>
      <c r="E10" s="4">
        <f t="shared" ca="1" si="0"/>
        <v>28</v>
      </c>
      <c r="F10" s="4">
        <f t="shared" ca="1" si="0"/>
        <v>19</v>
      </c>
      <c r="G10" s="4">
        <f t="shared" ca="1" si="0"/>
        <v>28</v>
      </c>
      <c r="H10" s="4">
        <f t="shared" ca="1" si="0"/>
        <v>23</v>
      </c>
      <c r="I10" s="4">
        <f t="shared" ca="1" si="0"/>
        <v>23</v>
      </c>
      <c r="J10" s="8">
        <f t="shared" ca="1" si="0"/>
        <v>0</v>
      </c>
      <c r="K10" s="8">
        <f t="shared" ca="1" si="0"/>
        <v>0</v>
      </c>
      <c r="L10" s="8">
        <f t="shared" ca="1" si="0"/>
        <v>0</v>
      </c>
      <c r="M10" s="8">
        <f t="shared" ca="1" si="0"/>
        <v>0</v>
      </c>
      <c r="N10" s="8">
        <f t="shared" ca="1" si="0"/>
        <v>0</v>
      </c>
      <c r="O10" s="8">
        <f t="shared" ca="1" si="0"/>
        <v>0</v>
      </c>
      <c r="P10" s="4">
        <f t="shared" ca="1" si="0"/>
        <v>0</v>
      </c>
      <c r="Q10" s="8">
        <f t="shared" ca="1" si="0"/>
        <v>0</v>
      </c>
      <c r="R10" s="4">
        <f t="shared" ca="1" si="0"/>
        <v>0</v>
      </c>
      <c r="S10" s="4">
        <f t="shared" ca="1" si="0"/>
        <v>12</v>
      </c>
      <c r="U10" t="str">
        <f t="shared" si="1"/>
        <v>=</v>
      </c>
      <c r="V10" t="s">
        <v>91</v>
      </c>
      <c r="W10" s="16" t="s">
        <v>851</v>
      </c>
      <c r="X10" s="4">
        <f t="shared" ca="1" si="2"/>
        <v>0</v>
      </c>
      <c r="Y10" s="4">
        <f t="shared" ca="1" si="2"/>
        <v>32</v>
      </c>
      <c r="Z10" s="4">
        <f t="shared" ca="1" si="2"/>
        <v>28</v>
      </c>
      <c r="AA10" s="4">
        <f t="shared" ca="1" si="2"/>
        <v>19</v>
      </c>
      <c r="AB10" s="4">
        <f t="shared" ca="1" si="2"/>
        <v>28</v>
      </c>
      <c r="AC10" s="4">
        <f t="shared" ca="1" si="2"/>
        <v>23</v>
      </c>
      <c r="AD10" s="4">
        <f t="shared" ca="1" si="2"/>
        <v>23</v>
      </c>
      <c r="AE10" s="8">
        <f t="shared" ca="1" si="2"/>
        <v>0</v>
      </c>
      <c r="AF10" s="8">
        <f t="shared" ca="1" si="2"/>
        <v>0</v>
      </c>
      <c r="AG10" s="8">
        <f t="shared" ca="1" si="2"/>
        <v>0</v>
      </c>
      <c r="AH10" s="8">
        <f t="shared" ca="1" si="2"/>
        <v>0</v>
      </c>
      <c r="AI10" s="8">
        <f t="shared" ca="1" si="2"/>
        <v>0</v>
      </c>
      <c r="AJ10" s="8">
        <f t="shared" ca="1" si="2"/>
        <v>0</v>
      </c>
      <c r="AK10" s="4">
        <f t="shared" ca="1" si="2"/>
        <v>0</v>
      </c>
      <c r="AL10" s="8">
        <f t="shared" ca="1" si="2"/>
        <v>0</v>
      </c>
      <c r="AM10" s="4">
        <f t="shared" ca="1" si="2"/>
        <v>0</v>
      </c>
      <c r="AN10" s="4">
        <f t="shared" ca="1" si="2"/>
        <v>12</v>
      </c>
    </row>
    <row r="11" spans="1:40" x14ac:dyDescent="0.2">
      <c r="A11" t="s">
        <v>92</v>
      </c>
      <c r="B11" s="16" t="s">
        <v>830</v>
      </c>
      <c r="C11" s="4">
        <f t="shared" ca="1" si="0"/>
        <v>0</v>
      </c>
      <c r="D11" s="4">
        <f t="shared" ca="1" si="0"/>
        <v>11</v>
      </c>
      <c r="E11" s="4">
        <f t="shared" ca="1" si="0"/>
        <v>44</v>
      </c>
      <c r="F11" s="4">
        <f t="shared" ca="1" si="0"/>
        <v>7</v>
      </c>
      <c r="G11" s="4">
        <f t="shared" ca="1" si="0"/>
        <v>32</v>
      </c>
      <c r="H11" s="4">
        <f t="shared" ca="1" si="0"/>
        <v>0</v>
      </c>
      <c r="I11" s="4">
        <f t="shared" ca="1" si="0"/>
        <v>42</v>
      </c>
      <c r="J11" s="8">
        <f t="shared" ca="1" si="0"/>
        <v>0</v>
      </c>
      <c r="K11" s="8">
        <f t="shared" ca="1" si="0"/>
        <v>0</v>
      </c>
      <c r="L11" s="8">
        <f t="shared" ca="1" si="0"/>
        <v>0</v>
      </c>
      <c r="M11" s="8">
        <f t="shared" ca="1" si="0"/>
        <v>0</v>
      </c>
      <c r="N11" s="8">
        <f t="shared" ca="1" si="0"/>
        <v>0</v>
      </c>
      <c r="O11" s="8">
        <f t="shared" ca="1" si="0"/>
        <v>0</v>
      </c>
      <c r="P11" s="4">
        <f t="shared" ca="1" si="0"/>
        <v>0</v>
      </c>
      <c r="Q11" s="8">
        <f t="shared" ca="1" si="0"/>
        <v>0</v>
      </c>
      <c r="R11" s="4">
        <f t="shared" ca="1" si="0"/>
        <v>0</v>
      </c>
      <c r="S11" s="4">
        <f t="shared" ca="1" si="0"/>
        <v>6</v>
      </c>
      <c r="U11" t="str">
        <f t="shared" si="1"/>
        <v>=</v>
      </c>
      <c r="V11" t="s">
        <v>92</v>
      </c>
      <c r="W11" s="16" t="s">
        <v>830</v>
      </c>
      <c r="X11" s="4">
        <f t="shared" ca="1" si="2"/>
        <v>0</v>
      </c>
      <c r="Y11" s="4">
        <f t="shared" ca="1" si="2"/>
        <v>11</v>
      </c>
      <c r="Z11" s="4">
        <f t="shared" ca="1" si="2"/>
        <v>44</v>
      </c>
      <c r="AA11" s="4">
        <f t="shared" ca="1" si="2"/>
        <v>7</v>
      </c>
      <c r="AB11" s="4">
        <f t="shared" ca="1" si="2"/>
        <v>32</v>
      </c>
      <c r="AC11" s="4">
        <f t="shared" ca="1" si="2"/>
        <v>0</v>
      </c>
      <c r="AD11" s="4">
        <f t="shared" ca="1" si="2"/>
        <v>42</v>
      </c>
      <c r="AE11" s="8">
        <f t="shared" ca="1" si="2"/>
        <v>0</v>
      </c>
      <c r="AF11" s="8">
        <f t="shared" ca="1" si="2"/>
        <v>0</v>
      </c>
      <c r="AG11" s="8">
        <f t="shared" ca="1" si="2"/>
        <v>0</v>
      </c>
      <c r="AH11" s="8">
        <f t="shared" ca="1" si="2"/>
        <v>0</v>
      </c>
      <c r="AI11" s="8">
        <f t="shared" ca="1" si="2"/>
        <v>0</v>
      </c>
      <c r="AJ11" s="8">
        <f t="shared" ca="1" si="2"/>
        <v>0</v>
      </c>
      <c r="AK11" s="4">
        <f t="shared" ca="1" si="2"/>
        <v>0</v>
      </c>
      <c r="AL11" s="8">
        <f t="shared" ca="1" si="2"/>
        <v>0</v>
      </c>
      <c r="AM11" s="4">
        <f t="shared" ca="1" si="2"/>
        <v>0</v>
      </c>
      <c r="AN11" s="4">
        <f t="shared" ca="1" si="2"/>
        <v>6</v>
      </c>
    </row>
    <row r="12" spans="1:40" x14ac:dyDescent="0.2">
      <c r="A12" t="s">
        <v>93</v>
      </c>
      <c r="B12" s="16" t="s">
        <v>1239</v>
      </c>
      <c r="C12" s="4">
        <f t="shared" ca="1" si="0"/>
        <v>0</v>
      </c>
      <c r="D12" s="4">
        <f t="shared" ca="1" si="0"/>
        <v>5</v>
      </c>
      <c r="E12" s="4">
        <f t="shared" ca="1" si="0"/>
        <v>5</v>
      </c>
      <c r="F12" s="4">
        <f t="shared" ca="1" si="0"/>
        <v>0</v>
      </c>
      <c r="G12" s="4">
        <f t="shared" ca="1" si="0"/>
        <v>0</v>
      </c>
      <c r="H12" s="4">
        <f t="shared" ca="1" si="0"/>
        <v>0</v>
      </c>
      <c r="I12" s="4">
        <f t="shared" ca="1" si="0"/>
        <v>0</v>
      </c>
      <c r="J12" s="8">
        <f t="shared" ca="1" si="0"/>
        <v>0</v>
      </c>
      <c r="K12" s="8">
        <f t="shared" ca="1" si="0"/>
        <v>0</v>
      </c>
      <c r="L12" s="8">
        <f t="shared" ca="1" si="0"/>
        <v>0</v>
      </c>
      <c r="M12" s="8">
        <f t="shared" ca="1" si="0"/>
        <v>0</v>
      </c>
      <c r="N12" s="8">
        <f t="shared" ca="1" si="0"/>
        <v>0</v>
      </c>
      <c r="O12" s="8">
        <f t="shared" ca="1" si="0"/>
        <v>0</v>
      </c>
      <c r="P12" s="4">
        <f t="shared" ca="1" si="0"/>
        <v>0</v>
      </c>
      <c r="Q12" s="8">
        <f t="shared" ca="1" si="0"/>
        <v>0</v>
      </c>
      <c r="R12" s="4">
        <f t="shared" ca="1" si="0"/>
        <v>0</v>
      </c>
      <c r="S12" s="4">
        <f t="shared" ca="1" si="0"/>
        <v>5</v>
      </c>
      <c r="U12" t="str">
        <f t="shared" si="1"/>
        <v>=</v>
      </c>
      <c r="V12" t="s">
        <v>93</v>
      </c>
      <c r="W12" s="16" t="s">
        <v>1239</v>
      </c>
      <c r="X12" s="4">
        <f t="shared" ca="1" si="2"/>
        <v>0</v>
      </c>
      <c r="Y12" s="4">
        <f t="shared" ca="1" si="2"/>
        <v>5</v>
      </c>
      <c r="Z12" s="4">
        <f t="shared" ca="1" si="2"/>
        <v>5</v>
      </c>
      <c r="AA12" s="4">
        <f t="shared" ca="1" si="2"/>
        <v>0</v>
      </c>
      <c r="AB12" s="4">
        <f t="shared" ca="1" si="2"/>
        <v>0</v>
      </c>
      <c r="AC12" s="4">
        <f t="shared" ca="1" si="2"/>
        <v>0</v>
      </c>
      <c r="AD12" s="4">
        <f t="shared" ca="1" si="2"/>
        <v>0</v>
      </c>
      <c r="AE12" s="8">
        <f t="shared" ca="1" si="2"/>
        <v>0</v>
      </c>
      <c r="AF12" s="8">
        <f t="shared" ca="1" si="2"/>
        <v>0</v>
      </c>
      <c r="AG12" s="8">
        <f t="shared" ca="1" si="2"/>
        <v>0</v>
      </c>
      <c r="AH12" s="8">
        <f t="shared" ca="1" si="2"/>
        <v>0</v>
      </c>
      <c r="AI12" s="8">
        <f t="shared" ca="1" si="2"/>
        <v>0</v>
      </c>
      <c r="AJ12" s="8">
        <f t="shared" ca="1" si="2"/>
        <v>0</v>
      </c>
      <c r="AK12" s="4">
        <f t="shared" ca="1" si="2"/>
        <v>0</v>
      </c>
      <c r="AL12" s="8">
        <f t="shared" ca="1" si="2"/>
        <v>0</v>
      </c>
      <c r="AM12" s="4">
        <f t="shared" ca="1" si="2"/>
        <v>0</v>
      </c>
      <c r="AN12" s="4">
        <f t="shared" ca="1" si="2"/>
        <v>5</v>
      </c>
    </row>
    <row r="13" spans="1:40" x14ac:dyDescent="0.2">
      <c r="A13" t="s">
        <v>93</v>
      </c>
      <c r="B13" s="16" t="s">
        <v>1238</v>
      </c>
      <c r="C13" s="4">
        <f t="shared" ca="1" si="0"/>
        <v>0</v>
      </c>
      <c r="D13" s="4">
        <f t="shared" ca="1" si="0"/>
        <v>3</v>
      </c>
      <c r="E13" s="4">
        <f t="shared" ca="1" si="0"/>
        <v>3</v>
      </c>
      <c r="F13" s="4">
        <f t="shared" ca="1" si="0"/>
        <v>3</v>
      </c>
      <c r="G13" s="4">
        <f t="shared" ca="1" si="0"/>
        <v>3</v>
      </c>
      <c r="H13" s="4">
        <f t="shared" ca="1" si="0"/>
        <v>0</v>
      </c>
      <c r="I13" s="4">
        <f t="shared" ca="1" si="0"/>
        <v>0</v>
      </c>
      <c r="J13" s="8">
        <f t="shared" ca="1" si="0"/>
        <v>0</v>
      </c>
      <c r="K13" s="8">
        <f t="shared" ca="1" si="0"/>
        <v>0.01</v>
      </c>
      <c r="L13" s="8">
        <f t="shared" ca="1" si="0"/>
        <v>0</v>
      </c>
      <c r="M13" s="8">
        <f t="shared" ca="1" si="0"/>
        <v>0</v>
      </c>
      <c r="N13" s="8">
        <f t="shared" ca="1" si="0"/>
        <v>0</v>
      </c>
      <c r="O13" s="8">
        <f t="shared" ca="1" si="0"/>
        <v>0</v>
      </c>
      <c r="P13" s="4">
        <f t="shared" ca="1" si="0"/>
        <v>0</v>
      </c>
      <c r="Q13" s="8">
        <f t="shared" ca="1" si="0"/>
        <v>0</v>
      </c>
      <c r="R13" s="4">
        <f t="shared" ca="1" si="0"/>
        <v>0</v>
      </c>
      <c r="S13" s="4">
        <f t="shared" ca="1" si="0"/>
        <v>5</v>
      </c>
      <c r="U13" t="str">
        <f t="shared" si="1"/>
        <v>=</v>
      </c>
      <c r="V13" t="s">
        <v>93</v>
      </c>
      <c r="W13" s="16" t="s">
        <v>1238</v>
      </c>
      <c r="X13" s="4">
        <f t="shared" ca="1" si="2"/>
        <v>0</v>
      </c>
      <c r="Y13" s="4">
        <f t="shared" ca="1" si="2"/>
        <v>3</v>
      </c>
      <c r="Z13" s="4">
        <f t="shared" ca="1" si="2"/>
        <v>3</v>
      </c>
      <c r="AA13" s="4">
        <f t="shared" ca="1" si="2"/>
        <v>3</v>
      </c>
      <c r="AB13" s="4">
        <f t="shared" ca="1" si="2"/>
        <v>3</v>
      </c>
      <c r="AC13" s="4">
        <f t="shared" ca="1" si="2"/>
        <v>0</v>
      </c>
      <c r="AD13" s="4">
        <f t="shared" ca="1" si="2"/>
        <v>0</v>
      </c>
      <c r="AE13" s="8">
        <f t="shared" ca="1" si="2"/>
        <v>0</v>
      </c>
      <c r="AF13" s="8">
        <f t="shared" ca="1" si="2"/>
        <v>0.01</v>
      </c>
      <c r="AG13" s="8">
        <f t="shared" ca="1" si="2"/>
        <v>0</v>
      </c>
      <c r="AH13" s="8">
        <f t="shared" ca="1" si="2"/>
        <v>0</v>
      </c>
      <c r="AI13" s="8">
        <f t="shared" ca="1" si="2"/>
        <v>0</v>
      </c>
      <c r="AJ13" s="8">
        <f t="shared" ca="1" si="2"/>
        <v>0</v>
      </c>
      <c r="AK13" s="4">
        <f t="shared" ca="1" si="2"/>
        <v>0</v>
      </c>
      <c r="AL13" s="8">
        <f t="shared" ca="1" si="2"/>
        <v>0</v>
      </c>
      <c r="AM13" s="4">
        <f t="shared" ca="1" si="2"/>
        <v>0</v>
      </c>
      <c r="AN13" s="4">
        <f t="shared" ca="1" si="2"/>
        <v>5</v>
      </c>
    </row>
    <row r="14" spans="1:40" x14ac:dyDescent="0.2">
      <c r="A14" t="s">
        <v>94</v>
      </c>
      <c r="B14" s="16" t="s">
        <v>1416</v>
      </c>
      <c r="C14" s="4">
        <f t="shared" ca="1" si="0"/>
        <v>0</v>
      </c>
      <c r="D14" s="4">
        <f t="shared" ca="1" si="0"/>
        <v>0</v>
      </c>
      <c r="E14" s="4">
        <f t="shared" ca="1" si="0"/>
        <v>30</v>
      </c>
      <c r="F14" s="4">
        <f t="shared" ca="1" si="0"/>
        <v>0</v>
      </c>
      <c r="G14" s="4">
        <f t="shared" ca="1" si="0"/>
        <v>0</v>
      </c>
      <c r="H14" s="4">
        <f t="shared" ca="1" si="0"/>
        <v>20</v>
      </c>
      <c r="I14" s="4">
        <f t="shared" ca="1" si="0"/>
        <v>20</v>
      </c>
      <c r="J14" s="8">
        <f t="shared" ca="1" si="0"/>
        <v>0</v>
      </c>
      <c r="K14" s="8">
        <f t="shared" ca="1" si="0"/>
        <v>0</v>
      </c>
      <c r="L14" s="8">
        <f t="shared" ca="1" si="0"/>
        <v>0</v>
      </c>
      <c r="M14" s="8">
        <f t="shared" ca="1" si="0"/>
        <v>0</v>
      </c>
      <c r="N14" s="8">
        <f t="shared" ca="1" si="0"/>
        <v>0</v>
      </c>
      <c r="O14" s="8">
        <f t="shared" ca="1" si="0"/>
        <v>0</v>
      </c>
      <c r="P14" s="4">
        <f t="shared" ca="1" si="0"/>
        <v>0</v>
      </c>
      <c r="Q14" s="8">
        <f t="shared" ca="1" si="0"/>
        <v>0</v>
      </c>
      <c r="R14" s="4">
        <f t="shared" ca="1" si="0"/>
        <v>0</v>
      </c>
      <c r="S14" s="4">
        <f t="shared" ca="1" si="0"/>
        <v>10</v>
      </c>
      <c r="U14" t="str">
        <f t="shared" si="1"/>
        <v>=</v>
      </c>
      <c r="V14" t="s">
        <v>94</v>
      </c>
      <c r="W14" s="16" t="s">
        <v>1416</v>
      </c>
      <c r="X14" s="4">
        <f t="shared" ca="1" si="2"/>
        <v>0</v>
      </c>
      <c r="Y14" s="4">
        <f t="shared" ca="1" si="2"/>
        <v>0</v>
      </c>
      <c r="Z14" s="4">
        <f t="shared" ca="1" si="2"/>
        <v>30</v>
      </c>
      <c r="AA14" s="4">
        <f t="shared" ca="1" si="2"/>
        <v>0</v>
      </c>
      <c r="AB14" s="4">
        <f t="shared" ca="1" si="2"/>
        <v>0</v>
      </c>
      <c r="AC14" s="4">
        <f t="shared" ca="1" si="2"/>
        <v>20</v>
      </c>
      <c r="AD14" s="4">
        <f t="shared" ca="1" si="2"/>
        <v>20</v>
      </c>
      <c r="AE14" s="8">
        <f t="shared" ca="1" si="2"/>
        <v>0</v>
      </c>
      <c r="AF14" s="8">
        <f t="shared" ca="1" si="2"/>
        <v>0</v>
      </c>
      <c r="AG14" s="8">
        <f t="shared" ca="1" si="2"/>
        <v>0</v>
      </c>
      <c r="AH14" s="8">
        <f t="shared" ca="1" si="2"/>
        <v>0</v>
      </c>
      <c r="AI14" s="8">
        <f t="shared" ca="1" si="2"/>
        <v>0</v>
      </c>
      <c r="AJ14" s="8">
        <f t="shared" ca="1" si="2"/>
        <v>0</v>
      </c>
      <c r="AK14" s="4">
        <f t="shared" ca="1" si="2"/>
        <v>0</v>
      </c>
      <c r="AL14" s="8">
        <f t="shared" ca="1" si="2"/>
        <v>0</v>
      </c>
      <c r="AM14" s="4">
        <f t="shared" ca="1" si="2"/>
        <v>0</v>
      </c>
      <c r="AN14" s="4">
        <f t="shared" ca="1" si="2"/>
        <v>10</v>
      </c>
    </row>
    <row r="15" spans="1:40" x14ac:dyDescent="0.2">
      <c r="A15" t="s">
        <v>95</v>
      </c>
      <c r="B15" s="16" t="s">
        <v>1077</v>
      </c>
      <c r="C15" s="4">
        <f t="shared" ca="1" si="0"/>
        <v>0</v>
      </c>
      <c r="D15" s="4">
        <f t="shared" ca="1" si="0"/>
        <v>0</v>
      </c>
      <c r="E15" s="4">
        <f t="shared" ca="1" si="0"/>
        <v>0</v>
      </c>
      <c r="F15" s="4">
        <f t="shared" ca="1" si="0"/>
        <v>0</v>
      </c>
      <c r="G15" s="4">
        <f t="shared" ca="1" si="0"/>
        <v>0</v>
      </c>
      <c r="H15" s="4">
        <f t="shared" ca="1" si="0"/>
        <v>0</v>
      </c>
      <c r="I15" s="4">
        <f t="shared" ca="1" si="0"/>
        <v>2</v>
      </c>
      <c r="J15" s="8">
        <f t="shared" ca="1" si="0"/>
        <v>0</v>
      </c>
      <c r="K15" s="8">
        <f t="shared" ca="1" si="0"/>
        <v>0</v>
      </c>
      <c r="L15" s="8">
        <f t="shared" ca="1" si="0"/>
        <v>0.02</v>
      </c>
      <c r="M15" s="8">
        <f t="shared" ca="1" si="0"/>
        <v>0.02</v>
      </c>
      <c r="N15" s="8">
        <f t="shared" ca="1" si="0"/>
        <v>0</v>
      </c>
      <c r="O15" s="8">
        <f t="shared" ca="1" si="0"/>
        <v>0</v>
      </c>
      <c r="P15" s="4">
        <f t="shared" ca="1" si="0"/>
        <v>0</v>
      </c>
      <c r="Q15" s="8">
        <f t="shared" ca="1" si="0"/>
        <v>0</v>
      </c>
      <c r="R15" s="4">
        <f t="shared" ca="1" si="0"/>
        <v>0</v>
      </c>
      <c r="S15" s="4">
        <f t="shared" ca="1" si="0"/>
        <v>0</v>
      </c>
      <c r="U15" t="str">
        <f t="shared" si="1"/>
        <v>=</v>
      </c>
      <c r="V15" t="s">
        <v>95</v>
      </c>
      <c r="W15" s="16" t="s">
        <v>1077</v>
      </c>
      <c r="X15" s="4">
        <f t="shared" ca="1" si="2"/>
        <v>0</v>
      </c>
      <c r="Y15" s="4">
        <f t="shared" ca="1" si="2"/>
        <v>0</v>
      </c>
      <c r="Z15" s="4">
        <f t="shared" ca="1" si="2"/>
        <v>0</v>
      </c>
      <c r="AA15" s="4">
        <f t="shared" ca="1" si="2"/>
        <v>0</v>
      </c>
      <c r="AB15" s="4">
        <f t="shared" ca="1" si="2"/>
        <v>0</v>
      </c>
      <c r="AC15" s="4">
        <f t="shared" ca="1" si="2"/>
        <v>0</v>
      </c>
      <c r="AD15" s="4">
        <f t="shared" ca="1" si="2"/>
        <v>2</v>
      </c>
      <c r="AE15" s="8">
        <f t="shared" ca="1" si="2"/>
        <v>0</v>
      </c>
      <c r="AF15" s="8">
        <f t="shared" ca="1" si="2"/>
        <v>0</v>
      </c>
      <c r="AG15" s="8">
        <f t="shared" ca="1" si="2"/>
        <v>0.02</v>
      </c>
      <c r="AH15" s="8">
        <f t="shared" ca="1" si="2"/>
        <v>0.02</v>
      </c>
      <c r="AI15" s="8">
        <f t="shared" ca="1" si="2"/>
        <v>0</v>
      </c>
      <c r="AJ15" s="8">
        <f t="shared" ca="1" si="2"/>
        <v>0</v>
      </c>
      <c r="AK15" s="4">
        <f t="shared" ca="1" si="2"/>
        <v>0</v>
      </c>
      <c r="AL15" s="8">
        <f t="shared" ca="1" si="2"/>
        <v>0</v>
      </c>
      <c r="AM15" s="4">
        <f t="shared" ca="1" si="2"/>
        <v>0</v>
      </c>
      <c r="AN15" s="4">
        <f t="shared" ca="1" si="2"/>
        <v>0</v>
      </c>
    </row>
    <row r="16" spans="1:40" x14ac:dyDescent="0.2">
      <c r="A16" t="s">
        <v>96</v>
      </c>
      <c r="B16" s="16" t="s">
        <v>1439</v>
      </c>
      <c r="C16" s="4">
        <f t="shared" ca="1" si="0"/>
        <v>0</v>
      </c>
      <c r="D16" s="4">
        <f t="shared" ca="1" si="0"/>
        <v>40</v>
      </c>
      <c r="E16" s="4">
        <f t="shared" ca="1" si="0"/>
        <v>7</v>
      </c>
      <c r="F16" s="4">
        <f t="shared" ca="1" si="0"/>
        <v>13</v>
      </c>
      <c r="G16" s="4">
        <f t="shared" ca="1" si="0"/>
        <v>19</v>
      </c>
      <c r="H16" s="4">
        <f t="shared" ca="1" si="0"/>
        <v>20</v>
      </c>
      <c r="I16" s="4">
        <f t="shared" ca="1" si="0"/>
        <v>30</v>
      </c>
      <c r="J16" s="8">
        <f t="shared" ca="1" si="0"/>
        <v>0</v>
      </c>
      <c r="K16" s="8">
        <f t="shared" ca="1" si="0"/>
        <v>0</v>
      </c>
      <c r="L16" s="8">
        <f t="shared" ca="1" si="0"/>
        <v>0</v>
      </c>
      <c r="M16" s="8">
        <f t="shared" ca="1" si="0"/>
        <v>0</v>
      </c>
      <c r="N16" s="8">
        <f t="shared" ca="1" si="0"/>
        <v>0</v>
      </c>
      <c r="O16" s="8">
        <f t="shared" ca="1" si="0"/>
        <v>0</v>
      </c>
      <c r="P16" s="4">
        <f t="shared" ca="1" si="0"/>
        <v>0</v>
      </c>
      <c r="Q16" s="8">
        <f t="shared" ca="1" si="0"/>
        <v>0</v>
      </c>
      <c r="R16" s="4">
        <f t="shared" ca="1" si="0"/>
        <v>0</v>
      </c>
      <c r="S16" s="4">
        <f t="shared" ca="1" si="0"/>
        <v>10</v>
      </c>
      <c r="U16" t="str">
        <f t="shared" si="1"/>
        <v>=</v>
      </c>
      <c r="V16" t="s">
        <v>96</v>
      </c>
      <c r="W16" s="16" t="s">
        <v>1439</v>
      </c>
      <c r="X16" s="4">
        <f t="shared" ca="1" si="2"/>
        <v>0</v>
      </c>
      <c r="Y16" s="4">
        <f t="shared" ca="1" si="2"/>
        <v>40</v>
      </c>
      <c r="Z16" s="4">
        <f t="shared" ca="1" si="2"/>
        <v>7</v>
      </c>
      <c r="AA16" s="4">
        <f t="shared" ca="1" si="2"/>
        <v>13</v>
      </c>
      <c r="AB16" s="4">
        <f t="shared" ca="1" si="2"/>
        <v>19</v>
      </c>
      <c r="AC16" s="4">
        <f t="shared" ca="1" si="2"/>
        <v>20</v>
      </c>
      <c r="AD16" s="4">
        <f t="shared" ca="1" si="2"/>
        <v>30</v>
      </c>
      <c r="AE16" s="8">
        <f t="shared" ca="1" si="2"/>
        <v>0</v>
      </c>
      <c r="AF16" s="8">
        <f t="shared" ca="1" si="2"/>
        <v>0</v>
      </c>
      <c r="AG16" s="8">
        <f t="shared" ca="1" si="2"/>
        <v>0</v>
      </c>
      <c r="AH16" s="8">
        <f t="shared" ca="1" si="2"/>
        <v>0</v>
      </c>
      <c r="AI16" s="8">
        <f t="shared" ca="1" si="2"/>
        <v>0</v>
      </c>
      <c r="AJ16" s="8">
        <f t="shared" ca="1" si="2"/>
        <v>0</v>
      </c>
      <c r="AK16" s="4">
        <f t="shared" ca="1" si="2"/>
        <v>0</v>
      </c>
      <c r="AL16" s="8">
        <f t="shared" ca="1" si="2"/>
        <v>0</v>
      </c>
      <c r="AM16" s="4">
        <f t="shared" ca="1" si="2"/>
        <v>0</v>
      </c>
      <c r="AN16" s="4">
        <f t="shared" ca="1" si="2"/>
        <v>10</v>
      </c>
    </row>
    <row r="17" spans="1:40" x14ac:dyDescent="0.2">
      <c r="A17" t="s">
        <v>97</v>
      </c>
      <c r="B17" s="16" t="s">
        <v>1003</v>
      </c>
      <c r="C17" s="4">
        <f t="shared" ca="1" si="0"/>
        <v>0</v>
      </c>
      <c r="D17" s="4">
        <f t="shared" ca="1" si="0"/>
        <v>17</v>
      </c>
      <c r="E17" s="4">
        <f t="shared" ca="1" si="0"/>
        <v>20</v>
      </c>
      <c r="F17" s="4">
        <f t="shared" ca="1" si="0"/>
        <v>26</v>
      </c>
      <c r="G17" s="4">
        <f t="shared" ca="1" si="0"/>
        <v>17</v>
      </c>
      <c r="H17" s="4">
        <f t="shared" ca="1" si="0"/>
        <v>12</v>
      </c>
      <c r="I17" s="4">
        <f t="shared" ca="1" si="0"/>
        <v>12</v>
      </c>
      <c r="J17" s="8">
        <f t="shared" ca="1" si="0"/>
        <v>0</v>
      </c>
      <c r="K17" s="8">
        <f t="shared" ca="1" si="0"/>
        <v>0</v>
      </c>
      <c r="L17" s="8">
        <f t="shared" ca="1" si="0"/>
        <v>0</v>
      </c>
      <c r="M17" s="8">
        <f t="shared" ca="1" si="0"/>
        <v>0</v>
      </c>
      <c r="N17" s="8">
        <f t="shared" ca="1" si="0"/>
        <v>0</v>
      </c>
      <c r="O17" s="8">
        <f t="shared" ca="1" si="0"/>
        <v>0.04</v>
      </c>
      <c r="P17" s="4">
        <f t="shared" ca="1" si="0"/>
        <v>0</v>
      </c>
      <c r="Q17" s="8">
        <f t="shared" ca="1" si="0"/>
        <v>0</v>
      </c>
      <c r="R17" s="4">
        <f t="shared" ca="1" si="0"/>
        <v>0</v>
      </c>
      <c r="S17" s="4">
        <f t="shared" ca="1" si="0"/>
        <v>5</v>
      </c>
      <c r="U17" t="str">
        <f t="shared" si="1"/>
        <v>=</v>
      </c>
      <c r="V17" t="s">
        <v>97</v>
      </c>
      <c r="W17" s="16" t="s">
        <v>1003</v>
      </c>
      <c r="X17" s="4">
        <f t="shared" ca="1" si="2"/>
        <v>0</v>
      </c>
      <c r="Y17" s="4">
        <f t="shared" ca="1" si="2"/>
        <v>17</v>
      </c>
      <c r="Z17" s="4">
        <f t="shared" ca="1" si="2"/>
        <v>20</v>
      </c>
      <c r="AA17" s="4">
        <f t="shared" ca="1" si="2"/>
        <v>26</v>
      </c>
      <c r="AB17" s="4">
        <f t="shared" ca="1" si="2"/>
        <v>17</v>
      </c>
      <c r="AC17" s="4">
        <f t="shared" ca="1" si="2"/>
        <v>12</v>
      </c>
      <c r="AD17" s="4">
        <f t="shared" ca="1" si="2"/>
        <v>12</v>
      </c>
      <c r="AE17" s="8">
        <f t="shared" ca="1" si="2"/>
        <v>0</v>
      </c>
      <c r="AF17" s="8">
        <f t="shared" ca="1" si="2"/>
        <v>0</v>
      </c>
      <c r="AG17" s="8">
        <f t="shared" ca="1" si="2"/>
        <v>0</v>
      </c>
      <c r="AH17" s="8">
        <f t="shared" ca="1" si="2"/>
        <v>0</v>
      </c>
      <c r="AI17" s="8">
        <f t="shared" ca="1" si="2"/>
        <v>0</v>
      </c>
      <c r="AJ17" s="8">
        <f t="shared" ca="1" si="2"/>
        <v>0.04</v>
      </c>
      <c r="AK17" s="4">
        <f t="shared" ca="1" si="2"/>
        <v>0</v>
      </c>
      <c r="AL17" s="8">
        <f t="shared" ca="1" si="2"/>
        <v>0</v>
      </c>
      <c r="AM17" s="4">
        <f t="shared" ca="1" si="2"/>
        <v>0</v>
      </c>
      <c r="AN17" s="4">
        <f t="shared" ca="1" si="2"/>
        <v>5</v>
      </c>
    </row>
    <row r="18" spans="1:40" x14ac:dyDescent="0.2">
      <c r="A18" t="s">
        <v>98</v>
      </c>
      <c r="B18" s="174"/>
      <c r="C18" s="4">
        <f t="shared" ref="C18:S18" si="3">SUMIF(INDEX(SetBonusLookup, 0, 1), "="&amp;C2, INDEX(SetBonusLookup, 0, MATCH("JumpSet1Gear", INDEX(SetBonusLookup, 1, 0), 0)))</f>
        <v>0</v>
      </c>
      <c r="D18" s="4">
        <f t="shared" si="3"/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ca="1" si="3"/>
        <v>0</v>
      </c>
      <c r="J18" s="96">
        <f t="shared" si="3"/>
        <v>0</v>
      </c>
      <c r="K18" s="96">
        <f t="shared" ca="1" si="3"/>
        <v>0</v>
      </c>
      <c r="L18" s="96">
        <f t="shared" si="3"/>
        <v>0</v>
      </c>
      <c r="M18" s="96">
        <f t="shared" si="3"/>
        <v>0</v>
      </c>
      <c r="N18" s="96">
        <f t="shared" si="3"/>
        <v>0</v>
      </c>
      <c r="O18" s="96">
        <f t="shared" ca="1" si="3"/>
        <v>0</v>
      </c>
      <c r="P18" s="4">
        <f t="shared" si="3"/>
        <v>0</v>
      </c>
      <c r="Q18" s="96">
        <f t="shared" si="3"/>
        <v>0</v>
      </c>
      <c r="R18" s="4">
        <f t="shared" si="3"/>
        <v>0</v>
      </c>
      <c r="S18" s="4">
        <f t="shared" si="3"/>
        <v>0</v>
      </c>
      <c r="U18" t="str">
        <f ca="1">IF(AND(C18=X18,D18=Y18,E18=Z18,F18=AA18,G18=AB18,H18=AC18,I18=AD18,J18=AE18,K18=AF18,L18=AG18,M18=AH18,N18=AI18,O18=AJ18,P18=AK18,Q18=AL18,R18=AM18, S18=AN18),"=","-")</f>
        <v>=</v>
      </c>
      <c r="V18" t="s">
        <v>98</v>
      </c>
      <c r="W18" s="174"/>
      <c r="X18" s="4">
        <f t="shared" ref="X18:AN18" si="4">SUMIF(INDEX(SetBonusLookup, 0, 1), "="&amp;X2, INDEX(SetBonusLookup, 0, MATCH("JumpSet2Gear", INDEX(SetBonusLookup, 1, 0), 0)))</f>
        <v>0</v>
      </c>
      <c r="Y18" s="4">
        <f t="shared" si="4"/>
        <v>0</v>
      </c>
      <c r="Z18" s="4">
        <f t="shared" si="4"/>
        <v>0</v>
      </c>
      <c r="AA18" s="4">
        <f t="shared" si="4"/>
        <v>0</v>
      </c>
      <c r="AB18" s="4">
        <f t="shared" si="4"/>
        <v>0</v>
      </c>
      <c r="AC18" s="4">
        <f t="shared" si="4"/>
        <v>0</v>
      </c>
      <c r="AD18" s="4">
        <f t="shared" ca="1" si="4"/>
        <v>0</v>
      </c>
      <c r="AE18" s="96">
        <f t="shared" si="4"/>
        <v>0</v>
      </c>
      <c r="AF18" s="96">
        <f t="shared" ca="1" si="4"/>
        <v>0</v>
      </c>
      <c r="AG18" s="96">
        <f t="shared" si="4"/>
        <v>0</v>
      </c>
      <c r="AH18" s="96">
        <f t="shared" si="4"/>
        <v>0</v>
      </c>
      <c r="AI18" s="96">
        <f t="shared" si="4"/>
        <v>0</v>
      </c>
      <c r="AJ18" s="96">
        <f t="shared" ca="1" si="4"/>
        <v>0</v>
      </c>
      <c r="AK18" s="4">
        <f t="shared" si="4"/>
        <v>0</v>
      </c>
      <c r="AL18" s="96">
        <f t="shared" si="4"/>
        <v>0</v>
      </c>
      <c r="AM18" s="4">
        <f t="shared" si="4"/>
        <v>0</v>
      </c>
      <c r="AN18" s="4">
        <f t="shared" si="4"/>
        <v>0</v>
      </c>
    </row>
    <row r="19" spans="1:40" x14ac:dyDescent="0.2">
      <c r="A19" t="s">
        <v>473</v>
      </c>
      <c r="B19" s="1" t="str">
        <f>IF(COUNTBLANK(C19:S19)=17,"","Active!")</f>
        <v/>
      </c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  <c r="Q19" s="19"/>
      <c r="R19" s="19"/>
      <c r="S19" s="17"/>
      <c r="U19" t="str">
        <f>IF(AND(C19=X19,D19=Y19,E19=Z19,F19=AA19,G19=AB19,H19=AC19,I19=AD19,J19=AE19,K19=AF19,L19=AG19,M19=AH19,N19=AI19,O19=AJ19,P19=AK19,Q19=AL19,R19=AM19, S19=AN19),"=","-")</f>
        <v>=</v>
      </c>
      <c r="V19" t="s">
        <v>473</v>
      </c>
      <c r="W19" s="1" t="str">
        <f>IF(COUNTBLANK(X19:AN19)=17,"","Active!")</f>
        <v/>
      </c>
      <c r="X19" s="17"/>
      <c r="Y19" s="17"/>
      <c r="Z19" s="17"/>
      <c r="AA19" s="17"/>
      <c r="AB19" s="17"/>
      <c r="AC19" s="17"/>
      <c r="AD19" s="17"/>
      <c r="AE19" s="17"/>
      <c r="AF19" s="18"/>
      <c r="AG19" s="18"/>
      <c r="AH19" s="18"/>
      <c r="AI19" s="18"/>
      <c r="AJ19" s="18"/>
      <c r="AK19" s="19"/>
      <c r="AL19" s="19"/>
      <c r="AM19" s="19"/>
      <c r="AN19" s="17"/>
    </row>
    <row r="20" spans="1:40" x14ac:dyDescent="0.2">
      <c r="K20" s="8"/>
      <c r="L20" s="8"/>
      <c r="M20" s="8"/>
      <c r="N20" s="8"/>
      <c r="O20" s="8"/>
      <c r="P20" s="8"/>
      <c r="Q20" s="8"/>
      <c r="R20" s="8"/>
      <c r="AF20" s="8"/>
      <c r="AG20" s="8"/>
      <c r="AH20" s="8"/>
      <c r="AI20" s="8"/>
      <c r="AJ20" s="8"/>
      <c r="AK20" s="8"/>
      <c r="AL20" s="8"/>
      <c r="AM20" s="8"/>
    </row>
    <row r="21" spans="1:40" x14ac:dyDescent="0.2">
      <c r="A21" t="s">
        <v>99</v>
      </c>
      <c r="C21" s="4">
        <f t="shared" ref="C21:J21" ca="1" si="5">IF($B10="Onca Suit",SUM(C3:C19)-SUM(C11,C16,C17),SUM(C3:C19))</f>
        <v>265</v>
      </c>
      <c r="D21" s="4">
        <f t="shared" ca="1" si="5"/>
        <v>140</v>
      </c>
      <c r="E21" s="4">
        <f t="shared" ca="1" si="5"/>
        <v>185</v>
      </c>
      <c r="F21" s="4">
        <f t="shared" ca="1" si="5"/>
        <v>84</v>
      </c>
      <c r="G21" s="4">
        <f t="shared" ca="1" si="5"/>
        <v>123</v>
      </c>
      <c r="H21" s="4">
        <f t="shared" ca="1" si="5"/>
        <v>115</v>
      </c>
      <c r="I21" s="4">
        <f t="shared" ca="1" si="5"/>
        <v>234</v>
      </c>
      <c r="J21" s="8">
        <f t="shared" ca="1" si="5"/>
        <v>0</v>
      </c>
      <c r="K21" s="8">
        <f t="shared" ref="K21:O21" ca="1" si="6">IF($B10="Onca Suit",SUM(K3:K19)-SUM(K11,K16,K17),SUM(K3:K19))</f>
        <v>0.04</v>
      </c>
      <c r="L21" s="8">
        <f t="shared" ca="1" si="6"/>
        <v>0.06</v>
      </c>
      <c r="M21" s="8">
        <f t="shared" ca="1" si="6"/>
        <v>0.02</v>
      </c>
      <c r="N21" s="8">
        <f t="shared" ca="1" si="6"/>
        <v>0</v>
      </c>
      <c r="O21" s="8">
        <f t="shared" ca="1" si="6"/>
        <v>0.04</v>
      </c>
      <c r="P21" s="4">
        <f ca="1">IF($B10="Onca Suit",SUM(P3:P19)-SUM(P11,P16,P17),SUM(P3:P19))</f>
        <v>0</v>
      </c>
      <c r="Q21" s="8">
        <f ca="1">IF($B10="Onca Suit",SUM(Q3:Q19)-SUM(Q11,Q16,Q17),SUM(Q3:Q19))</f>
        <v>0</v>
      </c>
      <c r="R21" s="4">
        <f ca="1">IF($B10="Onca Suit",SUM(R3:R19)-SUM(R11,R16,R17),SUM(R3:R19))</f>
        <v>0</v>
      </c>
      <c r="S21" s="4">
        <f ca="1">IF($B10="Onca Suit",SUM(S3:S19)-SUM(S11,S16,S17),SUM(S3:S19))</f>
        <v>77</v>
      </c>
      <c r="V21" t="s">
        <v>99</v>
      </c>
      <c r="X21" s="4">
        <f ca="1">IF($X10="Onca Suit",SUM(X3:X19)-SUM(X11,X16,X17),SUM(X3:X19))</f>
        <v>265</v>
      </c>
      <c r="Y21" s="4">
        <f t="shared" ref="Y21:AN21" ca="1" si="7">IF($X10="Onca Suit",SUM(Y3:Y19)-SUM(Y11,Y16,Y17),SUM(Y3:Y19))</f>
        <v>140</v>
      </c>
      <c r="Z21" s="4">
        <f t="shared" ca="1" si="7"/>
        <v>185</v>
      </c>
      <c r="AA21" s="4">
        <f t="shared" ca="1" si="7"/>
        <v>84</v>
      </c>
      <c r="AB21" s="4">
        <f t="shared" ca="1" si="7"/>
        <v>123</v>
      </c>
      <c r="AC21" s="4">
        <f t="shared" ca="1" si="7"/>
        <v>115</v>
      </c>
      <c r="AD21" s="4">
        <f t="shared" ca="1" si="7"/>
        <v>234</v>
      </c>
      <c r="AE21" s="8">
        <f t="shared" ca="1" si="7"/>
        <v>0</v>
      </c>
      <c r="AF21" s="8">
        <f t="shared" ca="1" si="7"/>
        <v>0.04</v>
      </c>
      <c r="AG21" s="8">
        <f t="shared" ca="1" si="7"/>
        <v>0.06</v>
      </c>
      <c r="AH21" s="8">
        <f t="shared" ca="1" si="7"/>
        <v>0.02</v>
      </c>
      <c r="AI21" s="8">
        <f t="shared" ca="1" si="7"/>
        <v>0</v>
      </c>
      <c r="AJ21" s="8">
        <f ca="1">IF($X10="Onca Suit",SUM(AJ3:AJ19)-SUM(AJ11,AJ16,AJ17),SUM(AJ3:AJ19))</f>
        <v>0.04</v>
      </c>
      <c r="AK21" s="4">
        <f t="shared" ca="1" si="7"/>
        <v>0</v>
      </c>
      <c r="AL21" s="8">
        <f ca="1">IF($X10="Onca Suit",SUM(AL3:AL19)-SUM(AL11,AL16,AL17),SUM(AL3:AL19))</f>
        <v>0</v>
      </c>
      <c r="AM21" s="4">
        <f t="shared" ca="1" si="7"/>
        <v>0</v>
      </c>
      <c r="AN21" s="4">
        <f t="shared" ca="1" si="7"/>
        <v>77</v>
      </c>
    </row>
    <row r="22" spans="1:40" x14ac:dyDescent="0.2">
      <c r="A22" t="s">
        <v>110</v>
      </c>
      <c r="B22" s="13">
        <f ca="1">Data!F154</f>
        <v>843.56152277044123</v>
      </c>
      <c r="V22" t="s">
        <v>110</v>
      </c>
      <c r="W22" s="13">
        <f ca="1">Data!G154</f>
        <v>843.56152277044123</v>
      </c>
    </row>
    <row r="23" spans="1:40" x14ac:dyDescent="0.2">
      <c r="A23" t="s">
        <v>1335</v>
      </c>
      <c r="B23" s="13">
        <f ca="1">Data!F163</f>
        <v>0</v>
      </c>
      <c r="V23" t="s">
        <v>1335</v>
      </c>
      <c r="W23" s="13">
        <f ca="1">Data!G163</f>
        <v>0</v>
      </c>
    </row>
    <row r="25" spans="1:40" s="1" customFormat="1" x14ac:dyDescent="0.2">
      <c r="A25" s="1" t="s">
        <v>1325</v>
      </c>
      <c r="V25" s="1" t="s">
        <v>1326</v>
      </c>
    </row>
    <row r="26" spans="1:40" x14ac:dyDescent="0.2">
      <c r="A26" t="s">
        <v>70</v>
      </c>
      <c r="B26" t="s">
        <v>71</v>
      </c>
      <c r="C26" t="s">
        <v>72</v>
      </c>
      <c r="D26" t="s">
        <v>26</v>
      </c>
      <c r="E26" t="s">
        <v>27</v>
      </c>
      <c r="F26" t="s">
        <v>25</v>
      </c>
      <c r="G26" t="s">
        <v>23</v>
      </c>
      <c r="H26" t="s">
        <v>73</v>
      </c>
      <c r="I26" t="s">
        <v>74</v>
      </c>
      <c r="J26" t="s">
        <v>375</v>
      </c>
      <c r="K26" t="s">
        <v>75</v>
      </c>
      <c r="L26" t="s">
        <v>76</v>
      </c>
      <c r="M26" t="s">
        <v>77</v>
      </c>
      <c r="N26" t="s">
        <v>78</v>
      </c>
      <c r="O26" t="s">
        <v>79</v>
      </c>
      <c r="P26" t="s">
        <v>109</v>
      </c>
      <c r="Q26" t="s">
        <v>80</v>
      </c>
      <c r="R26" t="s">
        <v>81</v>
      </c>
      <c r="S26" t="s">
        <v>82</v>
      </c>
      <c r="V26" t="s">
        <v>70</v>
      </c>
      <c r="W26" t="s">
        <v>71</v>
      </c>
      <c r="X26" t="s">
        <v>72</v>
      </c>
      <c r="Y26" t="s">
        <v>26</v>
      </c>
      <c r="Z26" t="s">
        <v>27</v>
      </c>
      <c r="AA26" t="s">
        <v>25</v>
      </c>
      <c r="AB26" t="s">
        <v>23</v>
      </c>
      <c r="AC26" t="s">
        <v>73</v>
      </c>
      <c r="AD26" t="s">
        <v>74</v>
      </c>
      <c r="AE26" t="s">
        <v>375</v>
      </c>
      <c r="AF26" t="s">
        <v>75</v>
      </c>
      <c r="AG26" t="s">
        <v>76</v>
      </c>
      <c r="AH26" t="s">
        <v>77</v>
      </c>
      <c r="AI26" t="s">
        <v>78</v>
      </c>
      <c r="AJ26" t="s">
        <v>79</v>
      </c>
      <c r="AK26" t="s">
        <v>109</v>
      </c>
      <c r="AL26" t="s">
        <v>80</v>
      </c>
      <c r="AM26" t="s">
        <v>81</v>
      </c>
      <c r="AN26" t="s">
        <v>82</v>
      </c>
    </row>
    <row r="27" spans="1:40" x14ac:dyDescent="0.2">
      <c r="A27" t="s">
        <v>83</v>
      </c>
      <c r="B27" t="str">
        <f>B3</f>
        <v>Shining One</v>
      </c>
      <c r="C27" s="4">
        <f t="shared" ref="C27:I41" ca="1" si="8">IF(ISBLANK($B27),0,VLOOKUP($B27,INDIRECT($A27),MATCH(C$26,StatHeader,0),0))</f>
        <v>250</v>
      </c>
      <c r="D27" s="4">
        <f t="shared" ca="1" si="8"/>
        <v>0</v>
      </c>
      <c r="E27" s="4">
        <f t="shared" ca="1" si="8"/>
        <v>20</v>
      </c>
      <c r="F27" s="4">
        <f t="shared" ca="1" si="8"/>
        <v>0</v>
      </c>
      <c r="G27" s="4">
        <f t="shared" ca="1" si="8"/>
        <v>0</v>
      </c>
      <c r="H27" s="4">
        <f t="shared" ca="1" si="8"/>
        <v>30</v>
      </c>
      <c r="I27" s="4">
        <f t="shared" ca="1" si="8"/>
        <v>40</v>
      </c>
      <c r="J27" s="8">
        <f t="shared" ref="J27:K41" ca="1" si="9">IF(ISBLANK($B27),0,VLOOKUP($B27,INDIRECT($A27),MATCH(J$2,StatHeader,0),0))</f>
        <v>0</v>
      </c>
      <c r="K27" s="8">
        <f t="shared" ca="1" si="9"/>
        <v>0</v>
      </c>
      <c r="L27" s="8">
        <f t="shared" ref="L27:S41" ca="1" si="10">IF(ISBLANK($B27),0,VLOOKUP($B27,INDIRECT($A27),MATCH(L$26,StatHeader,0),0))</f>
        <v>0</v>
      </c>
      <c r="M27" s="8">
        <f t="shared" ca="1" si="10"/>
        <v>0</v>
      </c>
      <c r="N27" s="8">
        <f t="shared" ca="1" si="10"/>
        <v>0</v>
      </c>
      <c r="O27" s="8">
        <f t="shared" ca="1" si="10"/>
        <v>0</v>
      </c>
      <c r="P27" s="4">
        <f t="shared" ca="1" si="10"/>
        <v>0</v>
      </c>
      <c r="Q27" s="8">
        <f t="shared" ca="1" si="10"/>
        <v>0</v>
      </c>
      <c r="R27" s="4">
        <f t="shared" ca="1" si="10"/>
        <v>0</v>
      </c>
      <c r="S27" s="4">
        <f t="shared" ca="1" si="10"/>
        <v>0</v>
      </c>
      <c r="V27" t="s">
        <v>83</v>
      </c>
      <c r="W27" t="str">
        <f>W3</f>
        <v>Shining One</v>
      </c>
      <c r="X27" s="4">
        <f t="shared" ref="X27:AN41" ca="1" si="11">IF(ISBLANK($W27),0,VLOOKUP($W27,INDIRECT($V27),MATCH(X$26,StatHeader,0),0))</f>
        <v>250</v>
      </c>
      <c r="Y27" s="4">
        <f t="shared" ca="1" si="11"/>
        <v>0</v>
      </c>
      <c r="Z27" s="4">
        <f t="shared" ca="1" si="11"/>
        <v>20</v>
      </c>
      <c r="AA27" s="4">
        <f t="shared" ca="1" si="11"/>
        <v>0</v>
      </c>
      <c r="AB27" s="4">
        <f t="shared" ca="1" si="11"/>
        <v>0</v>
      </c>
      <c r="AC27" s="4">
        <f t="shared" ca="1" si="11"/>
        <v>30</v>
      </c>
      <c r="AD27" s="4">
        <f t="shared" ca="1" si="11"/>
        <v>40</v>
      </c>
      <c r="AE27" s="8">
        <f t="shared" ca="1" si="11"/>
        <v>0</v>
      </c>
      <c r="AF27" s="8">
        <f t="shared" ca="1" si="11"/>
        <v>0</v>
      </c>
      <c r="AG27" s="8">
        <f t="shared" ca="1" si="11"/>
        <v>0</v>
      </c>
      <c r="AH27" s="8">
        <f t="shared" ca="1" si="11"/>
        <v>0</v>
      </c>
      <c r="AI27" s="8">
        <f t="shared" ca="1" si="11"/>
        <v>0</v>
      </c>
      <c r="AJ27" s="8">
        <f t="shared" ca="1" si="11"/>
        <v>0</v>
      </c>
      <c r="AK27" s="4">
        <f t="shared" ca="1" si="11"/>
        <v>0</v>
      </c>
      <c r="AL27" s="8">
        <f t="shared" ca="1" si="11"/>
        <v>0</v>
      </c>
      <c r="AM27" s="4">
        <f t="shared" ca="1" si="11"/>
        <v>0</v>
      </c>
      <c r="AN27" s="4">
        <f t="shared" ca="1" si="11"/>
        <v>0</v>
      </c>
    </row>
    <row r="28" spans="1:40" x14ac:dyDescent="0.2">
      <c r="A28" t="s">
        <v>84</v>
      </c>
      <c r="B28" s="20" t="str">
        <f>B4</f>
        <v>Bloodrain Strap</v>
      </c>
      <c r="C28" s="4">
        <f t="shared" ca="1" si="8"/>
        <v>0</v>
      </c>
      <c r="D28" s="4">
        <f t="shared" ca="1" si="8"/>
        <v>0</v>
      </c>
      <c r="E28" s="4">
        <f t="shared" ca="1" si="8"/>
        <v>0</v>
      </c>
      <c r="F28" s="4">
        <f t="shared" ca="1" si="8"/>
        <v>0</v>
      </c>
      <c r="G28" s="4">
        <f t="shared" ca="1" si="8"/>
        <v>0</v>
      </c>
      <c r="H28" s="4">
        <f t="shared" ca="1" si="8"/>
        <v>0</v>
      </c>
      <c r="I28" s="4">
        <f t="shared" ca="1" si="8"/>
        <v>6</v>
      </c>
      <c r="J28" s="8">
        <f t="shared" ca="1" si="9"/>
        <v>0</v>
      </c>
      <c r="K28" s="8">
        <f t="shared" ca="1" si="9"/>
        <v>0</v>
      </c>
      <c r="L28" s="8">
        <f t="shared" ca="1" si="10"/>
        <v>0</v>
      </c>
      <c r="M28" s="8">
        <f t="shared" ca="1" si="10"/>
        <v>0</v>
      </c>
      <c r="N28" s="8">
        <f t="shared" ca="1" si="10"/>
        <v>0</v>
      </c>
      <c r="O28" s="8">
        <f t="shared" ca="1" si="10"/>
        <v>0</v>
      </c>
      <c r="P28" s="4">
        <f t="shared" ca="1" si="10"/>
        <v>0</v>
      </c>
      <c r="Q28" s="8">
        <f t="shared" ca="1" si="10"/>
        <v>0</v>
      </c>
      <c r="R28" s="4">
        <f t="shared" ca="1" si="10"/>
        <v>0</v>
      </c>
      <c r="S28" s="4">
        <f t="shared" ca="1" si="10"/>
        <v>6</v>
      </c>
      <c r="V28" t="s">
        <v>84</v>
      </c>
      <c r="W28" s="21" t="str">
        <f>W4</f>
        <v>Bloodrain Strap</v>
      </c>
      <c r="X28" s="4">
        <f t="shared" ca="1" si="11"/>
        <v>0</v>
      </c>
      <c r="Y28" s="4">
        <f t="shared" ca="1" si="11"/>
        <v>0</v>
      </c>
      <c r="Z28" s="4">
        <f t="shared" ca="1" si="11"/>
        <v>0</v>
      </c>
      <c r="AA28" s="4">
        <f t="shared" ca="1" si="11"/>
        <v>0</v>
      </c>
      <c r="AB28" s="4">
        <f t="shared" ca="1" si="11"/>
        <v>0</v>
      </c>
      <c r="AC28" s="4">
        <f t="shared" ca="1" si="11"/>
        <v>0</v>
      </c>
      <c r="AD28" s="4">
        <f t="shared" ca="1" si="11"/>
        <v>6</v>
      </c>
      <c r="AE28" s="8">
        <f t="shared" ca="1" si="11"/>
        <v>0</v>
      </c>
      <c r="AF28" s="8">
        <f t="shared" ca="1" si="11"/>
        <v>0</v>
      </c>
      <c r="AG28" s="8">
        <f t="shared" ca="1" si="11"/>
        <v>0</v>
      </c>
      <c r="AH28" s="8">
        <f t="shared" ca="1" si="11"/>
        <v>0</v>
      </c>
      <c r="AI28" s="8">
        <f t="shared" ca="1" si="11"/>
        <v>0</v>
      </c>
      <c r="AJ28" s="8">
        <f t="shared" ca="1" si="11"/>
        <v>0</v>
      </c>
      <c r="AK28" s="4">
        <f t="shared" ca="1" si="11"/>
        <v>0</v>
      </c>
      <c r="AL28" s="8">
        <f t="shared" ca="1" si="11"/>
        <v>0</v>
      </c>
      <c r="AM28" s="4">
        <f t="shared" ca="1" si="11"/>
        <v>0</v>
      </c>
      <c r="AN28" s="4">
        <f t="shared" ca="1" si="11"/>
        <v>6</v>
      </c>
    </row>
    <row r="29" spans="1:40" x14ac:dyDescent="0.2">
      <c r="A29" t="s">
        <v>86</v>
      </c>
      <c r="B29" s="16" t="s">
        <v>527</v>
      </c>
      <c r="C29" s="4">
        <f t="shared" ca="1" si="8"/>
        <v>0</v>
      </c>
      <c r="D29" s="4">
        <f t="shared" ca="1" si="8"/>
        <v>0</v>
      </c>
      <c r="E29" s="4">
        <f t="shared" ca="1" si="8"/>
        <v>0</v>
      </c>
      <c r="F29" s="4">
        <f t="shared" ca="1" si="8"/>
        <v>0</v>
      </c>
      <c r="G29" s="4">
        <f t="shared" ca="1" si="8"/>
        <v>0</v>
      </c>
      <c r="H29" s="4">
        <f t="shared" ca="1" si="8"/>
        <v>10</v>
      </c>
      <c r="I29" s="4">
        <f t="shared" ca="1" si="8"/>
        <v>5</v>
      </c>
      <c r="J29" s="8">
        <f t="shared" ca="1" si="9"/>
        <v>0</v>
      </c>
      <c r="K29" s="8">
        <f t="shared" ca="1" si="9"/>
        <v>0</v>
      </c>
      <c r="L29" s="8">
        <f t="shared" ca="1" si="10"/>
        <v>0</v>
      </c>
      <c r="M29" s="8">
        <f t="shared" ca="1" si="10"/>
        <v>0</v>
      </c>
      <c r="N29" s="8">
        <f t="shared" ca="1" si="10"/>
        <v>0</v>
      </c>
      <c r="O29" s="8">
        <f t="shared" ca="1" si="10"/>
        <v>0</v>
      </c>
      <c r="P29" s="4">
        <f t="shared" ca="1" si="10"/>
        <v>0</v>
      </c>
      <c r="Q29" s="8">
        <f t="shared" ca="1" si="10"/>
        <v>0</v>
      </c>
      <c r="R29" s="4">
        <f t="shared" ca="1" si="10"/>
        <v>0</v>
      </c>
      <c r="S29" s="4">
        <f t="shared" ca="1" si="10"/>
        <v>3</v>
      </c>
      <c r="U29" t="str">
        <f t="shared" ref="U29:U41" si="12">IF(W29=B29,"=","-")</f>
        <v>=</v>
      </c>
      <c r="V29" t="s">
        <v>86</v>
      </c>
      <c r="W29" s="16" t="s">
        <v>527</v>
      </c>
      <c r="X29" s="4">
        <f t="shared" ca="1" si="11"/>
        <v>0</v>
      </c>
      <c r="Y29" s="4">
        <f t="shared" ca="1" si="11"/>
        <v>0</v>
      </c>
      <c r="Z29" s="4">
        <f t="shared" ca="1" si="11"/>
        <v>0</v>
      </c>
      <c r="AA29" s="4">
        <f t="shared" ca="1" si="11"/>
        <v>0</v>
      </c>
      <c r="AB29" s="4">
        <f t="shared" ca="1" si="11"/>
        <v>0</v>
      </c>
      <c r="AC29" s="4">
        <f t="shared" ca="1" si="11"/>
        <v>10</v>
      </c>
      <c r="AD29" s="4">
        <f t="shared" ca="1" si="11"/>
        <v>5</v>
      </c>
      <c r="AE29" s="8">
        <f t="shared" ca="1" si="11"/>
        <v>0</v>
      </c>
      <c r="AF29" s="8">
        <f t="shared" ca="1" si="11"/>
        <v>0</v>
      </c>
      <c r="AG29" s="8">
        <f t="shared" ca="1" si="11"/>
        <v>0</v>
      </c>
      <c r="AH29" s="8">
        <f t="shared" ca="1" si="11"/>
        <v>0</v>
      </c>
      <c r="AI29" s="8">
        <f t="shared" ca="1" si="11"/>
        <v>0</v>
      </c>
      <c r="AJ29" s="8">
        <f t="shared" ca="1" si="11"/>
        <v>0</v>
      </c>
      <c r="AK29" s="4">
        <f t="shared" ca="1" si="11"/>
        <v>0</v>
      </c>
      <c r="AL29" s="8">
        <f t="shared" ca="1" si="11"/>
        <v>0</v>
      </c>
      <c r="AM29" s="4">
        <f t="shared" ca="1" si="11"/>
        <v>0</v>
      </c>
      <c r="AN29" s="4">
        <f t="shared" ca="1" si="11"/>
        <v>3</v>
      </c>
    </row>
    <row r="30" spans="1:40" x14ac:dyDescent="0.2">
      <c r="A30" t="s">
        <v>88</v>
      </c>
      <c r="B30" s="16" t="s">
        <v>1380</v>
      </c>
      <c r="C30" s="4">
        <f t="shared" ca="1" si="8"/>
        <v>0</v>
      </c>
      <c r="D30" s="4">
        <f t="shared" ca="1" si="8"/>
        <v>32</v>
      </c>
      <c r="E30" s="4">
        <f t="shared" ca="1" si="8"/>
        <v>28</v>
      </c>
      <c r="F30" s="4">
        <f t="shared" ca="1" si="8"/>
        <v>16</v>
      </c>
      <c r="G30" s="4">
        <f t="shared" ca="1" si="8"/>
        <v>24</v>
      </c>
      <c r="H30" s="4">
        <f t="shared" ca="1" si="8"/>
        <v>0</v>
      </c>
      <c r="I30" s="4">
        <f t="shared" ca="1" si="8"/>
        <v>38</v>
      </c>
      <c r="J30" s="8">
        <f t="shared" ca="1" si="9"/>
        <v>0</v>
      </c>
      <c r="K30" s="8">
        <f t="shared" ca="1" si="9"/>
        <v>0</v>
      </c>
      <c r="L30" s="8">
        <f t="shared" ca="1" si="10"/>
        <v>0.04</v>
      </c>
      <c r="M30" s="8">
        <f t="shared" ca="1" si="10"/>
        <v>0</v>
      </c>
      <c r="N30" s="8">
        <f t="shared" ca="1" si="10"/>
        <v>0</v>
      </c>
      <c r="O30" s="8">
        <f t="shared" ca="1" si="10"/>
        <v>0</v>
      </c>
      <c r="P30" s="4">
        <f t="shared" ca="1" si="10"/>
        <v>0</v>
      </c>
      <c r="Q30" s="8">
        <f t="shared" ca="1" si="10"/>
        <v>0</v>
      </c>
      <c r="R30" s="4">
        <f t="shared" ca="1" si="10"/>
        <v>0</v>
      </c>
      <c r="S30" s="4">
        <f t="shared" ca="1" si="10"/>
        <v>5</v>
      </c>
      <c r="U30" t="str">
        <f t="shared" si="12"/>
        <v>=</v>
      </c>
      <c r="V30" t="s">
        <v>88</v>
      </c>
      <c r="W30" s="16" t="s">
        <v>1380</v>
      </c>
      <c r="X30" s="4">
        <f t="shared" ca="1" si="11"/>
        <v>0</v>
      </c>
      <c r="Y30" s="4">
        <f t="shared" ca="1" si="11"/>
        <v>32</v>
      </c>
      <c r="Z30" s="4">
        <f t="shared" ca="1" si="11"/>
        <v>28</v>
      </c>
      <c r="AA30" s="4">
        <f t="shared" ca="1" si="11"/>
        <v>16</v>
      </c>
      <c r="AB30" s="4">
        <f t="shared" ca="1" si="11"/>
        <v>24</v>
      </c>
      <c r="AC30" s="4">
        <f t="shared" ca="1" si="11"/>
        <v>0</v>
      </c>
      <c r="AD30" s="4">
        <f t="shared" ca="1" si="11"/>
        <v>38</v>
      </c>
      <c r="AE30" s="8">
        <f t="shared" ca="1" si="11"/>
        <v>0</v>
      </c>
      <c r="AF30" s="8">
        <f t="shared" ca="1" si="11"/>
        <v>0</v>
      </c>
      <c r="AG30" s="8">
        <f t="shared" ca="1" si="11"/>
        <v>0.04</v>
      </c>
      <c r="AH30" s="8">
        <f t="shared" ca="1" si="11"/>
        <v>0</v>
      </c>
      <c r="AI30" s="8">
        <f t="shared" ca="1" si="11"/>
        <v>0</v>
      </c>
      <c r="AJ30" s="8">
        <f t="shared" ca="1" si="11"/>
        <v>0</v>
      </c>
      <c r="AK30" s="4">
        <f t="shared" ca="1" si="11"/>
        <v>0</v>
      </c>
      <c r="AL30" s="8">
        <f t="shared" ca="1" si="11"/>
        <v>0</v>
      </c>
      <c r="AM30" s="4">
        <f t="shared" ca="1" si="11"/>
        <v>0</v>
      </c>
      <c r="AN30" s="4">
        <f t="shared" ca="1" si="11"/>
        <v>5</v>
      </c>
    </row>
    <row r="31" spans="1:40" x14ac:dyDescent="0.2">
      <c r="A31" t="s">
        <v>89</v>
      </c>
      <c r="B31" s="16" t="s">
        <v>1035</v>
      </c>
      <c r="C31" s="4">
        <f t="shared" ca="1" si="8"/>
        <v>15</v>
      </c>
      <c r="D31" s="4">
        <f t="shared" ca="1" si="8"/>
        <v>0</v>
      </c>
      <c r="E31" s="4">
        <f t="shared" ca="1" si="8"/>
        <v>0</v>
      </c>
      <c r="F31" s="4">
        <f t="shared" ca="1" si="8"/>
        <v>0</v>
      </c>
      <c r="G31" s="4">
        <f t="shared" ca="1" si="8"/>
        <v>0</v>
      </c>
      <c r="H31" s="4">
        <f t="shared" ca="1" si="8"/>
        <v>0</v>
      </c>
      <c r="I31" s="4">
        <f t="shared" ca="1" si="8"/>
        <v>0</v>
      </c>
      <c r="J31" s="8">
        <f t="shared" ca="1" si="9"/>
        <v>0</v>
      </c>
      <c r="K31" s="8">
        <f t="shared" ca="1" si="9"/>
        <v>0</v>
      </c>
      <c r="L31" s="8">
        <f t="shared" ca="1" si="10"/>
        <v>0</v>
      </c>
      <c r="M31" s="8">
        <f t="shared" ca="1" si="10"/>
        <v>0</v>
      </c>
      <c r="N31" s="8">
        <f t="shared" ca="1" si="10"/>
        <v>0</v>
      </c>
      <c r="O31" s="8">
        <f t="shared" ca="1" si="10"/>
        <v>0</v>
      </c>
      <c r="P31" s="4">
        <f t="shared" ca="1" si="10"/>
        <v>0</v>
      </c>
      <c r="Q31" s="8">
        <f t="shared" ca="1" si="10"/>
        <v>0</v>
      </c>
      <c r="R31" s="4">
        <f t="shared" ca="1" si="10"/>
        <v>0</v>
      </c>
      <c r="S31" s="4">
        <f t="shared" ca="1" si="10"/>
        <v>4</v>
      </c>
      <c r="U31" t="str">
        <f t="shared" si="12"/>
        <v>=</v>
      </c>
      <c r="V31" t="s">
        <v>89</v>
      </c>
      <c r="W31" s="16" t="s">
        <v>1035</v>
      </c>
      <c r="X31" s="4">
        <f t="shared" ca="1" si="11"/>
        <v>15</v>
      </c>
      <c r="Y31" s="4">
        <f t="shared" ca="1" si="11"/>
        <v>0</v>
      </c>
      <c r="Z31" s="4">
        <f t="shared" ca="1" si="11"/>
        <v>0</v>
      </c>
      <c r="AA31" s="4">
        <f t="shared" ca="1" si="11"/>
        <v>0</v>
      </c>
      <c r="AB31" s="4">
        <f t="shared" ca="1" si="11"/>
        <v>0</v>
      </c>
      <c r="AC31" s="4">
        <f t="shared" ca="1" si="11"/>
        <v>0</v>
      </c>
      <c r="AD31" s="4">
        <f t="shared" ca="1" si="11"/>
        <v>0</v>
      </c>
      <c r="AE31" s="8">
        <f t="shared" ca="1" si="11"/>
        <v>0</v>
      </c>
      <c r="AF31" s="8">
        <f t="shared" ca="1" si="11"/>
        <v>0</v>
      </c>
      <c r="AG31" s="8">
        <f t="shared" ca="1" si="11"/>
        <v>0</v>
      </c>
      <c r="AH31" s="8">
        <f t="shared" ca="1" si="11"/>
        <v>0</v>
      </c>
      <c r="AI31" s="8">
        <f t="shared" ca="1" si="11"/>
        <v>0</v>
      </c>
      <c r="AJ31" s="8">
        <f t="shared" ca="1" si="11"/>
        <v>0</v>
      </c>
      <c r="AK31" s="4">
        <f t="shared" ca="1" si="11"/>
        <v>0</v>
      </c>
      <c r="AL31" s="8">
        <f t="shared" ca="1" si="11"/>
        <v>0</v>
      </c>
      <c r="AM31" s="4">
        <f t="shared" ca="1" si="11"/>
        <v>0</v>
      </c>
      <c r="AN31" s="4">
        <f t="shared" ca="1" si="11"/>
        <v>4</v>
      </c>
    </row>
    <row r="32" spans="1:40" x14ac:dyDescent="0.2">
      <c r="A32" t="s">
        <v>90</v>
      </c>
      <c r="B32" s="16" t="s">
        <v>1145</v>
      </c>
      <c r="C32" s="4">
        <f t="shared" ca="1" si="8"/>
        <v>0</v>
      </c>
      <c r="D32" s="4">
        <f t="shared" ca="1" si="8"/>
        <v>0</v>
      </c>
      <c r="E32" s="4">
        <f t="shared" ca="1" si="8"/>
        <v>0</v>
      </c>
      <c r="F32" s="4">
        <f t="shared" ca="1" si="8"/>
        <v>0</v>
      </c>
      <c r="G32" s="4">
        <f t="shared" ca="1" si="8"/>
        <v>0</v>
      </c>
      <c r="H32" s="4">
        <f t="shared" ca="1" si="8"/>
        <v>0</v>
      </c>
      <c r="I32" s="4">
        <f t="shared" ca="1" si="8"/>
        <v>10</v>
      </c>
      <c r="J32" s="8">
        <f t="shared" ca="1" si="9"/>
        <v>0</v>
      </c>
      <c r="K32" s="8">
        <f t="shared" ca="1" si="9"/>
        <v>0</v>
      </c>
      <c r="L32" s="8">
        <f t="shared" ca="1" si="10"/>
        <v>0</v>
      </c>
      <c r="M32" s="8">
        <f t="shared" ca="1" si="10"/>
        <v>0</v>
      </c>
      <c r="N32" s="8">
        <f t="shared" ca="1" si="10"/>
        <v>0</v>
      </c>
      <c r="O32" s="8">
        <f t="shared" ca="1" si="10"/>
        <v>0</v>
      </c>
      <c r="P32" s="4">
        <f t="shared" ca="1" si="10"/>
        <v>0</v>
      </c>
      <c r="Q32" s="8">
        <f t="shared" ca="1" si="10"/>
        <v>0</v>
      </c>
      <c r="R32" s="4">
        <f t="shared" ca="1" si="10"/>
        <v>0</v>
      </c>
      <c r="S32" s="4">
        <f t="shared" ca="1" si="10"/>
        <v>3</v>
      </c>
      <c r="U32" t="str">
        <f t="shared" si="12"/>
        <v>=</v>
      </c>
      <c r="V32" t="s">
        <v>90</v>
      </c>
      <c r="W32" s="16" t="s">
        <v>1145</v>
      </c>
      <c r="X32" s="4">
        <f t="shared" ca="1" si="11"/>
        <v>0</v>
      </c>
      <c r="Y32" s="4">
        <f t="shared" ca="1" si="11"/>
        <v>0</v>
      </c>
      <c r="Z32" s="4">
        <f t="shared" ca="1" si="11"/>
        <v>0</v>
      </c>
      <c r="AA32" s="4">
        <f t="shared" ca="1" si="11"/>
        <v>0</v>
      </c>
      <c r="AB32" s="4">
        <f t="shared" ca="1" si="11"/>
        <v>0</v>
      </c>
      <c r="AC32" s="4">
        <f t="shared" ca="1" si="11"/>
        <v>0</v>
      </c>
      <c r="AD32" s="4">
        <f t="shared" ca="1" si="11"/>
        <v>10</v>
      </c>
      <c r="AE32" s="8">
        <f t="shared" ca="1" si="11"/>
        <v>0</v>
      </c>
      <c r="AF32" s="8">
        <f t="shared" ca="1" si="11"/>
        <v>0</v>
      </c>
      <c r="AG32" s="8">
        <f t="shared" ca="1" si="11"/>
        <v>0</v>
      </c>
      <c r="AH32" s="8">
        <f t="shared" ca="1" si="11"/>
        <v>0</v>
      </c>
      <c r="AI32" s="8">
        <f t="shared" ca="1" si="11"/>
        <v>0</v>
      </c>
      <c r="AJ32" s="8">
        <f t="shared" ca="1" si="11"/>
        <v>0</v>
      </c>
      <c r="AK32" s="4">
        <f t="shared" ca="1" si="11"/>
        <v>0</v>
      </c>
      <c r="AL32" s="8">
        <f t="shared" ca="1" si="11"/>
        <v>0</v>
      </c>
      <c r="AM32" s="4">
        <f t="shared" ca="1" si="11"/>
        <v>0</v>
      </c>
      <c r="AN32" s="4">
        <f t="shared" ca="1" si="11"/>
        <v>3</v>
      </c>
    </row>
    <row r="33" spans="1:40" x14ac:dyDescent="0.2">
      <c r="A33" t="s">
        <v>90</v>
      </c>
      <c r="B33" s="16" t="s">
        <v>1143</v>
      </c>
      <c r="C33" s="4">
        <f t="shared" ca="1" si="8"/>
        <v>0</v>
      </c>
      <c r="D33" s="4">
        <f t="shared" ca="1" si="8"/>
        <v>0</v>
      </c>
      <c r="E33" s="4">
        <f t="shared" ca="1" si="8"/>
        <v>0</v>
      </c>
      <c r="F33" s="4">
        <f t="shared" ca="1" si="8"/>
        <v>0</v>
      </c>
      <c r="G33" s="4">
        <f t="shared" ca="1" si="8"/>
        <v>0</v>
      </c>
      <c r="H33" s="4">
        <f t="shared" ca="1" si="8"/>
        <v>0</v>
      </c>
      <c r="I33" s="4">
        <f t="shared" ca="1" si="8"/>
        <v>6</v>
      </c>
      <c r="J33" s="8">
        <f t="shared" ca="1" si="9"/>
        <v>0</v>
      </c>
      <c r="K33" s="8">
        <f t="shared" ca="1" si="9"/>
        <v>0.03</v>
      </c>
      <c r="L33" s="8">
        <f t="shared" ca="1" si="10"/>
        <v>0</v>
      </c>
      <c r="M33" s="8">
        <f t="shared" ca="1" si="10"/>
        <v>0</v>
      </c>
      <c r="N33" s="8">
        <f t="shared" ca="1" si="10"/>
        <v>0</v>
      </c>
      <c r="O33" s="8">
        <f t="shared" ca="1" si="10"/>
        <v>0</v>
      </c>
      <c r="P33" s="4">
        <f t="shared" ca="1" si="10"/>
        <v>0</v>
      </c>
      <c r="Q33" s="8">
        <f t="shared" ca="1" si="10"/>
        <v>0</v>
      </c>
      <c r="R33" s="4">
        <f t="shared" ca="1" si="10"/>
        <v>0</v>
      </c>
      <c r="S33" s="4">
        <f t="shared" ca="1" si="10"/>
        <v>3</v>
      </c>
      <c r="U33" t="str">
        <f t="shared" si="12"/>
        <v>=</v>
      </c>
      <c r="V33" t="s">
        <v>90</v>
      </c>
      <c r="W33" s="16" t="s">
        <v>1143</v>
      </c>
      <c r="X33" s="4">
        <f t="shared" ca="1" si="11"/>
        <v>0</v>
      </c>
      <c r="Y33" s="4">
        <f t="shared" ca="1" si="11"/>
        <v>0</v>
      </c>
      <c r="Z33" s="4">
        <f t="shared" ca="1" si="11"/>
        <v>0</v>
      </c>
      <c r="AA33" s="4">
        <f t="shared" ca="1" si="11"/>
        <v>0</v>
      </c>
      <c r="AB33" s="4">
        <f t="shared" ca="1" si="11"/>
        <v>0</v>
      </c>
      <c r="AC33" s="4">
        <f t="shared" ca="1" si="11"/>
        <v>0</v>
      </c>
      <c r="AD33" s="4">
        <f t="shared" ca="1" si="11"/>
        <v>6</v>
      </c>
      <c r="AE33" s="8">
        <f t="shared" ca="1" si="11"/>
        <v>0</v>
      </c>
      <c r="AF33" s="8">
        <f t="shared" ca="1" si="11"/>
        <v>0.03</v>
      </c>
      <c r="AG33" s="8">
        <f t="shared" ca="1" si="11"/>
        <v>0</v>
      </c>
      <c r="AH33" s="8">
        <f t="shared" ca="1" si="11"/>
        <v>0</v>
      </c>
      <c r="AI33" s="8">
        <f t="shared" ca="1" si="11"/>
        <v>0</v>
      </c>
      <c r="AJ33" s="8">
        <f t="shared" ca="1" si="11"/>
        <v>0</v>
      </c>
      <c r="AK33" s="4">
        <f t="shared" ca="1" si="11"/>
        <v>0</v>
      </c>
      <c r="AL33" s="8">
        <f t="shared" ca="1" si="11"/>
        <v>0</v>
      </c>
      <c r="AM33" s="4">
        <f t="shared" ca="1" si="11"/>
        <v>0</v>
      </c>
      <c r="AN33" s="4">
        <f t="shared" ca="1" si="11"/>
        <v>3</v>
      </c>
    </row>
    <row r="34" spans="1:40" x14ac:dyDescent="0.2">
      <c r="A34" t="s">
        <v>91</v>
      </c>
      <c r="B34" s="16" t="s">
        <v>851</v>
      </c>
      <c r="C34" s="4">
        <f t="shared" ca="1" si="8"/>
        <v>0</v>
      </c>
      <c r="D34" s="4">
        <f t="shared" ca="1" si="8"/>
        <v>32</v>
      </c>
      <c r="E34" s="4">
        <f t="shared" ca="1" si="8"/>
        <v>28</v>
      </c>
      <c r="F34" s="4">
        <f t="shared" ca="1" si="8"/>
        <v>19</v>
      </c>
      <c r="G34" s="4">
        <f t="shared" ca="1" si="8"/>
        <v>28</v>
      </c>
      <c r="H34" s="4">
        <f t="shared" ca="1" si="8"/>
        <v>23</v>
      </c>
      <c r="I34" s="4">
        <f t="shared" ca="1" si="8"/>
        <v>23</v>
      </c>
      <c r="J34" s="8">
        <f t="shared" ca="1" si="9"/>
        <v>0</v>
      </c>
      <c r="K34" s="8">
        <f t="shared" ca="1" si="9"/>
        <v>0</v>
      </c>
      <c r="L34" s="8">
        <f t="shared" ca="1" si="10"/>
        <v>0</v>
      </c>
      <c r="M34" s="8">
        <f t="shared" ca="1" si="10"/>
        <v>0</v>
      </c>
      <c r="N34" s="8">
        <f t="shared" ca="1" si="10"/>
        <v>0</v>
      </c>
      <c r="O34" s="8">
        <f t="shared" ca="1" si="10"/>
        <v>0</v>
      </c>
      <c r="P34" s="4">
        <f t="shared" ca="1" si="10"/>
        <v>0</v>
      </c>
      <c r="Q34" s="8">
        <f t="shared" ca="1" si="10"/>
        <v>0</v>
      </c>
      <c r="R34" s="4">
        <f t="shared" ca="1" si="10"/>
        <v>0</v>
      </c>
      <c r="S34" s="4">
        <f t="shared" ca="1" si="10"/>
        <v>12</v>
      </c>
      <c r="U34" t="str">
        <f t="shared" si="12"/>
        <v>=</v>
      </c>
      <c r="V34" t="s">
        <v>91</v>
      </c>
      <c r="W34" s="16" t="s">
        <v>851</v>
      </c>
      <c r="X34" s="4">
        <f t="shared" ca="1" si="11"/>
        <v>0</v>
      </c>
      <c r="Y34" s="4">
        <f t="shared" ca="1" si="11"/>
        <v>32</v>
      </c>
      <c r="Z34" s="4">
        <f t="shared" ca="1" si="11"/>
        <v>28</v>
      </c>
      <c r="AA34" s="4">
        <f t="shared" ca="1" si="11"/>
        <v>19</v>
      </c>
      <c r="AB34" s="4">
        <f t="shared" ca="1" si="11"/>
        <v>28</v>
      </c>
      <c r="AC34" s="4">
        <f t="shared" ca="1" si="11"/>
        <v>23</v>
      </c>
      <c r="AD34" s="4">
        <f t="shared" ca="1" si="11"/>
        <v>23</v>
      </c>
      <c r="AE34" s="8">
        <f t="shared" ca="1" si="11"/>
        <v>0</v>
      </c>
      <c r="AF34" s="8">
        <f t="shared" ca="1" si="11"/>
        <v>0</v>
      </c>
      <c r="AG34" s="8">
        <f t="shared" ca="1" si="11"/>
        <v>0</v>
      </c>
      <c r="AH34" s="8">
        <f t="shared" ca="1" si="11"/>
        <v>0</v>
      </c>
      <c r="AI34" s="8">
        <f t="shared" ca="1" si="11"/>
        <v>0</v>
      </c>
      <c r="AJ34" s="8">
        <f t="shared" ca="1" si="11"/>
        <v>0</v>
      </c>
      <c r="AK34" s="4">
        <f t="shared" ca="1" si="11"/>
        <v>0</v>
      </c>
      <c r="AL34" s="8">
        <f t="shared" ca="1" si="11"/>
        <v>0</v>
      </c>
      <c r="AM34" s="4">
        <f t="shared" ca="1" si="11"/>
        <v>0</v>
      </c>
      <c r="AN34" s="4">
        <f t="shared" ca="1" si="11"/>
        <v>12</v>
      </c>
    </row>
    <row r="35" spans="1:40" x14ac:dyDescent="0.2">
      <c r="A35" t="s">
        <v>92</v>
      </c>
      <c r="B35" s="16" t="s">
        <v>830</v>
      </c>
      <c r="C35" s="4">
        <f t="shared" ca="1" si="8"/>
        <v>0</v>
      </c>
      <c r="D35" s="4">
        <f t="shared" ca="1" si="8"/>
        <v>11</v>
      </c>
      <c r="E35" s="4">
        <f t="shared" ca="1" si="8"/>
        <v>44</v>
      </c>
      <c r="F35" s="4">
        <f t="shared" ca="1" si="8"/>
        <v>7</v>
      </c>
      <c r="G35" s="4">
        <f t="shared" ca="1" si="8"/>
        <v>32</v>
      </c>
      <c r="H35" s="4">
        <f t="shared" ca="1" si="8"/>
        <v>0</v>
      </c>
      <c r="I35" s="4">
        <f t="shared" ca="1" si="8"/>
        <v>42</v>
      </c>
      <c r="J35" s="8">
        <f t="shared" ca="1" si="9"/>
        <v>0</v>
      </c>
      <c r="K35" s="8">
        <f t="shared" ca="1" si="9"/>
        <v>0</v>
      </c>
      <c r="L35" s="8">
        <f t="shared" ca="1" si="10"/>
        <v>0</v>
      </c>
      <c r="M35" s="8">
        <f t="shared" ca="1" si="10"/>
        <v>0</v>
      </c>
      <c r="N35" s="8">
        <f t="shared" ca="1" si="10"/>
        <v>0</v>
      </c>
      <c r="O35" s="8">
        <f t="shared" ca="1" si="10"/>
        <v>0</v>
      </c>
      <c r="P35" s="4">
        <f t="shared" ca="1" si="10"/>
        <v>0</v>
      </c>
      <c r="Q35" s="8">
        <f t="shared" ca="1" si="10"/>
        <v>0</v>
      </c>
      <c r="R35" s="4">
        <f t="shared" ca="1" si="10"/>
        <v>0</v>
      </c>
      <c r="S35" s="4">
        <f t="shared" ca="1" si="10"/>
        <v>6</v>
      </c>
      <c r="U35" t="str">
        <f t="shared" si="12"/>
        <v>=</v>
      </c>
      <c r="V35" t="s">
        <v>92</v>
      </c>
      <c r="W35" s="16" t="s">
        <v>830</v>
      </c>
      <c r="X35" s="4">
        <f t="shared" ca="1" si="11"/>
        <v>0</v>
      </c>
      <c r="Y35" s="4">
        <f t="shared" ca="1" si="11"/>
        <v>11</v>
      </c>
      <c r="Z35" s="4">
        <f t="shared" ca="1" si="11"/>
        <v>44</v>
      </c>
      <c r="AA35" s="4">
        <f t="shared" ca="1" si="11"/>
        <v>7</v>
      </c>
      <c r="AB35" s="4">
        <f t="shared" ca="1" si="11"/>
        <v>32</v>
      </c>
      <c r="AC35" s="4">
        <f t="shared" ca="1" si="11"/>
        <v>0</v>
      </c>
      <c r="AD35" s="4">
        <f t="shared" ca="1" si="11"/>
        <v>42</v>
      </c>
      <c r="AE35" s="8">
        <f t="shared" ca="1" si="11"/>
        <v>0</v>
      </c>
      <c r="AF35" s="8">
        <f t="shared" ca="1" si="11"/>
        <v>0</v>
      </c>
      <c r="AG35" s="8">
        <f t="shared" ca="1" si="11"/>
        <v>0</v>
      </c>
      <c r="AH35" s="8">
        <f t="shared" ca="1" si="11"/>
        <v>0</v>
      </c>
      <c r="AI35" s="8">
        <f t="shared" ca="1" si="11"/>
        <v>0</v>
      </c>
      <c r="AJ35" s="8">
        <f t="shared" ca="1" si="11"/>
        <v>0</v>
      </c>
      <c r="AK35" s="4">
        <f t="shared" ca="1" si="11"/>
        <v>0</v>
      </c>
      <c r="AL35" s="8">
        <f t="shared" ca="1" si="11"/>
        <v>0</v>
      </c>
      <c r="AM35" s="4">
        <f t="shared" ca="1" si="11"/>
        <v>0</v>
      </c>
      <c r="AN35" s="4">
        <f t="shared" ca="1" si="11"/>
        <v>6</v>
      </c>
    </row>
    <row r="36" spans="1:40" x14ac:dyDescent="0.2">
      <c r="A36" t="s">
        <v>93</v>
      </c>
      <c r="B36" s="16" t="s">
        <v>1239</v>
      </c>
      <c r="C36" s="4">
        <f t="shared" ca="1" si="8"/>
        <v>0</v>
      </c>
      <c r="D36" s="4">
        <f t="shared" ca="1" si="8"/>
        <v>5</v>
      </c>
      <c r="E36" s="4">
        <f t="shared" ca="1" si="8"/>
        <v>5</v>
      </c>
      <c r="F36" s="4">
        <f t="shared" ca="1" si="8"/>
        <v>0</v>
      </c>
      <c r="G36" s="4">
        <f t="shared" ca="1" si="8"/>
        <v>0</v>
      </c>
      <c r="H36" s="4">
        <f t="shared" ca="1" si="8"/>
        <v>0</v>
      </c>
      <c r="I36" s="4">
        <f t="shared" ca="1" si="8"/>
        <v>0</v>
      </c>
      <c r="J36" s="8">
        <f t="shared" ca="1" si="9"/>
        <v>0</v>
      </c>
      <c r="K36" s="8">
        <f t="shared" ca="1" si="9"/>
        <v>0</v>
      </c>
      <c r="L36" s="8">
        <f t="shared" ca="1" si="10"/>
        <v>0</v>
      </c>
      <c r="M36" s="8">
        <f t="shared" ca="1" si="10"/>
        <v>0</v>
      </c>
      <c r="N36" s="8">
        <f t="shared" ca="1" si="10"/>
        <v>0</v>
      </c>
      <c r="O36" s="8">
        <f t="shared" ca="1" si="10"/>
        <v>0</v>
      </c>
      <c r="P36" s="4">
        <f t="shared" ca="1" si="10"/>
        <v>0</v>
      </c>
      <c r="Q36" s="8">
        <f t="shared" ca="1" si="10"/>
        <v>0</v>
      </c>
      <c r="R36" s="4">
        <f t="shared" ca="1" si="10"/>
        <v>0</v>
      </c>
      <c r="S36" s="4">
        <f t="shared" ca="1" si="10"/>
        <v>5</v>
      </c>
      <c r="U36" t="str">
        <f t="shared" si="12"/>
        <v>=</v>
      </c>
      <c r="V36" t="s">
        <v>93</v>
      </c>
      <c r="W36" s="16" t="s">
        <v>1239</v>
      </c>
      <c r="X36" s="4">
        <f t="shared" ca="1" si="11"/>
        <v>0</v>
      </c>
      <c r="Y36" s="4">
        <f t="shared" ca="1" si="11"/>
        <v>5</v>
      </c>
      <c r="Z36" s="4">
        <f t="shared" ca="1" si="11"/>
        <v>5</v>
      </c>
      <c r="AA36" s="4">
        <f t="shared" ca="1" si="11"/>
        <v>0</v>
      </c>
      <c r="AB36" s="4">
        <f t="shared" ca="1" si="11"/>
        <v>0</v>
      </c>
      <c r="AC36" s="4">
        <f t="shared" ca="1" si="11"/>
        <v>0</v>
      </c>
      <c r="AD36" s="4">
        <f t="shared" ca="1" si="11"/>
        <v>0</v>
      </c>
      <c r="AE36" s="8">
        <f t="shared" ca="1" si="11"/>
        <v>0</v>
      </c>
      <c r="AF36" s="8">
        <f t="shared" ca="1" si="11"/>
        <v>0</v>
      </c>
      <c r="AG36" s="8">
        <f t="shared" ca="1" si="11"/>
        <v>0</v>
      </c>
      <c r="AH36" s="8">
        <f t="shared" ca="1" si="11"/>
        <v>0</v>
      </c>
      <c r="AI36" s="8">
        <f t="shared" ca="1" si="11"/>
        <v>0</v>
      </c>
      <c r="AJ36" s="8">
        <f t="shared" ca="1" si="11"/>
        <v>0</v>
      </c>
      <c r="AK36" s="4">
        <f t="shared" ca="1" si="11"/>
        <v>0</v>
      </c>
      <c r="AL36" s="8">
        <f t="shared" ca="1" si="11"/>
        <v>0</v>
      </c>
      <c r="AM36" s="4">
        <f t="shared" ca="1" si="11"/>
        <v>0</v>
      </c>
      <c r="AN36" s="4">
        <f t="shared" ca="1" si="11"/>
        <v>5</v>
      </c>
    </row>
    <row r="37" spans="1:40" x14ac:dyDescent="0.2">
      <c r="A37" t="s">
        <v>93</v>
      </c>
      <c r="B37" s="16" t="s">
        <v>1238</v>
      </c>
      <c r="C37" s="4">
        <f t="shared" ca="1" si="8"/>
        <v>0</v>
      </c>
      <c r="D37" s="4">
        <f t="shared" ca="1" si="8"/>
        <v>3</v>
      </c>
      <c r="E37" s="4">
        <f t="shared" ca="1" si="8"/>
        <v>3</v>
      </c>
      <c r="F37" s="4">
        <f t="shared" ca="1" si="8"/>
        <v>3</v>
      </c>
      <c r="G37" s="4">
        <f t="shared" ca="1" si="8"/>
        <v>3</v>
      </c>
      <c r="H37" s="4">
        <f t="shared" ca="1" si="8"/>
        <v>0</v>
      </c>
      <c r="I37" s="4">
        <f t="shared" ca="1" si="8"/>
        <v>0</v>
      </c>
      <c r="J37" s="8">
        <f t="shared" ca="1" si="9"/>
        <v>0</v>
      </c>
      <c r="K37" s="8">
        <f t="shared" ca="1" si="9"/>
        <v>0.01</v>
      </c>
      <c r="L37" s="8">
        <f t="shared" ca="1" si="10"/>
        <v>0</v>
      </c>
      <c r="M37" s="8">
        <f t="shared" ca="1" si="10"/>
        <v>0</v>
      </c>
      <c r="N37" s="8">
        <f t="shared" ca="1" si="10"/>
        <v>0</v>
      </c>
      <c r="O37" s="8">
        <f t="shared" ca="1" si="10"/>
        <v>0</v>
      </c>
      <c r="P37" s="4">
        <f t="shared" ca="1" si="10"/>
        <v>0</v>
      </c>
      <c r="Q37" s="8">
        <f t="shared" ca="1" si="10"/>
        <v>0</v>
      </c>
      <c r="R37" s="4">
        <f t="shared" ca="1" si="10"/>
        <v>0</v>
      </c>
      <c r="S37" s="4">
        <f t="shared" ca="1" si="10"/>
        <v>5</v>
      </c>
      <c r="U37" t="str">
        <f t="shared" si="12"/>
        <v>=</v>
      </c>
      <c r="V37" t="s">
        <v>93</v>
      </c>
      <c r="W37" s="16" t="s">
        <v>1238</v>
      </c>
      <c r="X37" s="4">
        <f t="shared" ca="1" si="11"/>
        <v>0</v>
      </c>
      <c r="Y37" s="4">
        <f t="shared" ca="1" si="11"/>
        <v>3</v>
      </c>
      <c r="Z37" s="4">
        <f t="shared" ca="1" si="11"/>
        <v>3</v>
      </c>
      <c r="AA37" s="4">
        <f t="shared" ca="1" si="11"/>
        <v>3</v>
      </c>
      <c r="AB37" s="4">
        <f t="shared" ca="1" si="11"/>
        <v>3</v>
      </c>
      <c r="AC37" s="4">
        <f t="shared" ca="1" si="11"/>
        <v>0</v>
      </c>
      <c r="AD37" s="4">
        <f t="shared" ca="1" si="11"/>
        <v>0</v>
      </c>
      <c r="AE37" s="8">
        <f t="shared" ca="1" si="11"/>
        <v>0</v>
      </c>
      <c r="AF37" s="8">
        <f t="shared" ca="1" si="11"/>
        <v>0.01</v>
      </c>
      <c r="AG37" s="8">
        <f t="shared" ca="1" si="11"/>
        <v>0</v>
      </c>
      <c r="AH37" s="8">
        <f t="shared" ca="1" si="11"/>
        <v>0</v>
      </c>
      <c r="AI37" s="8">
        <f t="shared" ca="1" si="11"/>
        <v>0</v>
      </c>
      <c r="AJ37" s="8">
        <f t="shared" ca="1" si="11"/>
        <v>0</v>
      </c>
      <c r="AK37" s="4">
        <f t="shared" ca="1" si="11"/>
        <v>0</v>
      </c>
      <c r="AL37" s="8">
        <f t="shared" ca="1" si="11"/>
        <v>0</v>
      </c>
      <c r="AM37" s="4">
        <f t="shared" ca="1" si="11"/>
        <v>0</v>
      </c>
      <c r="AN37" s="4">
        <f t="shared" ca="1" si="11"/>
        <v>5</v>
      </c>
    </row>
    <row r="38" spans="1:40" x14ac:dyDescent="0.2">
      <c r="A38" t="s">
        <v>94</v>
      </c>
      <c r="B38" s="16" t="s">
        <v>1416</v>
      </c>
      <c r="C38" s="4">
        <f t="shared" ca="1" si="8"/>
        <v>0</v>
      </c>
      <c r="D38" s="4">
        <f t="shared" ca="1" si="8"/>
        <v>0</v>
      </c>
      <c r="E38" s="4">
        <f t="shared" ca="1" si="8"/>
        <v>30</v>
      </c>
      <c r="F38" s="4">
        <f t="shared" ca="1" si="8"/>
        <v>0</v>
      </c>
      <c r="G38" s="4">
        <f t="shared" ca="1" si="8"/>
        <v>0</v>
      </c>
      <c r="H38" s="4">
        <f t="shared" ca="1" si="8"/>
        <v>20</v>
      </c>
      <c r="I38" s="4">
        <f t="shared" ca="1" si="8"/>
        <v>20</v>
      </c>
      <c r="J38" s="8">
        <f t="shared" ca="1" si="9"/>
        <v>0</v>
      </c>
      <c r="K38" s="8">
        <f t="shared" ca="1" si="9"/>
        <v>0</v>
      </c>
      <c r="L38" s="8">
        <f t="shared" ca="1" si="10"/>
        <v>0</v>
      </c>
      <c r="M38" s="8">
        <f t="shared" ca="1" si="10"/>
        <v>0</v>
      </c>
      <c r="N38" s="8">
        <f t="shared" ca="1" si="10"/>
        <v>0</v>
      </c>
      <c r="O38" s="8">
        <f t="shared" ca="1" si="10"/>
        <v>0</v>
      </c>
      <c r="P38" s="4">
        <f t="shared" ca="1" si="10"/>
        <v>0</v>
      </c>
      <c r="Q38" s="8">
        <f t="shared" ca="1" si="10"/>
        <v>0</v>
      </c>
      <c r="R38" s="4">
        <f t="shared" ca="1" si="10"/>
        <v>0</v>
      </c>
      <c r="S38" s="4">
        <f t="shared" ca="1" si="10"/>
        <v>10</v>
      </c>
      <c r="U38" t="str">
        <f t="shared" si="12"/>
        <v>=</v>
      </c>
      <c r="V38" t="s">
        <v>94</v>
      </c>
      <c r="W38" s="16" t="s">
        <v>1416</v>
      </c>
      <c r="X38" s="4">
        <f t="shared" ca="1" si="11"/>
        <v>0</v>
      </c>
      <c r="Y38" s="4">
        <f t="shared" ca="1" si="11"/>
        <v>0</v>
      </c>
      <c r="Z38" s="4">
        <f t="shared" ca="1" si="11"/>
        <v>30</v>
      </c>
      <c r="AA38" s="4">
        <f t="shared" ca="1" si="11"/>
        <v>0</v>
      </c>
      <c r="AB38" s="4">
        <f t="shared" ca="1" si="11"/>
        <v>0</v>
      </c>
      <c r="AC38" s="4">
        <f t="shared" ca="1" si="11"/>
        <v>20</v>
      </c>
      <c r="AD38" s="4">
        <f t="shared" ca="1" si="11"/>
        <v>20</v>
      </c>
      <c r="AE38" s="8">
        <f t="shared" ca="1" si="11"/>
        <v>0</v>
      </c>
      <c r="AF38" s="8">
        <f t="shared" ca="1" si="11"/>
        <v>0</v>
      </c>
      <c r="AG38" s="8">
        <f t="shared" ca="1" si="11"/>
        <v>0</v>
      </c>
      <c r="AH38" s="8">
        <f t="shared" ca="1" si="11"/>
        <v>0</v>
      </c>
      <c r="AI38" s="8">
        <f t="shared" ca="1" si="11"/>
        <v>0</v>
      </c>
      <c r="AJ38" s="8">
        <f t="shared" ca="1" si="11"/>
        <v>0</v>
      </c>
      <c r="AK38" s="4">
        <f t="shared" ca="1" si="11"/>
        <v>0</v>
      </c>
      <c r="AL38" s="8">
        <f t="shared" ca="1" si="11"/>
        <v>0</v>
      </c>
      <c r="AM38" s="4">
        <f t="shared" ca="1" si="11"/>
        <v>0</v>
      </c>
      <c r="AN38" s="4">
        <f t="shared" ca="1" si="11"/>
        <v>10</v>
      </c>
    </row>
    <row r="39" spans="1:40" x14ac:dyDescent="0.2">
      <c r="A39" t="s">
        <v>95</v>
      </c>
      <c r="B39" s="16" t="s">
        <v>1077</v>
      </c>
      <c r="C39" s="4">
        <f t="shared" ca="1" si="8"/>
        <v>0</v>
      </c>
      <c r="D39" s="4">
        <f t="shared" ca="1" si="8"/>
        <v>0</v>
      </c>
      <c r="E39" s="4">
        <f t="shared" ca="1" si="8"/>
        <v>0</v>
      </c>
      <c r="F39" s="4">
        <f t="shared" ca="1" si="8"/>
        <v>0</v>
      </c>
      <c r="G39" s="4">
        <f t="shared" ca="1" si="8"/>
        <v>0</v>
      </c>
      <c r="H39" s="4">
        <f t="shared" ca="1" si="8"/>
        <v>0</v>
      </c>
      <c r="I39" s="4">
        <f t="shared" ca="1" si="8"/>
        <v>2</v>
      </c>
      <c r="J39" s="8">
        <f t="shared" ca="1" si="9"/>
        <v>0</v>
      </c>
      <c r="K39" s="8">
        <f t="shared" ca="1" si="9"/>
        <v>0</v>
      </c>
      <c r="L39" s="8">
        <f t="shared" ca="1" si="10"/>
        <v>0.02</v>
      </c>
      <c r="M39" s="8">
        <f t="shared" ca="1" si="10"/>
        <v>0.02</v>
      </c>
      <c r="N39" s="8">
        <f t="shared" ca="1" si="10"/>
        <v>0</v>
      </c>
      <c r="O39" s="8">
        <f t="shared" ca="1" si="10"/>
        <v>0</v>
      </c>
      <c r="P39" s="4">
        <f t="shared" ca="1" si="10"/>
        <v>0</v>
      </c>
      <c r="Q39" s="8">
        <f t="shared" ca="1" si="10"/>
        <v>0</v>
      </c>
      <c r="R39" s="4">
        <f t="shared" ca="1" si="10"/>
        <v>0</v>
      </c>
      <c r="S39" s="4">
        <f t="shared" ca="1" si="10"/>
        <v>0</v>
      </c>
      <c r="U39" t="str">
        <f t="shared" si="12"/>
        <v>=</v>
      </c>
      <c r="V39" t="s">
        <v>95</v>
      </c>
      <c r="W39" s="16" t="s">
        <v>1077</v>
      </c>
      <c r="X39" s="4">
        <f t="shared" ca="1" si="11"/>
        <v>0</v>
      </c>
      <c r="Y39" s="4">
        <f t="shared" ca="1" si="11"/>
        <v>0</v>
      </c>
      <c r="Z39" s="4">
        <f t="shared" ca="1" si="11"/>
        <v>0</v>
      </c>
      <c r="AA39" s="4">
        <f t="shared" ca="1" si="11"/>
        <v>0</v>
      </c>
      <c r="AB39" s="4">
        <f t="shared" ca="1" si="11"/>
        <v>0</v>
      </c>
      <c r="AC39" s="4">
        <f t="shared" ca="1" si="11"/>
        <v>0</v>
      </c>
      <c r="AD39" s="4">
        <f t="shared" ca="1" si="11"/>
        <v>2</v>
      </c>
      <c r="AE39" s="8">
        <f t="shared" ca="1" si="11"/>
        <v>0</v>
      </c>
      <c r="AF39" s="8">
        <f t="shared" ca="1" si="11"/>
        <v>0</v>
      </c>
      <c r="AG39" s="8">
        <f t="shared" ca="1" si="11"/>
        <v>0.02</v>
      </c>
      <c r="AH39" s="8">
        <f t="shared" ca="1" si="11"/>
        <v>0.02</v>
      </c>
      <c r="AI39" s="8">
        <f t="shared" ca="1" si="11"/>
        <v>0</v>
      </c>
      <c r="AJ39" s="8">
        <f t="shared" ca="1" si="11"/>
        <v>0</v>
      </c>
      <c r="AK39" s="4">
        <f t="shared" ca="1" si="11"/>
        <v>0</v>
      </c>
      <c r="AL39" s="8">
        <f t="shared" ca="1" si="11"/>
        <v>0</v>
      </c>
      <c r="AM39" s="4">
        <f t="shared" ca="1" si="11"/>
        <v>0</v>
      </c>
      <c r="AN39" s="4">
        <f t="shared" ca="1" si="11"/>
        <v>0</v>
      </c>
    </row>
    <row r="40" spans="1:40" x14ac:dyDescent="0.2">
      <c r="A40" t="s">
        <v>96</v>
      </c>
      <c r="B40" s="16" t="s">
        <v>1439</v>
      </c>
      <c r="C40" s="4">
        <f t="shared" ca="1" si="8"/>
        <v>0</v>
      </c>
      <c r="D40" s="4">
        <f t="shared" ca="1" si="8"/>
        <v>40</v>
      </c>
      <c r="E40" s="4">
        <f t="shared" ca="1" si="8"/>
        <v>7</v>
      </c>
      <c r="F40" s="4">
        <f t="shared" ca="1" si="8"/>
        <v>13</v>
      </c>
      <c r="G40" s="4">
        <f t="shared" ca="1" si="8"/>
        <v>19</v>
      </c>
      <c r="H40" s="4">
        <f t="shared" ca="1" si="8"/>
        <v>20</v>
      </c>
      <c r="I40" s="4">
        <f t="shared" ca="1" si="8"/>
        <v>30</v>
      </c>
      <c r="J40" s="8">
        <f t="shared" ca="1" si="9"/>
        <v>0</v>
      </c>
      <c r="K40" s="8">
        <f t="shared" ca="1" si="9"/>
        <v>0</v>
      </c>
      <c r="L40" s="8">
        <f t="shared" ca="1" si="10"/>
        <v>0</v>
      </c>
      <c r="M40" s="8">
        <f t="shared" ca="1" si="10"/>
        <v>0</v>
      </c>
      <c r="N40" s="8">
        <f t="shared" ca="1" si="10"/>
        <v>0</v>
      </c>
      <c r="O40" s="8">
        <f t="shared" ca="1" si="10"/>
        <v>0</v>
      </c>
      <c r="P40" s="4">
        <f t="shared" ca="1" si="10"/>
        <v>0</v>
      </c>
      <c r="Q40" s="8">
        <f t="shared" ca="1" si="10"/>
        <v>0</v>
      </c>
      <c r="R40" s="4">
        <f t="shared" ca="1" si="10"/>
        <v>0</v>
      </c>
      <c r="S40" s="4">
        <f t="shared" ca="1" si="10"/>
        <v>10</v>
      </c>
      <c r="U40" t="str">
        <f t="shared" si="12"/>
        <v>=</v>
      </c>
      <c r="V40" t="s">
        <v>96</v>
      </c>
      <c r="W40" s="16" t="s">
        <v>1439</v>
      </c>
      <c r="X40" s="4">
        <f t="shared" ca="1" si="11"/>
        <v>0</v>
      </c>
      <c r="Y40" s="4">
        <f t="shared" ca="1" si="11"/>
        <v>40</v>
      </c>
      <c r="Z40" s="4">
        <f t="shared" ca="1" si="11"/>
        <v>7</v>
      </c>
      <c r="AA40" s="4">
        <f t="shared" ca="1" si="11"/>
        <v>13</v>
      </c>
      <c r="AB40" s="4">
        <f t="shared" ca="1" si="11"/>
        <v>19</v>
      </c>
      <c r="AC40" s="4">
        <f t="shared" ca="1" si="11"/>
        <v>20</v>
      </c>
      <c r="AD40" s="4">
        <f t="shared" ca="1" si="11"/>
        <v>30</v>
      </c>
      <c r="AE40" s="8">
        <f t="shared" ca="1" si="11"/>
        <v>0</v>
      </c>
      <c r="AF40" s="8">
        <f t="shared" ca="1" si="11"/>
        <v>0</v>
      </c>
      <c r="AG40" s="8">
        <f t="shared" ca="1" si="11"/>
        <v>0</v>
      </c>
      <c r="AH40" s="8">
        <f t="shared" ca="1" si="11"/>
        <v>0</v>
      </c>
      <c r="AI40" s="8">
        <f t="shared" ca="1" si="11"/>
        <v>0</v>
      </c>
      <c r="AJ40" s="8">
        <f t="shared" ca="1" si="11"/>
        <v>0</v>
      </c>
      <c r="AK40" s="4">
        <f t="shared" ca="1" si="11"/>
        <v>0</v>
      </c>
      <c r="AL40" s="8">
        <f t="shared" ca="1" si="11"/>
        <v>0</v>
      </c>
      <c r="AM40" s="4">
        <f t="shared" ca="1" si="11"/>
        <v>0</v>
      </c>
      <c r="AN40" s="4">
        <f t="shared" ca="1" si="11"/>
        <v>10</v>
      </c>
    </row>
    <row r="41" spans="1:40" x14ac:dyDescent="0.2">
      <c r="A41" t="s">
        <v>97</v>
      </c>
      <c r="B41" s="16" t="s">
        <v>980</v>
      </c>
      <c r="C41" s="4">
        <f t="shared" ca="1" si="8"/>
        <v>0</v>
      </c>
      <c r="D41" s="4">
        <f t="shared" ca="1" si="8"/>
        <v>16</v>
      </c>
      <c r="E41" s="4">
        <f t="shared" ca="1" si="8"/>
        <v>19</v>
      </c>
      <c r="F41" s="4">
        <f t="shared" ca="1" si="8"/>
        <v>25</v>
      </c>
      <c r="G41" s="4">
        <f t="shared" ca="1" si="8"/>
        <v>20</v>
      </c>
      <c r="H41" s="4">
        <f t="shared" ca="1" si="8"/>
        <v>24</v>
      </c>
      <c r="I41" s="4">
        <f t="shared" ca="1" si="8"/>
        <v>24</v>
      </c>
      <c r="J41" s="8">
        <f t="shared" ca="1" si="9"/>
        <v>0</v>
      </c>
      <c r="K41" s="8">
        <f t="shared" ca="1" si="9"/>
        <v>0</v>
      </c>
      <c r="L41" s="8">
        <f t="shared" ca="1" si="10"/>
        <v>0</v>
      </c>
      <c r="M41" s="8">
        <f t="shared" ca="1" si="10"/>
        <v>0</v>
      </c>
      <c r="N41" s="8">
        <f t="shared" ca="1" si="10"/>
        <v>0</v>
      </c>
      <c r="O41" s="8">
        <f t="shared" ca="1" si="10"/>
        <v>0</v>
      </c>
      <c r="P41" s="4">
        <f t="shared" ca="1" si="10"/>
        <v>0</v>
      </c>
      <c r="Q41" s="8">
        <f t="shared" ca="1" si="10"/>
        <v>0</v>
      </c>
      <c r="R41" s="4">
        <f t="shared" ca="1" si="10"/>
        <v>0</v>
      </c>
      <c r="S41" s="4">
        <f t="shared" ca="1" si="10"/>
        <v>0</v>
      </c>
      <c r="U41" t="str">
        <f t="shared" si="12"/>
        <v>=</v>
      </c>
      <c r="V41" t="s">
        <v>97</v>
      </c>
      <c r="W41" s="16" t="s">
        <v>980</v>
      </c>
      <c r="X41" s="4">
        <f t="shared" ca="1" si="11"/>
        <v>0</v>
      </c>
      <c r="Y41" s="4">
        <f t="shared" ca="1" si="11"/>
        <v>16</v>
      </c>
      <c r="Z41" s="4">
        <f t="shared" ca="1" si="11"/>
        <v>19</v>
      </c>
      <c r="AA41" s="4">
        <f t="shared" ca="1" si="11"/>
        <v>25</v>
      </c>
      <c r="AB41" s="4">
        <f t="shared" ca="1" si="11"/>
        <v>20</v>
      </c>
      <c r="AC41" s="4">
        <f t="shared" ca="1" si="11"/>
        <v>24</v>
      </c>
      <c r="AD41" s="4">
        <f t="shared" ca="1" si="11"/>
        <v>24</v>
      </c>
      <c r="AE41" s="8">
        <f t="shared" ca="1" si="11"/>
        <v>0</v>
      </c>
      <c r="AF41" s="8">
        <f t="shared" ca="1" si="11"/>
        <v>0</v>
      </c>
      <c r="AG41" s="8">
        <f t="shared" ca="1" si="11"/>
        <v>0</v>
      </c>
      <c r="AH41" s="8">
        <f t="shared" ca="1" si="11"/>
        <v>0</v>
      </c>
      <c r="AI41" s="8">
        <f t="shared" ca="1" si="11"/>
        <v>0</v>
      </c>
      <c r="AJ41" s="8">
        <f t="shared" ca="1" si="11"/>
        <v>0</v>
      </c>
      <c r="AK41" s="4">
        <f t="shared" ca="1" si="11"/>
        <v>0</v>
      </c>
      <c r="AL41" s="8">
        <f t="shared" ca="1" si="11"/>
        <v>0</v>
      </c>
      <c r="AM41" s="4">
        <f t="shared" ca="1" si="11"/>
        <v>0</v>
      </c>
      <c r="AN41" s="4">
        <f t="shared" ca="1" si="11"/>
        <v>0</v>
      </c>
    </row>
    <row r="42" spans="1:40" x14ac:dyDescent="0.2">
      <c r="A42" t="s">
        <v>98</v>
      </c>
      <c r="B42" s="174"/>
      <c r="C42" s="4">
        <f t="shared" ref="C42:S42" si="13">SUMIF(INDEX(SetBonusLookup, 0, 1), "="&amp;C26, INDEX(SetBonusLookup, 0, MATCH("SpiritSet1Gear", INDEX(SetBonusLookup, 1, 0), 0)))</f>
        <v>0</v>
      </c>
      <c r="D42" s="4">
        <f t="shared" si="13"/>
        <v>0</v>
      </c>
      <c r="E42" s="4">
        <f t="shared" si="13"/>
        <v>0</v>
      </c>
      <c r="F42" s="4">
        <f t="shared" si="13"/>
        <v>0</v>
      </c>
      <c r="G42" s="4">
        <f t="shared" si="13"/>
        <v>0</v>
      </c>
      <c r="H42" s="4">
        <f t="shared" si="13"/>
        <v>0</v>
      </c>
      <c r="I42" s="4">
        <f t="shared" ca="1" si="13"/>
        <v>0</v>
      </c>
      <c r="J42" s="96">
        <f t="shared" si="13"/>
        <v>0</v>
      </c>
      <c r="K42" s="96">
        <f t="shared" ca="1" si="13"/>
        <v>0</v>
      </c>
      <c r="L42" s="96">
        <f t="shared" si="13"/>
        <v>0</v>
      </c>
      <c r="M42" s="96">
        <f t="shared" si="13"/>
        <v>0</v>
      </c>
      <c r="N42" s="96">
        <f t="shared" si="13"/>
        <v>0</v>
      </c>
      <c r="O42" s="96">
        <f t="shared" ca="1" si="13"/>
        <v>0</v>
      </c>
      <c r="P42" s="4">
        <f t="shared" si="13"/>
        <v>0</v>
      </c>
      <c r="Q42" s="96">
        <f t="shared" si="13"/>
        <v>0</v>
      </c>
      <c r="R42" s="4">
        <f t="shared" si="13"/>
        <v>0</v>
      </c>
      <c r="S42" s="4">
        <f t="shared" si="13"/>
        <v>0</v>
      </c>
      <c r="U42" t="str">
        <f ca="1">IF(AND(C42=X42,D42=Y42,E42=Z42,F42=AA42,G42=AB42,H42=AC42,I42=AD42,J42=AE42,K42=AF42,L42=AG42,M42=AH42,N42=AI42,O42=AJ42,P42=AK42,Q42=AL42,R42=AM42, S42=AN42),"=","-")</f>
        <v>=</v>
      </c>
      <c r="V42" t="s">
        <v>98</v>
      </c>
      <c r="W42" s="174"/>
      <c r="X42" s="4">
        <f t="shared" ref="X42:AN42" si="14">SUMIF(INDEX(SetBonusLookup, 0, 1), "="&amp;X26, INDEX(SetBonusLookup, 0, MATCH("SpiritSet2Gear", INDEX(SetBonusLookup, 1, 0), 0)))</f>
        <v>0</v>
      </c>
      <c r="Y42" s="4">
        <f t="shared" si="14"/>
        <v>0</v>
      </c>
      <c r="Z42" s="4">
        <f t="shared" si="14"/>
        <v>0</v>
      </c>
      <c r="AA42" s="4">
        <f t="shared" si="14"/>
        <v>0</v>
      </c>
      <c r="AB42" s="4">
        <f t="shared" si="14"/>
        <v>0</v>
      </c>
      <c r="AC42" s="4">
        <f t="shared" si="14"/>
        <v>0</v>
      </c>
      <c r="AD42" s="4">
        <f t="shared" ca="1" si="14"/>
        <v>0</v>
      </c>
      <c r="AE42" s="96">
        <f t="shared" si="14"/>
        <v>0</v>
      </c>
      <c r="AF42" s="96">
        <f t="shared" ca="1" si="14"/>
        <v>0</v>
      </c>
      <c r="AG42" s="96">
        <f t="shared" si="14"/>
        <v>0</v>
      </c>
      <c r="AH42" s="96">
        <f t="shared" si="14"/>
        <v>0</v>
      </c>
      <c r="AI42" s="96">
        <f t="shared" si="14"/>
        <v>0</v>
      </c>
      <c r="AJ42" s="96">
        <f t="shared" ca="1" si="14"/>
        <v>0</v>
      </c>
      <c r="AK42" s="4">
        <f t="shared" si="14"/>
        <v>0</v>
      </c>
      <c r="AL42" s="96">
        <f t="shared" si="14"/>
        <v>0</v>
      </c>
      <c r="AM42" s="4">
        <f t="shared" si="14"/>
        <v>0</v>
      </c>
      <c r="AN42" s="4">
        <f t="shared" si="14"/>
        <v>0</v>
      </c>
    </row>
    <row r="43" spans="1:40" x14ac:dyDescent="0.2">
      <c r="A43" t="s">
        <v>473</v>
      </c>
      <c r="B43" s="1" t="str">
        <f>IF(COUNTBLANK(C43:S43)=17,"","Active!")</f>
        <v/>
      </c>
      <c r="C43" s="17"/>
      <c r="D43" s="17"/>
      <c r="E43" s="17"/>
      <c r="F43" s="17"/>
      <c r="G43" s="17"/>
      <c r="H43" s="17"/>
      <c r="I43" s="17"/>
      <c r="J43" s="18"/>
      <c r="K43" s="18"/>
      <c r="L43" s="18"/>
      <c r="M43" s="18"/>
      <c r="N43" s="18"/>
      <c r="O43" s="19"/>
      <c r="P43" s="19"/>
      <c r="Q43" s="19"/>
      <c r="R43" s="19"/>
      <c r="S43" s="17"/>
      <c r="U43" t="str">
        <f>IF(AND(C43=X43,D43=Y43,E43=Z43,F43=AA43,G43=AB43,H43=AC43,I43=AD43,J43=AE43,K43=AF43,L43=AG43,M43=AH43,N43=AI43,O43=AJ43,P43=AK43,Q43=AL43,R43=AM43, S43=AN43),"=","-")</f>
        <v>=</v>
      </c>
      <c r="V43" t="s">
        <v>473</v>
      </c>
      <c r="W43" s="1" t="str">
        <f>IF(COUNTBLANK(X43:AN43)=17,"","Active!")</f>
        <v/>
      </c>
      <c r="X43" s="17"/>
      <c r="Y43" s="17"/>
      <c r="Z43" s="17"/>
      <c r="AA43" s="17"/>
      <c r="AB43" s="17"/>
      <c r="AC43" s="17"/>
      <c r="AD43" s="17"/>
      <c r="AE43" s="17"/>
      <c r="AF43" s="18"/>
      <c r="AG43" s="18"/>
      <c r="AH43" s="18"/>
      <c r="AI43" s="18"/>
      <c r="AJ43" s="18"/>
      <c r="AK43" s="19"/>
      <c r="AL43" s="19"/>
      <c r="AM43" s="19"/>
      <c r="AN43" s="17"/>
    </row>
    <row r="44" spans="1:40" x14ac:dyDescent="0.2">
      <c r="K44" s="8"/>
      <c r="L44" s="8"/>
      <c r="M44" s="8"/>
      <c r="N44" s="8"/>
      <c r="O44" s="8"/>
      <c r="P44" s="8"/>
      <c r="Q44" s="8"/>
      <c r="R44" s="8"/>
      <c r="AF44" s="8"/>
      <c r="AG44" s="8"/>
      <c r="AH44" s="8"/>
      <c r="AI44" s="8"/>
      <c r="AJ44" s="8"/>
      <c r="AK44" s="8"/>
      <c r="AL44" s="8"/>
      <c r="AM44" s="8"/>
    </row>
    <row r="45" spans="1:40" x14ac:dyDescent="0.2">
      <c r="A45" t="s">
        <v>99</v>
      </c>
      <c r="C45" s="4">
        <f t="shared" ref="C45:J45" ca="1" si="15">IF($B34="Onca Suit",SUM(C27:C43)-SUM(C35,C40,C41),SUM(C27:C43))</f>
        <v>265</v>
      </c>
      <c r="D45" s="4">
        <f t="shared" ca="1" si="15"/>
        <v>139</v>
      </c>
      <c r="E45" s="4">
        <f t="shared" ca="1" si="15"/>
        <v>184</v>
      </c>
      <c r="F45" s="4">
        <f t="shared" ca="1" si="15"/>
        <v>83</v>
      </c>
      <c r="G45" s="4">
        <f t="shared" ca="1" si="15"/>
        <v>126</v>
      </c>
      <c r="H45" s="4">
        <f t="shared" ca="1" si="15"/>
        <v>127</v>
      </c>
      <c r="I45" s="4">
        <f t="shared" ca="1" si="15"/>
        <v>246</v>
      </c>
      <c r="J45" s="8">
        <f t="shared" ca="1" si="15"/>
        <v>0</v>
      </c>
      <c r="K45" s="8">
        <f t="shared" ref="K45:O45" ca="1" si="16">IF($B34="Onca Suit",SUM(K27:K43)-SUM(K35,K40,K41),SUM(K27:K43))</f>
        <v>0.04</v>
      </c>
      <c r="L45" s="8">
        <f t="shared" ca="1" si="16"/>
        <v>0.06</v>
      </c>
      <c r="M45" s="8">
        <f t="shared" ca="1" si="16"/>
        <v>0.02</v>
      </c>
      <c r="N45" s="8">
        <f t="shared" ca="1" si="16"/>
        <v>0</v>
      </c>
      <c r="O45" s="8">
        <f t="shared" ca="1" si="16"/>
        <v>0</v>
      </c>
      <c r="P45" s="4">
        <f ca="1">IF($B34="Onca Suit",SUM(P27:P43)-SUM(P35,P40,P41),SUM(P27:P43))</f>
        <v>0</v>
      </c>
      <c r="Q45" s="8">
        <f ca="1">IF($B34="Onca Suit",SUM(Q27:Q43)-SUM(Q35,Q40,Q41),SUM(Q27:Q43))</f>
        <v>0</v>
      </c>
      <c r="R45" s="4">
        <f ca="1">IF($B34="Onca Suit",SUM(R27:R43)-SUM(R35,R40,R41),SUM(R27:R43))</f>
        <v>0</v>
      </c>
      <c r="S45" s="4">
        <f ca="1">IF($B34="Onca Suit",SUM(S27:S43)-SUM(S35,S40,S41),SUM(S27:S43))</f>
        <v>72</v>
      </c>
      <c r="V45" t="s">
        <v>99</v>
      </c>
      <c r="X45" s="4">
        <f ca="1">IF($X34="Onca Suit",SUM(X27:X43)-SUM(X35,X40,X41),SUM(X27:X43))</f>
        <v>265</v>
      </c>
      <c r="Y45" s="4">
        <f t="shared" ref="Y45:AN45" ca="1" si="17">IF($X34="Onca Suit",SUM(Y27:Y43)-SUM(Y35,Y40,Y41),SUM(Y27:Y43))</f>
        <v>139</v>
      </c>
      <c r="Z45" s="4">
        <f t="shared" ca="1" si="17"/>
        <v>184</v>
      </c>
      <c r="AA45" s="4">
        <f t="shared" ca="1" si="17"/>
        <v>83</v>
      </c>
      <c r="AB45" s="4">
        <f t="shared" ca="1" si="17"/>
        <v>126</v>
      </c>
      <c r="AC45" s="4">
        <f t="shared" ca="1" si="17"/>
        <v>127</v>
      </c>
      <c r="AD45" s="4">
        <f t="shared" ca="1" si="17"/>
        <v>246</v>
      </c>
      <c r="AE45" s="8">
        <f t="shared" ca="1" si="17"/>
        <v>0</v>
      </c>
      <c r="AF45" s="8">
        <f t="shared" ca="1" si="17"/>
        <v>0.04</v>
      </c>
      <c r="AG45" s="8">
        <f t="shared" ca="1" si="17"/>
        <v>0.06</v>
      </c>
      <c r="AH45" s="8">
        <f t="shared" ca="1" si="17"/>
        <v>0.02</v>
      </c>
      <c r="AI45" s="8">
        <f t="shared" ca="1" si="17"/>
        <v>0</v>
      </c>
      <c r="AJ45" s="8">
        <f ca="1">IF($X34="Onca Suit",SUM(AJ27:AJ43)-SUM(AJ35,AJ40,AJ41),SUM(AJ27:AJ43))</f>
        <v>0</v>
      </c>
      <c r="AK45" s="4">
        <f t="shared" ca="1" si="17"/>
        <v>0</v>
      </c>
      <c r="AL45" s="8">
        <f ca="1">IF($X34="Onca Suit",SUM(AL27:AL43)-SUM(AL35,AL40,AL41),SUM(AL27:AL43))</f>
        <v>0</v>
      </c>
      <c r="AM45" s="4">
        <f t="shared" ca="1" si="17"/>
        <v>0</v>
      </c>
      <c r="AN45" s="4">
        <f t="shared" ca="1" si="17"/>
        <v>72</v>
      </c>
    </row>
    <row r="46" spans="1:40" x14ac:dyDescent="0.2">
      <c r="A46" t="s">
        <v>1336</v>
      </c>
      <c r="B46" s="13">
        <f ca="1">Data!H154</f>
        <v>1393.5319710564402</v>
      </c>
      <c r="V46" t="s">
        <v>1336</v>
      </c>
      <c r="W46" s="13">
        <f ca="1">Data!I154</f>
        <v>1393.5319710564402</v>
      </c>
    </row>
    <row r="47" spans="1:40" x14ac:dyDescent="0.2">
      <c r="A47" t="s">
        <v>1337</v>
      </c>
      <c r="B47" s="13">
        <f ca="1">Data!H163</f>
        <v>2043.8899173436619</v>
      </c>
      <c r="V47" t="s">
        <v>1337</v>
      </c>
      <c r="W47" s="13">
        <f ca="1">Data!I163</f>
        <v>2043.8899173436619</v>
      </c>
    </row>
    <row r="48" spans="1:40" x14ac:dyDescent="0.2">
      <c r="B48" s="13"/>
      <c r="W48" s="13"/>
    </row>
    <row r="49" spans="1:23" x14ac:dyDescent="0.2">
      <c r="A49" s="1" t="s">
        <v>106</v>
      </c>
      <c r="B49" s="14">
        <f ca="1">Data!D195</f>
        <v>1905.3524592409435</v>
      </c>
      <c r="V49" s="1" t="s">
        <v>106</v>
      </c>
      <c r="W49" s="14">
        <f ca="1">Data!E195</f>
        <v>1913.9892151149354</v>
      </c>
    </row>
  </sheetData>
  <sheetProtection sheet="1" objects="1" scenarios="1"/>
  <phoneticPr fontId="6" type="noConversion"/>
  <conditionalFormatting sqref="U29:U43 U3:U19">
    <cfRule type="cellIs" dxfId="4" priority="1" stopIfTrue="1" operator="equal">
      <formula>"="</formula>
    </cfRule>
    <cfRule type="cellIs" dxfId="3" priority="2" stopIfTrue="1" operator="equal">
      <formula>"-"</formula>
    </cfRule>
  </conditionalFormatting>
  <dataValidations count="12">
    <dataValidation type="list" allowBlank="1" showErrorMessage="1" sqref="B29 W29 W5 B5" xr:uid="{00000000-0002-0000-0200-000000000000}">
      <formula1>AmmoList</formula1>
      <formula2>0</formula2>
    </dataValidation>
    <dataValidation type="list" allowBlank="1" showErrorMessage="1" sqref="B30 W30 W6 B6" xr:uid="{00000000-0002-0000-0200-000001000000}">
      <formula1>HeadList</formula1>
      <formula2>0</formula2>
    </dataValidation>
    <dataValidation type="list" allowBlank="1" showErrorMessage="1" sqref="B31 W31 W7 B7" xr:uid="{00000000-0002-0000-0200-000002000000}">
      <formula1>NeckList</formula1>
      <formula2>0</formula2>
    </dataValidation>
    <dataValidation type="list" allowBlank="1" showErrorMessage="1" sqref="B32:B33 W32:W33 W8:W9 B8:B9" xr:uid="{00000000-0002-0000-0200-000003000000}">
      <formula1>EarringList</formula1>
      <formula2>0</formula2>
    </dataValidation>
    <dataValidation type="list" allowBlank="1" showErrorMessage="1" sqref="B34 W34 W10 B10" xr:uid="{00000000-0002-0000-0200-000004000000}">
      <formula1>BodyList</formula1>
      <formula2>0</formula2>
    </dataValidation>
    <dataValidation type="list" allowBlank="1" showErrorMessage="1" sqref="B35 W35 W11 B11" xr:uid="{00000000-0002-0000-0200-000005000000}">
      <formula1>HandsList</formula1>
      <formula2>0</formula2>
    </dataValidation>
    <dataValidation type="list" allowBlank="1" showErrorMessage="1" sqref="B36:B37 W36:W37 W12:W13 B12:B13" xr:uid="{00000000-0002-0000-0200-000006000000}">
      <formula1>RingList</formula1>
      <formula2>0</formula2>
    </dataValidation>
    <dataValidation type="list" allowBlank="1" showErrorMessage="1" sqref="B38 W38 W14 B14" xr:uid="{00000000-0002-0000-0200-000007000000}">
      <formula1>BackList</formula1>
      <formula2>0</formula2>
    </dataValidation>
    <dataValidation type="list" allowBlank="1" showErrorMessage="1" sqref="B39 W39 W15 B15" xr:uid="{00000000-0002-0000-0200-000008000000}">
      <formula1>WaistList</formula1>
      <formula2>0</formula2>
    </dataValidation>
    <dataValidation type="list" allowBlank="1" showErrorMessage="1" sqref="B40 W40 W16 B16" xr:uid="{00000000-0002-0000-0200-000009000000}">
      <formula1>LegsList</formula1>
      <formula2>0</formula2>
    </dataValidation>
    <dataValidation type="list" allowBlank="1" showErrorMessage="1" sqref="W17 B41 W41 B17" xr:uid="{00000000-0002-0000-0200-00000A000000}">
      <formula1>FeetList</formula1>
      <formula2>0</formula2>
    </dataValidation>
    <dataValidation type="list" allowBlank="1" showErrorMessage="1" sqref="B28 W28" xr:uid="{00000000-0002-0000-0200-00000B000000}">
      <formula1>GripList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2"/>
  </sheetPr>
  <dimension ref="A1:AN49"/>
  <sheetViews>
    <sheetView workbookViewId="0">
      <selection activeCell="W20" sqref="W20"/>
    </sheetView>
  </sheetViews>
  <sheetFormatPr defaultRowHeight="12.75" x14ac:dyDescent="0.2"/>
  <cols>
    <col min="1" max="1" width="11.5703125" customWidth="1"/>
    <col min="2" max="2" width="21.42578125" customWidth="1"/>
    <col min="3" max="3" width="4.42578125" customWidth="1"/>
    <col min="4" max="10" width="4.28515625" customWidth="1"/>
    <col min="11" max="13" width="4.7109375" customWidth="1"/>
    <col min="14" max="15" width="6.7109375" customWidth="1"/>
    <col min="16" max="17" width="5.42578125" customWidth="1"/>
    <col min="18" max="18" width="6.42578125" customWidth="1"/>
    <col min="19" max="19" width="4.7109375" customWidth="1"/>
    <col min="20" max="20" width="4.42578125" customWidth="1"/>
    <col min="21" max="21" width="4.5703125" customWidth="1"/>
    <col min="22" max="22" width="11.5703125" customWidth="1"/>
    <col min="23" max="23" width="21.42578125" customWidth="1"/>
    <col min="24" max="24" width="4.5703125" customWidth="1"/>
    <col min="25" max="31" width="4.28515625" customWidth="1"/>
    <col min="32" max="34" width="4.7109375" customWidth="1"/>
    <col min="35" max="36" width="6.7109375" customWidth="1"/>
    <col min="37" max="38" width="5.42578125" customWidth="1"/>
    <col min="39" max="39" width="6.42578125" customWidth="1"/>
    <col min="40" max="40" width="5.140625" customWidth="1"/>
  </cols>
  <sheetData>
    <row r="1" spans="1:40" s="1" customFormat="1" x14ac:dyDescent="0.2">
      <c r="A1" s="1" t="s">
        <v>1321</v>
      </c>
      <c r="V1" s="1" t="s">
        <v>1324</v>
      </c>
    </row>
    <row r="2" spans="1:40" x14ac:dyDescent="0.2">
      <c r="A2" t="s">
        <v>70</v>
      </c>
      <c r="B2" t="s">
        <v>71</v>
      </c>
      <c r="C2" t="s">
        <v>72</v>
      </c>
      <c r="D2" t="s">
        <v>26</v>
      </c>
      <c r="E2" t="s">
        <v>27</v>
      </c>
      <c r="F2" t="s">
        <v>25</v>
      </c>
      <c r="G2" t="s">
        <v>23</v>
      </c>
      <c r="H2" t="s">
        <v>73</v>
      </c>
      <c r="I2" t="s">
        <v>74</v>
      </c>
      <c r="J2" t="s">
        <v>375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109</v>
      </c>
      <c r="Q2" t="s">
        <v>80</v>
      </c>
      <c r="R2" t="s">
        <v>81</v>
      </c>
      <c r="S2" t="s">
        <v>82</v>
      </c>
      <c r="V2" t="s">
        <v>70</v>
      </c>
      <c r="W2" t="s">
        <v>71</v>
      </c>
      <c r="X2" t="s">
        <v>72</v>
      </c>
      <c r="Y2" t="s">
        <v>26</v>
      </c>
      <c r="Z2" t="s">
        <v>27</v>
      </c>
      <c r="AA2" t="s">
        <v>25</v>
      </c>
      <c r="AB2" t="s">
        <v>23</v>
      </c>
      <c r="AC2" t="s">
        <v>73</v>
      </c>
      <c r="AD2" t="s">
        <v>74</v>
      </c>
      <c r="AE2" t="s">
        <v>375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109</v>
      </c>
      <c r="AL2" t="s">
        <v>80</v>
      </c>
      <c r="AM2" t="s">
        <v>81</v>
      </c>
      <c r="AN2" t="s">
        <v>82</v>
      </c>
    </row>
    <row r="3" spans="1:40" x14ac:dyDescent="0.2">
      <c r="A3" t="s">
        <v>83</v>
      </c>
      <c r="B3" s="22" t="str">
        <f>Gear!B3</f>
        <v>Shining One</v>
      </c>
      <c r="C3" s="4">
        <f t="shared" ref="C3:S17" ca="1" si="0">IF(ISBLANK($B3),0,VLOOKUP($B3,INDIRECT($A3),MATCH(C$2,StatHeader,0),0))</f>
        <v>250</v>
      </c>
      <c r="D3" s="4">
        <f t="shared" ca="1" si="0"/>
        <v>0</v>
      </c>
      <c r="E3" s="4">
        <f t="shared" ca="1" si="0"/>
        <v>20</v>
      </c>
      <c r="F3" s="4">
        <f t="shared" ca="1" si="0"/>
        <v>0</v>
      </c>
      <c r="G3" s="4">
        <f t="shared" ca="1" si="0"/>
        <v>0</v>
      </c>
      <c r="H3" s="4">
        <f t="shared" ca="1" si="0"/>
        <v>30</v>
      </c>
      <c r="I3" s="4">
        <f t="shared" ca="1" si="0"/>
        <v>40</v>
      </c>
      <c r="J3" s="8">
        <f t="shared" ca="1" si="0"/>
        <v>0</v>
      </c>
      <c r="K3" s="8">
        <f t="shared" ca="1" si="0"/>
        <v>0</v>
      </c>
      <c r="L3" s="8">
        <f t="shared" ca="1" si="0"/>
        <v>0</v>
      </c>
      <c r="M3" s="8">
        <f t="shared" ca="1" si="0"/>
        <v>0</v>
      </c>
      <c r="N3" s="8">
        <f t="shared" ca="1" si="0"/>
        <v>0</v>
      </c>
      <c r="O3" s="8">
        <f t="shared" ca="1" si="0"/>
        <v>0</v>
      </c>
      <c r="P3" s="4">
        <f t="shared" ca="1" si="0"/>
        <v>0</v>
      </c>
      <c r="Q3" s="8">
        <f t="shared" ca="1" si="0"/>
        <v>0</v>
      </c>
      <c r="R3" s="4">
        <f t="shared" ca="1" si="0"/>
        <v>0</v>
      </c>
      <c r="S3" s="4">
        <f t="shared" ca="1" si="0"/>
        <v>0</v>
      </c>
      <c r="U3" t="str">
        <f t="shared" ref="U3:U17" si="1">IF(W3=B3,"=","-")</f>
        <v>=</v>
      </c>
      <c r="V3" t="s">
        <v>83</v>
      </c>
      <c r="W3" s="22" t="str">
        <f>Gear!X3</f>
        <v>Shining One</v>
      </c>
      <c r="X3" s="4">
        <f t="shared" ref="X3:AN17" ca="1" si="2">IF(ISBLANK($W3),0,VLOOKUP($W3,INDIRECT($V3),MATCH(X$2,StatHeader,0),0))</f>
        <v>250</v>
      </c>
      <c r="Y3" s="4">
        <f t="shared" ca="1" si="2"/>
        <v>0</v>
      </c>
      <c r="Z3" s="4">
        <f t="shared" ca="1" si="2"/>
        <v>20</v>
      </c>
      <c r="AA3" s="4">
        <f t="shared" ca="1" si="2"/>
        <v>0</v>
      </c>
      <c r="AB3" s="4">
        <f t="shared" ca="1" si="2"/>
        <v>0</v>
      </c>
      <c r="AC3" s="4">
        <f t="shared" ca="1" si="2"/>
        <v>30</v>
      </c>
      <c r="AD3" s="4">
        <f t="shared" ca="1" si="2"/>
        <v>40</v>
      </c>
      <c r="AE3" s="8">
        <f t="shared" ca="1" si="2"/>
        <v>0</v>
      </c>
      <c r="AF3" s="8">
        <f t="shared" ca="1" si="2"/>
        <v>0</v>
      </c>
      <c r="AG3" s="8">
        <f t="shared" ca="1" si="2"/>
        <v>0</v>
      </c>
      <c r="AH3" s="8">
        <f t="shared" ca="1" si="2"/>
        <v>0</v>
      </c>
      <c r="AI3" s="8">
        <f t="shared" ca="1" si="2"/>
        <v>0</v>
      </c>
      <c r="AJ3" s="8">
        <f t="shared" ca="1" si="2"/>
        <v>0</v>
      </c>
      <c r="AK3" s="4">
        <f t="shared" ca="1" si="2"/>
        <v>0</v>
      </c>
      <c r="AL3" s="8">
        <f t="shared" ca="1" si="2"/>
        <v>0</v>
      </c>
      <c r="AM3" s="4">
        <f t="shared" ca="1" si="2"/>
        <v>0</v>
      </c>
      <c r="AN3" s="4">
        <f t="shared" ca="1" si="2"/>
        <v>0</v>
      </c>
    </row>
    <row r="4" spans="1:40" x14ac:dyDescent="0.2">
      <c r="A4" t="s">
        <v>84</v>
      </c>
      <c r="B4" s="23" t="str">
        <f>Gear!B4</f>
        <v>Bloodrain Strap</v>
      </c>
      <c r="C4" s="4">
        <f t="shared" ca="1" si="0"/>
        <v>0</v>
      </c>
      <c r="D4" s="4">
        <f t="shared" ca="1" si="0"/>
        <v>0</v>
      </c>
      <c r="E4" s="4">
        <f t="shared" ca="1" si="0"/>
        <v>0</v>
      </c>
      <c r="F4" s="4">
        <f t="shared" ca="1" si="0"/>
        <v>0</v>
      </c>
      <c r="G4" s="4">
        <f t="shared" ca="1" si="0"/>
        <v>0</v>
      </c>
      <c r="H4" s="4">
        <f t="shared" ca="1" si="0"/>
        <v>0</v>
      </c>
      <c r="I4" s="4">
        <f t="shared" ca="1" si="0"/>
        <v>6</v>
      </c>
      <c r="J4" s="8">
        <f t="shared" ca="1" si="0"/>
        <v>0</v>
      </c>
      <c r="K4" s="8">
        <f t="shared" ca="1" si="0"/>
        <v>0</v>
      </c>
      <c r="L4" s="8">
        <f t="shared" ca="1" si="0"/>
        <v>0</v>
      </c>
      <c r="M4" s="8">
        <f t="shared" ca="1" si="0"/>
        <v>0</v>
      </c>
      <c r="N4" s="8">
        <f t="shared" ca="1" si="0"/>
        <v>0</v>
      </c>
      <c r="O4" s="8">
        <f t="shared" ca="1" si="0"/>
        <v>0</v>
      </c>
      <c r="P4" s="4">
        <f t="shared" ca="1" si="0"/>
        <v>0</v>
      </c>
      <c r="Q4" s="8">
        <f t="shared" ca="1" si="0"/>
        <v>0</v>
      </c>
      <c r="R4" s="4">
        <f t="shared" ca="1" si="0"/>
        <v>0</v>
      </c>
      <c r="S4" s="4">
        <f t="shared" ca="1" si="0"/>
        <v>6</v>
      </c>
      <c r="U4" t="str">
        <f t="shared" si="1"/>
        <v>=</v>
      </c>
      <c r="V4" t="s">
        <v>84</v>
      </c>
      <c r="W4" s="23" t="str">
        <f>Gear!X4</f>
        <v>Bloodrain Strap</v>
      </c>
      <c r="X4" s="4">
        <f t="shared" ca="1" si="2"/>
        <v>0</v>
      </c>
      <c r="Y4" s="4">
        <f t="shared" ca="1" si="2"/>
        <v>0</v>
      </c>
      <c r="Z4" s="4">
        <f t="shared" ca="1" si="2"/>
        <v>0</v>
      </c>
      <c r="AA4" s="4">
        <f t="shared" ca="1" si="2"/>
        <v>0</v>
      </c>
      <c r="AB4" s="4">
        <f t="shared" ca="1" si="2"/>
        <v>0</v>
      </c>
      <c r="AC4" s="4">
        <f t="shared" ca="1" si="2"/>
        <v>0</v>
      </c>
      <c r="AD4" s="4">
        <f t="shared" ca="1" si="2"/>
        <v>6</v>
      </c>
      <c r="AE4" s="8">
        <f t="shared" ca="1" si="2"/>
        <v>0</v>
      </c>
      <c r="AF4" s="8">
        <f t="shared" ca="1" si="2"/>
        <v>0</v>
      </c>
      <c r="AG4" s="8">
        <f t="shared" ca="1" si="2"/>
        <v>0</v>
      </c>
      <c r="AH4" s="8">
        <f t="shared" ca="1" si="2"/>
        <v>0</v>
      </c>
      <c r="AI4" s="8">
        <f t="shared" ca="1" si="2"/>
        <v>0</v>
      </c>
      <c r="AJ4" s="8">
        <f t="shared" ca="1" si="2"/>
        <v>0</v>
      </c>
      <c r="AK4" s="4">
        <f t="shared" ca="1" si="2"/>
        <v>0</v>
      </c>
      <c r="AL4" s="8">
        <f t="shared" ca="1" si="2"/>
        <v>0</v>
      </c>
      <c r="AM4" s="4">
        <f t="shared" ca="1" si="2"/>
        <v>0</v>
      </c>
      <c r="AN4" s="4">
        <f t="shared" ca="1" si="2"/>
        <v>6</v>
      </c>
    </row>
    <row r="5" spans="1:40" x14ac:dyDescent="0.2">
      <c r="A5" t="s">
        <v>86</v>
      </c>
      <c r="B5" s="16" t="s">
        <v>527</v>
      </c>
      <c r="C5" s="4">
        <f t="shared" ca="1" si="0"/>
        <v>0</v>
      </c>
      <c r="D5" s="4">
        <f t="shared" ca="1" si="0"/>
        <v>0</v>
      </c>
      <c r="E5" s="4">
        <f t="shared" ca="1" si="0"/>
        <v>0</v>
      </c>
      <c r="F5" s="4">
        <f t="shared" ca="1" si="0"/>
        <v>0</v>
      </c>
      <c r="G5" s="4">
        <f t="shared" ca="1" si="0"/>
        <v>0</v>
      </c>
      <c r="H5" s="4">
        <f t="shared" ca="1" si="0"/>
        <v>10</v>
      </c>
      <c r="I5" s="4">
        <f t="shared" ca="1" si="0"/>
        <v>5</v>
      </c>
      <c r="J5" s="8">
        <f t="shared" ca="1" si="0"/>
        <v>0</v>
      </c>
      <c r="K5" s="8">
        <f t="shared" ca="1" si="0"/>
        <v>0</v>
      </c>
      <c r="L5" s="8">
        <f t="shared" ca="1" si="0"/>
        <v>0</v>
      </c>
      <c r="M5" s="8">
        <f t="shared" ca="1" si="0"/>
        <v>0</v>
      </c>
      <c r="N5" s="8">
        <f t="shared" ca="1" si="0"/>
        <v>0</v>
      </c>
      <c r="O5" s="8">
        <f t="shared" ca="1" si="0"/>
        <v>0</v>
      </c>
      <c r="P5" s="4">
        <f t="shared" ca="1" si="0"/>
        <v>0</v>
      </c>
      <c r="Q5" s="8">
        <f t="shared" ca="1" si="0"/>
        <v>0</v>
      </c>
      <c r="R5" s="4">
        <f t="shared" ca="1" si="0"/>
        <v>0</v>
      </c>
      <c r="S5" s="4">
        <f t="shared" ca="1" si="0"/>
        <v>3</v>
      </c>
      <c r="U5" t="str">
        <f t="shared" si="1"/>
        <v>=</v>
      </c>
      <c r="V5" t="s">
        <v>86</v>
      </c>
      <c r="W5" s="16" t="s">
        <v>527</v>
      </c>
      <c r="X5" s="4">
        <f t="shared" ca="1" si="2"/>
        <v>0</v>
      </c>
      <c r="Y5" s="4">
        <f t="shared" ca="1" si="2"/>
        <v>0</v>
      </c>
      <c r="Z5" s="4">
        <f t="shared" ca="1" si="2"/>
        <v>0</v>
      </c>
      <c r="AA5" s="4">
        <f t="shared" ca="1" si="2"/>
        <v>0</v>
      </c>
      <c r="AB5" s="4">
        <f t="shared" ca="1" si="2"/>
        <v>0</v>
      </c>
      <c r="AC5" s="4">
        <f t="shared" ca="1" si="2"/>
        <v>10</v>
      </c>
      <c r="AD5" s="4">
        <f t="shared" ca="1" si="2"/>
        <v>5</v>
      </c>
      <c r="AE5" s="8">
        <f t="shared" ca="1" si="2"/>
        <v>0</v>
      </c>
      <c r="AF5" s="8">
        <f t="shared" ca="1" si="2"/>
        <v>0</v>
      </c>
      <c r="AG5" s="8">
        <f t="shared" ca="1" si="2"/>
        <v>0</v>
      </c>
      <c r="AH5" s="8">
        <f t="shared" ca="1" si="2"/>
        <v>0</v>
      </c>
      <c r="AI5" s="8">
        <f t="shared" ca="1" si="2"/>
        <v>0</v>
      </c>
      <c r="AJ5" s="8">
        <f t="shared" ca="1" si="2"/>
        <v>0</v>
      </c>
      <c r="AK5" s="4">
        <f t="shared" ca="1" si="2"/>
        <v>0</v>
      </c>
      <c r="AL5" s="8">
        <f t="shared" ca="1" si="2"/>
        <v>0</v>
      </c>
      <c r="AM5" s="4">
        <f t="shared" ca="1" si="2"/>
        <v>0</v>
      </c>
      <c r="AN5" s="4">
        <f t="shared" ca="1" si="2"/>
        <v>3</v>
      </c>
    </row>
    <row r="6" spans="1:40" x14ac:dyDescent="0.2">
      <c r="A6" t="s">
        <v>88</v>
      </c>
      <c r="B6" s="16" t="s">
        <v>1380</v>
      </c>
      <c r="C6" s="4">
        <f t="shared" ca="1" si="0"/>
        <v>0</v>
      </c>
      <c r="D6" s="4">
        <f t="shared" ca="1" si="0"/>
        <v>32</v>
      </c>
      <c r="E6" s="4">
        <f t="shared" ca="1" si="0"/>
        <v>28</v>
      </c>
      <c r="F6" s="4">
        <f t="shared" ca="1" si="0"/>
        <v>16</v>
      </c>
      <c r="G6" s="4">
        <f t="shared" ca="1" si="0"/>
        <v>24</v>
      </c>
      <c r="H6" s="4">
        <f t="shared" ca="1" si="0"/>
        <v>0</v>
      </c>
      <c r="I6" s="4">
        <f t="shared" ca="1" si="0"/>
        <v>38</v>
      </c>
      <c r="J6" s="8">
        <f t="shared" ca="1" si="0"/>
        <v>0</v>
      </c>
      <c r="K6" s="8">
        <f t="shared" ca="1" si="0"/>
        <v>0</v>
      </c>
      <c r="L6" s="8">
        <f t="shared" ca="1" si="0"/>
        <v>0.04</v>
      </c>
      <c r="M6" s="8">
        <f t="shared" ca="1" si="0"/>
        <v>0</v>
      </c>
      <c r="N6" s="8">
        <f t="shared" ca="1" si="0"/>
        <v>0</v>
      </c>
      <c r="O6" s="8">
        <f t="shared" ca="1" si="0"/>
        <v>0</v>
      </c>
      <c r="P6" s="4">
        <f t="shared" ca="1" si="0"/>
        <v>0</v>
      </c>
      <c r="Q6" s="8">
        <f t="shared" ca="1" si="0"/>
        <v>0</v>
      </c>
      <c r="R6" s="4">
        <f t="shared" ca="1" si="0"/>
        <v>0</v>
      </c>
      <c r="S6" s="4">
        <f t="shared" ca="1" si="0"/>
        <v>5</v>
      </c>
      <c r="U6" t="str">
        <f t="shared" si="1"/>
        <v>=</v>
      </c>
      <c r="V6" t="s">
        <v>88</v>
      </c>
      <c r="W6" s="16" t="s">
        <v>1380</v>
      </c>
      <c r="X6" s="4">
        <f t="shared" ca="1" si="2"/>
        <v>0</v>
      </c>
      <c r="Y6" s="4">
        <f t="shared" ca="1" si="2"/>
        <v>32</v>
      </c>
      <c r="Z6" s="4">
        <f t="shared" ca="1" si="2"/>
        <v>28</v>
      </c>
      <c r="AA6" s="4">
        <f t="shared" ca="1" si="2"/>
        <v>16</v>
      </c>
      <c r="AB6" s="4">
        <f t="shared" ca="1" si="2"/>
        <v>24</v>
      </c>
      <c r="AC6" s="4">
        <f t="shared" ca="1" si="2"/>
        <v>0</v>
      </c>
      <c r="AD6" s="4">
        <f t="shared" ca="1" si="2"/>
        <v>38</v>
      </c>
      <c r="AE6" s="8">
        <f t="shared" ca="1" si="2"/>
        <v>0</v>
      </c>
      <c r="AF6" s="8">
        <f t="shared" ca="1" si="2"/>
        <v>0</v>
      </c>
      <c r="AG6" s="8">
        <f t="shared" ca="1" si="2"/>
        <v>0.04</v>
      </c>
      <c r="AH6" s="8">
        <f t="shared" ca="1" si="2"/>
        <v>0</v>
      </c>
      <c r="AI6" s="8">
        <f t="shared" ca="1" si="2"/>
        <v>0</v>
      </c>
      <c r="AJ6" s="8">
        <f t="shared" ca="1" si="2"/>
        <v>0</v>
      </c>
      <c r="AK6" s="4">
        <f t="shared" ca="1" si="2"/>
        <v>0</v>
      </c>
      <c r="AL6" s="8">
        <f t="shared" ca="1" si="2"/>
        <v>0</v>
      </c>
      <c r="AM6" s="4">
        <f t="shared" ca="1" si="2"/>
        <v>0</v>
      </c>
      <c r="AN6" s="4">
        <f t="shared" ca="1" si="2"/>
        <v>5</v>
      </c>
    </row>
    <row r="7" spans="1:40" x14ac:dyDescent="0.2">
      <c r="A7" t="s">
        <v>89</v>
      </c>
      <c r="B7" s="16" t="s">
        <v>1035</v>
      </c>
      <c r="C7" s="4">
        <f t="shared" ca="1" si="0"/>
        <v>15</v>
      </c>
      <c r="D7" s="4">
        <f t="shared" ca="1" si="0"/>
        <v>0</v>
      </c>
      <c r="E7" s="4">
        <f t="shared" ca="1" si="0"/>
        <v>0</v>
      </c>
      <c r="F7" s="4">
        <f t="shared" ca="1" si="0"/>
        <v>0</v>
      </c>
      <c r="G7" s="4">
        <f t="shared" ca="1" si="0"/>
        <v>0</v>
      </c>
      <c r="H7" s="4">
        <f t="shared" ca="1" si="0"/>
        <v>0</v>
      </c>
      <c r="I7" s="4">
        <f t="shared" ca="1" si="0"/>
        <v>0</v>
      </c>
      <c r="J7" s="8">
        <f t="shared" ca="1" si="0"/>
        <v>0</v>
      </c>
      <c r="K7" s="8">
        <f t="shared" ca="1" si="0"/>
        <v>0</v>
      </c>
      <c r="L7" s="8">
        <f t="shared" ca="1" si="0"/>
        <v>0</v>
      </c>
      <c r="M7" s="8">
        <f t="shared" ca="1" si="0"/>
        <v>0</v>
      </c>
      <c r="N7" s="8">
        <f t="shared" ca="1" si="0"/>
        <v>0</v>
      </c>
      <c r="O7" s="8">
        <f t="shared" ca="1" si="0"/>
        <v>0</v>
      </c>
      <c r="P7" s="4">
        <f t="shared" ca="1" si="0"/>
        <v>0</v>
      </c>
      <c r="Q7" s="8">
        <f t="shared" ca="1" si="0"/>
        <v>0</v>
      </c>
      <c r="R7" s="4">
        <f t="shared" ca="1" si="0"/>
        <v>0</v>
      </c>
      <c r="S7" s="4">
        <f t="shared" ca="1" si="0"/>
        <v>4</v>
      </c>
      <c r="U7" t="str">
        <f t="shared" si="1"/>
        <v>=</v>
      </c>
      <c r="V7" t="s">
        <v>89</v>
      </c>
      <c r="W7" s="16" t="s">
        <v>1035</v>
      </c>
      <c r="X7" s="4">
        <f t="shared" ca="1" si="2"/>
        <v>15</v>
      </c>
      <c r="Y7" s="4">
        <f t="shared" ca="1" si="2"/>
        <v>0</v>
      </c>
      <c r="Z7" s="4">
        <f t="shared" ca="1" si="2"/>
        <v>0</v>
      </c>
      <c r="AA7" s="4">
        <f t="shared" ca="1" si="2"/>
        <v>0</v>
      </c>
      <c r="AB7" s="4">
        <f t="shared" ca="1" si="2"/>
        <v>0</v>
      </c>
      <c r="AC7" s="4">
        <f t="shared" ca="1" si="2"/>
        <v>0</v>
      </c>
      <c r="AD7" s="4">
        <f t="shared" ca="1" si="2"/>
        <v>0</v>
      </c>
      <c r="AE7" s="8">
        <f t="shared" ca="1" si="2"/>
        <v>0</v>
      </c>
      <c r="AF7" s="8">
        <f t="shared" ca="1" si="2"/>
        <v>0</v>
      </c>
      <c r="AG7" s="8">
        <f t="shared" ca="1" si="2"/>
        <v>0</v>
      </c>
      <c r="AH7" s="8">
        <f t="shared" ca="1" si="2"/>
        <v>0</v>
      </c>
      <c r="AI7" s="8">
        <f t="shared" ca="1" si="2"/>
        <v>0</v>
      </c>
      <c r="AJ7" s="8">
        <f t="shared" ca="1" si="2"/>
        <v>0</v>
      </c>
      <c r="AK7" s="4">
        <f t="shared" ca="1" si="2"/>
        <v>0</v>
      </c>
      <c r="AL7" s="8">
        <f t="shared" ca="1" si="2"/>
        <v>0</v>
      </c>
      <c r="AM7" s="4">
        <f t="shared" ca="1" si="2"/>
        <v>0</v>
      </c>
      <c r="AN7" s="4">
        <f t="shared" ca="1" si="2"/>
        <v>4</v>
      </c>
    </row>
    <row r="8" spans="1:40" x14ac:dyDescent="0.2">
      <c r="A8" t="s">
        <v>90</v>
      </c>
      <c r="B8" s="16" t="s">
        <v>1145</v>
      </c>
      <c r="C8" s="4">
        <f t="shared" ca="1" si="0"/>
        <v>0</v>
      </c>
      <c r="D8" s="4">
        <f t="shared" ca="1" si="0"/>
        <v>0</v>
      </c>
      <c r="E8" s="4">
        <f t="shared" ca="1" si="0"/>
        <v>0</v>
      </c>
      <c r="F8" s="4">
        <f t="shared" ca="1" si="0"/>
        <v>0</v>
      </c>
      <c r="G8" s="4">
        <f t="shared" ca="1" si="0"/>
        <v>0</v>
      </c>
      <c r="H8" s="4">
        <f t="shared" ca="1" si="0"/>
        <v>0</v>
      </c>
      <c r="I8" s="4">
        <f t="shared" ca="1" si="0"/>
        <v>10</v>
      </c>
      <c r="J8" s="8">
        <f t="shared" ca="1" si="0"/>
        <v>0</v>
      </c>
      <c r="K8" s="8">
        <f t="shared" ca="1" si="0"/>
        <v>0</v>
      </c>
      <c r="L8" s="8">
        <f t="shared" ca="1" si="0"/>
        <v>0</v>
      </c>
      <c r="M8" s="8">
        <f t="shared" ca="1" si="0"/>
        <v>0</v>
      </c>
      <c r="N8" s="8">
        <f t="shared" ca="1" si="0"/>
        <v>0</v>
      </c>
      <c r="O8" s="8">
        <f t="shared" ca="1" si="0"/>
        <v>0</v>
      </c>
      <c r="P8" s="4">
        <f t="shared" ca="1" si="0"/>
        <v>0</v>
      </c>
      <c r="Q8" s="8">
        <f t="shared" ca="1" si="0"/>
        <v>0</v>
      </c>
      <c r="R8" s="4">
        <f t="shared" ca="1" si="0"/>
        <v>0</v>
      </c>
      <c r="S8" s="4">
        <f t="shared" ca="1" si="0"/>
        <v>3</v>
      </c>
      <c r="U8" t="str">
        <f t="shared" si="1"/>
        <v>=</v>
      </c>
      <c r="V8" t="s">
        <v>90</v>
      </c>
      <c r="W8" s="16" t="s">
        <v>1145</v>
      </c>
      <c r="X8" s="4">
        <f t="shared" ca="1" si="2"/>
        <v>0</v>
      </c>
      <c r="Y8" s="4">
        <f t="shared" ca="1" si="2"/>
        <v>0</v>
      </c>
      <c r="Z8" s="4">
        <f t="shared" ca="1" si="2"/>
        <v>0</v>
      </c>
      <c r="AA8" s="4">
        <f t="shared" ca="1" si="2"/>
        <v>0</v>
      </c>
      <c r="AB8" s="4">
        <f t="shared" ca="1" si="2"/>
        <v>0</v>
      </c>
      <c r="AC8" s="4">
        <f t="shared" ca="1" si="2"/>
        <v>0</v>
      </c>
      <c r="AD8" s="4">
        <f t="shared" ca="1" si="2"/>
        <v>10</v>
      </c>
      <c r="AE8" s="8">
        <f t="shared" ca="1" si="2"/>
        <v>0</v>
      </c>
      <c r="AF8" s="8">
        <f t="shared" ca="1" si="2"/>
        <v>0</v>
      </c>
      <c r="AG8" s="8">
        <f t="shared" ca="1" si="2"/>
        <v>0</v>
      </c>
      <c r="AH8" s="8">
        <f t="shared" ca="1" si="2"/>
        <v>0</v>
      </c>
      <c r="AI8" s="8">
        <f t="shared" ca="1" si="2"/>
        <v>0</v>
      </c>
      <c r="AJ8" s="8">
        <f t="shared" ca="1" si="2"/>
        <v>0</v>
      </c>
      <c r="AK8" s="4">
        <f t="shared" ca="1" si="2"/>
        <v>0</v>
      </c>
      <c r="AL8" s="8">
        <f t="shared" ca="1" si="2"/>
        <v>0</v>
      </c>
      <c r="AM8" s="4">
        <f t="shared" ca="1" si="2"/>
        <v>0</v>
      </c>
      <c r="AN8" s="4">
        <f t="shared" ca="1" si="2"/>
        <v>3</v>
      </c>
    </row>
    <row r="9" spans="1:40" x14ac:dyDescent="0.2">
      <c r="A9" t="s">
        <v>90</v>
      </c>
      <c r="B9" s="16" t="s">
        <v>1143</v>
      </c>
      <c r="C9" s="4">
        <f t="shared" ca="1" si="0"/>
        <v>0</v>
      </c>
      <c r="D9" s="4">
        <f t="shared" ca="1" si="0"/>
        <v>0</v>
      </c>
      <c r="E9" s="4">
        <f t="shared" ca="1" si="0"/>
        <v>0</v>
      </c>
      <c r="F9" s="4">
        <f t="shared" ca="1" si="0"/>
        <v>0</v>
      </c>
      <c r="G9" s="4">
        <f t="shared" ca="1" si="0"/>
        <v>0</v>
      </c>
      <c r="H9" s="4">
        <f t="shared" ca="1" si="0"/>
        <v>0</v>
      </c>
      <c r="I9" s="4">
        <f t="shared" ca="1" si="0"/>
        <v>6</v>
      </c>
      <c r="J9" s="8">
        <f t="shared" ca="1" si="0"/>
        <v>0</v>
      </c>
      <c r="K9" s="8">
        <f t="shared" ca="1" si="0"/>
        <v>0.03</v>
      </c>
      <c r="L9" s="8">
        <f t="shared" ca="1" si="0"/>
        <v>0</v>
      </c>
      <c r="M9" s="8">
        <f t="shared" ca="1" si="0"/>
        <v>0</v>
      </c>
      <c r="N9" s="8">
        <f t="shared" ca="1" si="0"/>
        <v>0</v>
      </c>
      <c r="O9" s="8">
        <f t="shared" ca="1" si="0"/>
        <v>0</v>
      </c>
      <c r="P9" s="4">
        <f t="shared" ca="1" si="0"/>
        <v>0</v>
      </c>
      <c r="Q9" s="8">
        <f t="shared" ca="1" si="0"/>
        <v>0</v>
      </c>
      <c r="R9" s="4">
        <f t="shared" ca="1" si="0"/>
        <v>0</v>
      </c>
      <c r="S9" s="4">
        <f t="shared" ca="1" si="0"/>
        <v>3</v>
      </c>
      <c r="U9" t="str">
        <f t="shared" si="1"/>
        <v>=</v>
      </c>
      <c r="V9" t="s">
        <v>90</v>
      </c>
      <c r="W9" s="16" t="s">
        <v>1143</v>
      </c>
      <c r="X9" s="4">
        <f t="shared" ca="1" si="2"/>
        <v>0</v>
      </c>
      <c r="Y9" s="4">
        <f t="shared" ca="1" si="2"/>
        <v>0</v>
      </c>
      <c r="Z9" s="4">
        <f t="shared" ca="1" si="2"/>
        <v>0</v>
      </c>
      <c r="AA9" s="4">
        <f t="shared" ca="1" si="2"/>
        <v>0</v>
      </c>
      <c r="AB9" s="4">
        <f t="shared" ca="1" si="2"/>
        <v>0</v>
      </c>
      <c r="AC9" s="4">
        <f t="shared" ca="1" si="2"/>
        <v>0</v>
      </c>
      <c r="AD9" s="4">
        <f t="shared" ca="1" si="2"/>
        <v>6</v>
      </c>
      <c r="AE9" s="8">
        <f t="shared" ca="1" si="2"/>
        <v>0</v>
      </c>
      <c r="AF9" s="8">
        <f t="shared" ca="1" si="2"/>
        <v>0.03</v>
      </c>
      <c r="AG9" s="8">
        <f t="shared" ca="1" si="2"/>
        <v>0</v>
      </c>
      <c r="AH9" s="8">
        <f t="shared" ca="1" si="2"/>
        <v>0</v>
      </c>
      <c r="AI9" s="8">
        <f t="shared" ca="1" si="2"/>
        <v>0</v>
      </c>
      <c r="AJ9" s="8">
        <f t="shared" ca="1" si="2"/>
        <v>0</v>
      </c>
      <c r="AK9" s="4">
        <f t="shared" ca="1" si="2"/>
        <v>0</v>
      </c>
      <c r="AL9" s="8">
        <f t="shared" ca="1" si="2"/>
        <v>0</v>
      </c>
      <c r="AM9" s="4">
        <f t="shared" ca="1" si="2"/>
        <v>0</v>
      </c>
      <c r="AN9" s="4">
        <f t="shared" ca="1" si="2"/>
        <v>3</v>
      </c>
    </row>
    <row r="10" spans="1:40" x14ac:dyDescent="0.2">
      <c r="A10" t="s">
        <v>91</v>
      </c>
      <c r="B10" s="16" t="s">
        <v>851</v>
      </c>
      <c r="C10" s="4">
        <f t="shared" ca="1" si="0"/>
        <v>0</v>
      </c>
      <c r="D10" s="4">
        <f t="shared" ca="1" si="0"/>
        <v>32</v>
      </c>
      <c r="E10" s="4">
        <f t="shared" ca="1" si="0"/>
        <v>28</v>
      </c>
      <c r="F10" s="4">
        <f t="shared" ca="1" si="0"/>
        <v>19</v>
      </c>
      <c r="G10" s="4">
        <f t="shared" ca="1" si="0"/>
        <v>28</v>
      </c>
      <c r="H10" s="4">
        <f t="shared" ca="1" si="0"/>
        <v>23</v>
      </c>
      <c r="I10" s="4">
        <f t="shared" ca="1" si="0"/>
        <v>23</v>
      </c>
      <c r="J10" s="8">
        <f t="shared" ca="1" si="0"/>
        <v>0</v>
      </c>
      <c r="K10" s="8">
        <f t="shared" ca="1" si="0"/>
        <v>0</v>
      </c>
      <c r="L10" s="8">
        <f t="shared" ca="1" si="0"/>
        <v>0</v>
      </c>
      <c r="M10" s="8">
        <f t="shared" ca="1" si="0"/>
        <v>0</v>
      </c>
      <c r="N10" s="8">
        <f t="shared" ca="1" si="0"/>
        <v>0</v>
      </c>
      <c r="O10" s="8">
        <f t="shared" ca="1" si="0"/>
        <v>0</v>
      </c>
      <c r="P10" s="4">
        <f t="shared" ca="1" si="0"/>
        <v>0</v>
      </c>
      <c r="Q10" s="8">
        <f t="shared" ca="1" si="0"/>
        <v>0</v>
      </c>
      <c r="R10" s="4">
        <f t="shared" ca="1" si="0"/>
        <v>0</v>
      </c>
      <c r="S10" s="4">
        <f t="shared" ca="1" si="0"/>
        <v>12</v>
      </c>
      <c r="U10" t="str">
        <f t="shared" si="1"/>
        <v>=</v>
      </c>
      <c r="V10" t="s">
        <v>91</v>
      </c>
      <c r="W10" s="16" t="s">
        <v>851</v>
      </c>
      <c r="X10" s="4">
        <f t="shared" ca="1" si="2"/>
        <v>0</v>
      </c>
      <c r="Y10" s="4">
        <f t="shared" ca="1" si="2"/>
        <v>32</v>
      </c>
      <c r="Z10" s="4">
        <f t="shared" ca="1" si="2"/>
        <v>28</v>
      </c>
      <c r="AA10" s="4">
        <f t="shared" ca="1" si="2"/>
        <v>19</v>
      </c>
      <c r="AB10" s="4">
        <f t="shared" ca="1" si="2"/>
        <v>28</v>
      </c>
      <c r="AC10" s="4">
        <f t="shared" ca="1" si="2"/>
        <v>23</v>
      </c>
      <c r="AD10" s="4">
        <f t="shared" ca="1" si="2"/>
        <v>23</v>
      </c>
      <c r="AE10" s="8">
        <f t="shared" ca="1" si="2"/>
        <v>0</v>
      </c>
      <c r="AF10" s="8">
        <f t="shared" ca="1" si="2"/>
        <v>0</v>
      </c>
      <c r="AG10" s="8">
        <f t="shared" ca="1" si="2"/>
        <v>0</v>
      </c>
      <c r="AH10" s="8">
        <f t="shared" ca="1" si="2"/>
        <v>0</v>
      </c>
      <c r="AI10" s="8">
        <f t="shared" ca="1" si="2"/>
        <v>0</v>
      </c>
      <c r="AJ10" s="8">
        <f t="shared" ca="1" si="2"/>
        <v>0</v>
      </c>
      <c r="AK10" s="4">
        <f t="shared" ca="1" si="2"/>
        <v>0</v>
      </c>
      <c r="AL10" s="8">
        <f t="shared" ca="1" si="2"/>
        <v>0</v>
      </c>
      <c r="AM10" s="4">
        <f t="shared" ca="1" si="2"/>
        <v>0</v>
      </c>
      <c r="AN10" s="4">
        <f t="shared" ca="1" si="2"/>
        <v>12</v>
      </c>
    </row>
    <row r="11" spans="1:40" x14ac:dyDescent="0.2">
      <c r="A11" t="s">
        <v>92</v>
      </c>
      <c r="B11" s="16" t="s">
        <v>830</v>
      </c>
      <c r="C11" s="4">
        <f t="shared" ca="1" si="0"/>
        <v>0</v>
      </c>
      <c r="D11" s="4">
        <f t="shared" ca="1" si="0"/>
        <v>11</v>
      </c>
      <c r="E11" s="4">
        <f t="shared" ca="1" si="0"/>
        <v>44</v>
      </c>
      <c r="F11" s="4">
        <f t="shared" ca="1" si="0"/>
        <v>7</v>
      </c>
      <c r="G11" s="4">
        <f t="shared" ca="1" si="0"/>
        <v>32</v>
      </c>
      <c r="H11" s="4">
        <f t="shared" ca="1" si="0"/>
        <v>0</v>
      </c>
      <c r="I11" s="4">
        <f t="shared" ca="1" si="0"/>
        <v>42</v>
      </c>
      <c r="J11" s="8">
        <f t="shared" ca="1" si="0"/>
        <v>0</v>
      </c>
      <c r="K11" s="8">
        <f t="shared" ca="1" si="0"/>
        <v>0</v>
      </c>
      <c r="L11" s="8">
        <f t="shared" ca="1" si="0"/>
        <v>0</v>
      </c>
      <c r="M11" s="8">
        <f t="shared" ca="1" si="0"/>
        <v>0</v>
      </c>
      <c r="N11" s="8">
        <f t="shared" ca="1" si="0"/>
        <v>0</v>
      </c>
      <c r="O11" s="8">
        <f t="shared" ca="1" si="0"/>
        <v>0</v>
      </c>
      <c r="P11" s="4">
        <f t="shared" ca="1" si="0"/>
        <v>0</v>
      </c>
      <c r="Q11" s="8">
        <f t="shared" ca="1" si="0"/>
        <v>0</v>
      </c>
      <c r="R11" s="4">
        <f t="shared" ca="1" si="0"/>
        <v>0</v>
      </c>
      <c r="S11" s="4">
        <f t="shared" ca="1" si="0"/>
        <v>6</v>
      </c>
      <c r="U11" t="str">
        <f t="shared" si="1"/>
        <v>=</v>
      </c>
      <c r="V11" t="s">
        <v>92</v>
      </c>
      <c r="W11" s="16" t="s">
        <v>830</v>
      </c>
      <c r="X11" s="4">
        <f t="shared" ca="1" si="2"/>
        <v>0</v>
      </c>
      <c r="Y11" s="4">
        <f t="shared" ca="1" si="2"/>
        <v>11</v>
      </c>
      <c r="Z11" s="4">
        <f t="shared" ca="1" si="2"/>
        <v>44</v>
      </c>
      <c r="AA11" s="4">
        <f t="shared" ca="1" si="2"/>
        <v>7</v>
      </c>
      <c r="AB11" s="4">
        <f t="shared" ca="1" si="2"/>
        <v>32</v>
      </c>
      <c r="AC11" s="4">
        <f t="shared" ca="1" si="2"/>
        <v>0</v>
      </c>
      <c r="AD11" s="4">
        <f t="shared" ca="1" si="2"/>
        <v>42</v>
      </c>
      <c r="AE11" s="8">
        <f t="shared" ca="1" si="2"/>
        <v>0</v>
      </c>
      <c r="AF11" s="8">
        <f t="shared" ca="1" si="2"/>
        <v>0</v>
      </c>
      <c r="AG11" s="8">
        <f t="shared" ca="1" si="2"/>
        <v>0</v>
      </c>
      <c r="AH11" s="8">
        <f t="shared" ca="1" si="2"/>
        <v>0</v>
      </c>
      <c r="AI11" s="8">
        <f t="shared" ca="1" si="2"/>
        <v>0</v>
      </c>
      <c r="AJ11" s="8">
        <f t="shared" ca="1" si="2"/>
        <v>0</v>
      </c>
      <c r="AK11" s="4">
        <f t="shared" ca="1" si="2"/>
        <v>0</v>
      </c>
      <c r="AL11" s="8">
        <f t="shared" ca="1" si="2"/>
        <v>0</v>
      </c>
      <c r="AM11" s="4">
        <f t="shared" ca="1" si="2"/>
        <v>0</v>
      </c>
      <c r="AN11" s="4">
        <f t="shared" ca="1" si="2"/>
        <v>6</v>
      </c>
    </row>
    <row r="12" spans="1:40" x14ac:dyDescent="0.2">
      <c r="A12" t="s">
        <v>93</v>
      </c>
      <c r="B12" s="16" t="s">
        <v>1239</v>
      </c>
      <c r="C12" s="4">
        <f t="shared" ca="1" si="0"/>
        <v>0</v>
      </c>
      <c r="D12" s="4">
        <f t="shared" ca="1" si="0"/>
        <v>5</v>
      </c>
      <c r="E12" s="4">
        <f t="shared" ca="1" si="0"/>
        <v>5</v>
      </c>
      <c r="F12" s="4">
        <f t="shared" ca="1" si="0"/>
        <v>0</v>
      </c>
      <c r="G12" s="4">
        <f t="shared" ca="1" si="0"/>
        <v>0</v>
      </c>
      <c r="H12" s="4">
        <f t="shared" ca="1" si="0"/>
        <v>0</v>
      </c>
      <c r="I12" s="4">
        <f t="shared" ca="1" si="0"/>
        <v>0</v>
      </c>
      <c r="J12" s="8">
        <f t="shared" ca="1" si="0"/>
        <v>0</v>
      </c>
      <c r="K12" s="8">
        <f t="shared" ca="1" si="0"/>
        <v>0</v>
      </c>
      <c r="L12" s="8">
        <f t="shared" ca="1" si="0"/>
        <v>0</v>
      </c>
      <c r="M12" s="8">
        <f t="shared" ca="1" si="0"/>
        <v>0</v>
      </c>
      <c r="N12" s="8">
        <f t="shared" ca="1" si="0"/>
        <v>0</v>
      </c>
      <c r="O12" s="8">
        <f t="shared" ca="1" si="0"/>
        <v>0</v>
      </c>
      <c r="P12" s="4">
        <f t="shared" ca="1" si="0"/>
        <v>0</v>
      </c>
      <c r="Q12" s="8">
        <f t="shared" ca="1" si="0"/>
        <v>0</v>
      </c>
      <c r="R12" s="4">
        <f t="shared" ca="1" si="0"/>
        <v>0</v>
      </c>
      <c r="S12" s="4">
        <f t="shared" ca="1" si="0"/>
        <v>5</v>
      </c>
      <c r="U12" t="str">
        <f t="shared" si="1"/>
        <v>=</v>
      </c>
      <c r="V12" t="s">
        <v>93</v>
      </c>
      <c r="W12" s="16" t="s">
        <v>1239</v>
      </c>
      <c r="X12" s="4">
        <f t="shared" ca="1" si="2"/>
        <v>0</v>
      </c>
      <c r="Y12" s="4">
        <f t="shared" ca="1" si="2"/>
        <v>5</v>
      </c>
      <c r="Z12" s="4">
        <f t="shared" ca="1" si="2"/>
        <v>5</v>
      </c>
      <c r="AA12" s="4">
        <f t="shared" ca="1" si="2"/>
        <v>0</v>
      </c>
      <c r="AB12" s="4">
        <f t="shared" ca="1" si="2"/>
        <v>0</v>
      </c>
      <c r="AC12" s="4">
        <f t="shared" ca="1" si="2"/>
        <v>0</v>
      </c>
      <c r="AD12" s="4">
        <f t="shared" ca="1" si="2"/>
        <v>0</v>
      </c>
      <c r="AE12" s="8">
        <f t="shared" ca="1" si="2"/>
        <v>0</v>
      </c>
      <c r="AF12" s="8">
        <f t="shared" ca="1" si="2"/>
        <v>0</v>
      </c>
      <c r="AG12" s="8">
        <f t="shared" ca="1" si="2"/>
        <v>0</v>
      </c>
      <c r="AH12" s="8">
        <f t="shared" ca="1" si="2"/>
        <v>0</v>
      </c>
      <c r="AI12" s="8">
        <f t="shared" ca="1" si="2"/>
        <v>0</v>
      </c>
      <c r="AJ12" s="8">
        <f t="shared" ca="1" si="2"/>
        <v>0</v>
      </c>
      <c r="AK12" s="4">
        <f t="shared" ca="1" si="2"/>
        <v>0</v>
      </c>
      <c r="AL12" s="8">
        <f t="shared" ca="1" si="2"/>
        <v>0</v>
      </c>
      <c r="AM12" s="4">
        <f t="shared" ca="1" si="2"/>
        <v>0</v>
      </c>
      <c r="AN12" s="4">
        <f t="shared" ca="1" si="2"/>
        <v>5</v>
      </c>
    </row>
    <row r="13" spans="1:40" x14ac:dyDescent="0.2">
      <c r="A13" t="s">
        <v>93</v>
      </c>
      <c r="B13" s="16" t="s">
        <v>1238</v>
      </c>
      <c r="C13" s="4">
        <f t="shared" ca="1" si="0"/>
        <v>0</v>
      </c>
      <c r="D13" s="4">
        <f t="shared" ca="1" si="0"/>
        <v>3</v>
      </c>
      <c r="E13" s="4">
        <f t="shared" ca="1" si="0"/>
        <v>3</v>
      </c>
      <c r="F13" s="4">
        <f t="shared" ca="1" si="0"/>
        <v>3</v>
      </c>
      <c r="G13" s="4">
        <f t="shared" ca="1" si="0"/>
        <v>3</v>
      </c>
      <c r="H13" s="4">
        <f t="shared" ca="1" si="0"/>
        <v>0</v>
      </c>
      <c r="I13" s="4">
        <f t="shared" ca="1" si="0"/>
        <v>0</v>
      </c>
      <c r="J13" s="8">
        <f t="shared" ca="1" si="0"/>
        <v>0</v>
      </c>
      <c r="K13" s="8">
        <f t="shared" ca="1" si="0"/>
        <v>0.01</v>
      </c>
      <c r="L13" s="8">
        <f t="shared" ca="1" si="0"/>
        <v>0</v>
      </c>
      <c r="M13" s="8">
        <f t="shared" ca="1" si="0"/>
        <v>0</v>
      </c>
      <c r="N13" s="8">
        <f t="shared" ca="1" si="0"/>
        <v>0</v>
      </c>
      <c r="O13" s="8">
        <f t="shared" ca="1" si="0"/>
        <v>0</v>
      </c>
      <c r="P13" s="4">
        <f t="shared" ca="1" si="0"/>
        <v>0</v>
      </c>
      <c r="Q13" s="8">
        <f t="shared" ca="1" si="0"/>
        <v>0</v>
      </c>
      <c r="R13" s="4">
        <f t="shared" ca="1" si="0"/>
        <v>0</v>
      </c>
      <c r="S13" s="4">
        <f t="shared" ca="1" si="0"/>
        <v>5</v>
      </c>
      <c r="U13" t="str">
        <f t="shared" si="1"/>
        <v>=</v>
      </c>
      <c r="V13" t="s">
        <v>93</v>
      </c>
      <c r="W13" s="16" t="s">
        <v>1238</v>
      </c>
      <c r="X13" s="4">
        <f t="shared" ca="1" si="2"/>
        <v>0</v>
      </c>
      <c r="Y13" s="4">
        <f t="shared" ca="1" si="2"/>
        <v>3</v>
      </c>
      <c r="Z13" s="4">
        <f t="shared" ca="1" si="2"/>
        <v>3</v>
      </c>
      <c r="AA13" s="4">
        <f t="shared" ca="1" si="2"/>
        <v>3</v>
      </c>
      <c r="AB13" s="4">
        <f t="shared" ca="1" si="2"/>
        <v>3</v>
      </c>
      <c r="AC13" s="4">
        <f t="shared" ca="1" si="2"/>
        <v>0</v>
      </c>
      <c r="AD13" s="4">
        <f t="shared" ca="1" si="2"/>
        <v>0</v>
      </c>
      <c r="AE13" s="8">
        <f t="shared" ca="1" si="2"/>
        <v>0</v>
      </c>
      <c r="AF13" s="8">
        <f t="shared" ca="1" si="2"/>
        <v>0.01</v>
      </c>
      <c r="AG13" s="8">
        <f t="shared" ca="1" si="2"/>
        <v>0</v>
      </c>
      <c r="AH13" s="8">
        <f t="shared" ca="1" si="2"/>
        <v>0</v>
      </c>
      <c r="AI13" s="8">
        <f t="shared" ca="1" si="2"/>
        <v>0</v>
      </c>
      <c r="AJ13" s="8">
        <f t="shared" ca="1" si="2"/>
        <v>0</v>
      </c>
      <c r="AK13" s="4">
        <f t="shared" ca="1" si="2"/>
        <v>0</v>
      </c>
      <c r="AL13" s="8">
        <f t="shared" ca="1" si="2"/>
        <v>0</v>
      </c>
      <c r="AM13" s="4">
        <f t="shared" ca="1" si="2"/>
        <v>0</v>
      </c>
      <c r="AN13" s="4">
        <f t="shared" ca="1" si="2"/>
        <v>5</v>
      </c>
    </row>
    <row r="14" spans="1:40" x14ac:dyDescent="0.2">
      <c r="A14" t="s">
        <v>94</v>
      </c>
      <c r="B14" s="16" t="s">
        <v>1416</v>
      </c>
      <c r="C14" s="4">
        <f t="shared" ca="1" si="0"/>
        <v>0</v>
      </c>
      <c r="D14" s="4">
        <f t="shared" ca="1" si="0"/>
        <v>0</v>
      </c>
      <c r="E14" s="4">
        <f t="shared" ca="1" si="0"/>
        <v>30</v>
      </c>
      <c r="F14" s="4">
        <f t="shared" ca="1" si="0"/>
        <v>0</v>
      </c>
      <c r="G14" s="4">
        <f t="shared" ca="1" si="0"/>
        <v>0</v>
      </c>
      <c r="H14" s="4">
        <f t="shared" ca="1" si="0"/>
        <v>20</v>
      </c>
      <c r="I14" s="4">
        <f t="shared" ca="1" si="0"/>
        <v>20</v>
      </c>
      <c r="J14" s="8">
        <f t="shared" ca="1" si="0"/>
        <v>0</v>
      </c>
      <c r="K14" s="8">
        <f t="shared" ca="1" si="0"/>
        <v>0</v>
      </c>
      <c r="L14" s="8">
        <f t="shared" ca="1" si="0"/>
        <v>0</v>
      </c>
      <c r="M14" s="8">
        <f t="shared" ca="1" si="0"/>
        <v>0</v>
      </c>
      <c r="N14" s="8">
        <f t="shared" ca="1" si="0"/>
        <v>0</v>
      </c>
      <c r="O14" s="8">
        <f t="shared" ca="1" si="0"/>
        <v>0</v>
      </c>
      <c r="P14" s="4">
        <f t="shared" ca="1" si="0"/>
        <v>0</v>
      </c>
      <c r="Q14" s="8">
        <f t="shared" ca="1" si="0"/>
        <v>0</v>
      </c>
      <c r="R14" s="4">
        <f t="shared" ca="1" si="0"/>
        <v>0</v>
      </c>
      <c r="S14" s="4">
        <f t="shared" ca="1" si="0"/>
        <v>10</v>
      </c>
      <c r="U14" t="str">
        <f t="shared" si="1"/>
        <v>=</v>
      </c>
      <c r="V14" t="s">
        <v>94</v>
      </c>
      <c r="W14" s="16" t="s">
        <v>1416</v>
      </c>
      <c r="X14" s="4">
        <f t="shared" ca="1" si="2"/>
        <v>0</v>
      </c>
      <c r="Y14" s="4">
        <f t="shared" ca="1" si="2"/>
        <v>0</v>
      </c>
      <c r="Z14" s="4">
        <f t="shared" ca="1" si="2"/>
        <v>30</v>
      </c>
      <c r="AA14" s="4">
        <f t="shared" ca="1" si="2"/>
        <v>0</v>
      </c>
      <c r="AB14" s="4">
        <f t="shared" ca="1" si="2"/>
        <v>0</v>
      </c>
      <c r="AC14" s="4">
        <f t="shared" ca="1" si="2"/>
        <v>20</v>
      </c>
      <c r="AD14" s="4">
        <f t="shared" ca="1" si="2"/>
        <v>20</v>
      </c>
      <c r="AE14" s="8">
        <f t="shared" ca="1" si="2"/>
        <v>0</v>
      </c>
      <c r="AF14" s="8">
        <f t="shared" ca="1" si="2"/>
        <v>0</v>
      </c>
      <c r="AG14" s="8">
        <f t="shared" ca="1" si="2"/>
        <v>0</v>
      </c>
      <c r="AH14" s="8">
        <f t="shared" ca="1" si="2"/>
        <v>0</v>
      </c>
      <c r="AI14" s="8">
        <f t="shared" ca="1" si="2"/>
        <v>0</v>
      </c>
      <c r="AJ14" s="8">
        <f t="shared" ca="1" si="2"/>
        <v>0</v>
      </c>
      <c r="AK14" s="4">
        <f t="shared" ca="1" si="2"/>
        <v>0</v>
      </c>
      <c r="AL14" s="8">
        <f t="shared" ca="1" si="2"/>
        <v>0</v>
      </c>
      <c r="AM14" s="4">
        <f t="shared" ca="1" si="2"/>
        <v>0</v>
      </c>
      <c r="AN14" s="4">
        <f t="shared" ca="1" si="2"/>
        <v>10</v>
      </c>
    </row>
    <row r="15" spans="1:40" x14ac:dyDescent="0.2">
      <c r="A15" t="s">
        <v>95</v>
      </c>
      <c r="B15" s="16" t="s">
        <v>1077</v>
      </c>
      <c r="C15" s="4">
        <f t="shared" ca="1" si="0"/>
        <v>0</v>
      </c>
      <c r="D15" s="4">
        <f t="shared" ca="1" si="0"/>
        <v>0</v>
      </c>
      <c r="E15" s="4">
        <f t="shared" ca="1" si="0"/>
        <v>0</v>
      </c>
      <c r="F15" s="4">
        <f t="shared" ca="1" si="0"/>
        <v>0</v>
      </c>
      <c r="G15" s="4">
        <f t="shared" ca="1" si="0"/>
        <v>0</v>
      </c>
      <c r="H15" s="4">
        <f t="shared" ca="1" si="0"/>
        <v>0</v>
      </c>
      <c r="I15" s="4">
        <f t="shared" ca="1" si="0"/>
        <v>2</v>
      </c>
      <c r="J15" s="8">
        <f t="shared" ca="1" si="0"/>
        <v>0</v>
      </c>
      <c r="K15" s="8">
        <f t="shared" ca="1" si="0"/>
        <v>0</v>
      </c>
      <c r="L15" s="8">
        <f t="shared" ca="1" si="0"/>
        <v>0.02</v>
      </c>
      <c r="M15" s="8">
        <f t="shared" ca="1" si="0"/>
        <v>0.02</v>
      </c>
      <c r="N15" s="8">
        <f t="shared" ca="1" si="0"/>
        <v>0</v>
      </c>
      <c r="O15" s="8">
        <f t="shared" ca="1" si="0"/>
        <v>0</v>
      </c>
      <c r="P15" s="4">
        <f t="shared" ca="1" si="0"/>
        <v>0</v>
      </c>
      <c r="Q15" s="8">
        <f t="shared" ca="1" si="0"/>
        <v>0</v>
      </c>
      <c r="R15" s="4">
        <f t="shared" ca="1" si="0"/>
        <v>0</v>
      </c>
      <c r="S15" s="4">
        <f t="shared" ca="1" si="0"/>
        <v>0</v>
      </c>
      <c r="U15" t="str">
        <f t="shared" si="1"/>
        <v>=</v>
      </c>
      <c r="V15" t="s">
        <v>95</v>
      </c>
      <c r="W15" s="16" t="s">
        <v>1077</v>
      </c>
      <c r="X15" s="4">
        <f t="shared" ca="1" si="2"/>
        <v>0</v>
      </c>
      <c r="Y15" s="4">
        <f t="shared" ca="1" si="2"/>
        <v>0</v>
      </c>
      <c r="Z15" s="4">
        <f t="shared" ca="1" si="2"/>
        <v>0</v>
      </c>
      <c r="AA15" s="4">
        <f t="shared" ca="1" si="2"/>
        <v>0</v>
      </c>
      <c r="AB15" s="4">
        <f t="shared" ca="1" si="2"/>
        <v>0</v>
      </c>
      <c r="AC15" s="4">
        <f t="shared" ca="1" si="2"/>
        <v>0</v>
      </c>
      <c r="AD15" s="4">
        <f t="shared" ca="1" si="2"/>
        <v>2</v>
      </c>
      <c r="AE15" s="8">
        <f t="shared" ca="1" si="2"/>
        <v>0</v>
      </c>
      <c r="AF15" s="8">
        <f t="shared" ca="1" si="2"/>
        <v>0</v>
      </c>
      <c r="AG15" s="8">
        <f t="shared" ca="1" si="2"/>
        <v>0.02</v>
      </c>
      <c r="AH15" s="8">
        <f t="shared" ca="1" si="2"/>
        <v>0.02</v>
      </c>
      <c r="AI15" s="8">
        <f t="shared" ca="1" si="2"/>
        <v>0</v>
      </c>
      <c r="AJ15" s="8">
        <f t="shared" ca="1" si="2"/>
        <v>0</v>
      </c>
      <c r="AK15" s="4">
        <f t="shared" ca="1" si="2"/>
        <v>0</v>
      </c>
      <c r="AL15" s="8">
        <f t="shared" ca="1" si="2"/>
        <v>0</v>
      </c>
      <c r="AM15" s="4">
        <f t="shared" ca="1" si="2"/>
        <v>0</v>
      </c>
      <c r="AN15" s="4">
        <f t="shared" ca="1" si="2"/>
        <v>0</v>
      </c>
    </row>
    <row r="16" spans="1:40" x14ac:dyDescent="0.2">
      <c r="A16" t="s">
        <v>96</v>
      </c>
      <c r="B16" s="16" t="s">
        <v>1439</v>
      </c>
      <c r="C16" s="4">
        <f t="shared" ca="1" si="0"/>
        <v>0</v>
      </c>
      <c r="D16" s="4">
        <f t="shared" ca="1" si="0"/>
        <v>40</v>
      </c>
      <c r="E16" s="4">
        <f t="shared" ca="1" si="0"/>
        <v>7</v>
      </c>
      <c r="F16" s="4">
        <f t="shared" ca="1" si="0"/>
        <v>13</v>
      </c>
      <c r="G16" s="4">
        <f t="shared" ca="1" si="0"/>
        <v>19</v>
      </c>
      <c r="H16" s="4">
        <f t="shared" ca="1" si="0"/>
        <v>20</v>
      </c>
      <c r="I16" s="4">
        <f t="shared" ca="1" si="0"/>
        <v>30</v>
      </c>
      <c r="J16" s="8">
        <f t="shared" ca="1" si="0"/>
        <v>0</v>
      </c>
      <c r="K16" s="8">
        <f t="shared" ca="1" si="0"/>
        <v>0</v>
      </c>
      <c r="L16" s="8">
        <f t="shared" ca="1" si="0"/>
        <v>0</v>
      </c>
      <c r="M16" s="8">
        <f t="shared" ca="1" si="0"/>
        <v>0</v>
      </c>
      <c r="N16" s="8">
        <f t="shared" ca="1" si="0"/>
        <v>0</v>
      </c>
      <c r="O16" s="8">
        <f t="shared" ca="1" si="0"/>
        <v>0</v>
      </c>
      <c r="P16" s="4">
        <f t="shared" ca="1" si="0"/>
        <v>0</v>
      </c>
      <c r="Q16" s="8">
        <f t="shared" ca="1" si="0"/>
        <v>0</v>
      </c>
      <c r="R16" s="4">
        <f t="shared" ca="1" si="0"/>
        <v>0</v>
      </c>
      <c r="S16" s="4">
        <f t="shared" ca="1" si="0"/>
        <v>10</v>
      </c>
      <c r="U16" t="str">
        <f t="shared" si="1"/>
        <v>=</v>
      </c>
      <c r="V16" t="s">
        <v>96</v>
      </c>
      <c r="W16" s="16" t="s">
        <v>1439</v>
      </c>
      <c r="X16" s="4">
        <f t="shared" ca="1" si="2"/>
        <v>0</v>
      </c>
      <c r="Y16" s="4">
        <f t="shared" ca="1" si="2"/>
        <v>40</v>
      </c>
      <c r="Z16" s="4">
        <f t="shared" ca="1" si="2"/>
        <v>7</v>
      </c>
      <c r="AA16" s="4">
        <f t="shared" ca="1" si="2"/>
        <v>13</v>
      </c>
      <c r="AB16" s="4">
        <f t="shared" ca="1" si="2"/>
        <v>19</v>
      </c>
      <c r="AC16" s="4">
        <f t="shared" ca="1" si="2"/>
        <v>20</v>
      </c>
      <c r="AD16" s="4">
        <f t="shared" ca="1" si="2"/>
        <v>30</v>
      </c>
      <c r="AE16" s="8">
        <f t="shared" ca="1" si="2"/>
        <v>0</v>
      </c>
      <c r="AF16" s="8">
        <f t="shared" ca="1" si="2"/>
        <v>0</v>
      </c>
      <c r="AG16" s="8">
        <f t="shared" ca="1" si="2"/>
        <v>0</v>
      </c>
      <c r="AH16" s="8">
        <f t="shared" ca="1" si="2"/>
        <v>0</v>
      </c>
      <c r="AI16" s="8">
        <f t="shared" ca="1" si="2"/>
        <v>0</v>
      </c>
      <c r="AJ16" s="8">
        <f t="shared" ca="1" si="2"/>
        <v>0</v>
      </c>
      <c r="AK16" s="4">
        <f t="shared" ca="1" si="2"/>
        <v>0</v>
      </c>
      <c r="AL16" s="8">
        <f t="shared" ca="1" si="2"/>
        <v>0</v>
      </c>
      <c r="AM16" s="4">
        <f t="shared" ca="1" si="2"/>
        <v>0</v>
      </c>
      <c r="AN16" s="4">
        <f t="shared" ca="1" si="2"/>
        <v>10</v>
      </c>
    </row>
    <row r="17" spans="1:40" x14ac:dyDescent="0.2">
      <c r="A17" t="s">
        <v>97</v>
      </c>
      <c r="B17" s="16" t="s">
        <v>1003</v>
      </c>
      <c r="C17" s="4">
        <f t="shared" ca="1" si="0"/>
        <v>0</v>
      </c>
      <c r="D17" s="4">
        <f t="shared" ca="1" si="0"/>
        <v>17</v>
      </c>
      <c r="E17" s="4">
        <f t="shared" ca="1" si="0"/>
        <v>20</v>
      </c>
      <c r="F17" s="4">
        <f t="shared" ca="1" si="0"/>
        <v>26</v>
      </c>
      <c r="G17" s="4">
        <f t="shared" ca="1" si="0"/>
        <v>17</v>
      </c>
      <c r="H17" s="4">
        <f t="shared" ca="1" si="0"/>
        <v>12</v>
      </c>
      <c r="I17" s="4">
        <f t="shared" ca="1" si="0"/>
        <v>12</v>
      </c>
      <c r="J17" s="8">
        <f t="shared" ca="1" si="0"/>
        <v>0</v>
      </c>
      <c r="K17" s="8">
        <f t="shared" ca="1" si="0"/>
        <v>0</v>
      </c>
      <c r="L17" s="8">
        <f t="shared" ca="1" si="0"/>
        <v>0</v>
      </c>
      <c r="M17" s="8">
        <f t="shared" ca="1" si="0"/>
        <v>0</v>
      </c>
      <c r="N17" s="8">
        <f t="shared" ca="1" si="0"/>
        <v>0</v>
      </c>
      <c r="O17" s="8">
        <f t="shared" ca="1" si="0"/>
        <v>0.04</v>
      </c>
      <c r="P17" s="4">
        <f t="shared" ca="1" si="0"/>
        <v>0</v>
      </c>
      <c r="Q17" s="8">
        <f t="shared" ca="1" si="0"/>
        <v>0</v>
      </c>
      <c r="R17" s="4">
        <f t="shared" ca="1" si="0"/>
        <v>0</v>
      </c>
      <c r="S17" s="4">
        <f t="shared" ca="1" si="0"/>
        <v>5</v>
      </c>
      <c r="U17" t="str">
        <f t="shared" si="1"/>
        <v>=</v>
      </c>
      <c r="V17" t="s">
        <v>97</v>
      </c>
      <c r="W17" s="16" t="s">
        <v>1003</v>
      </c>
      <c r="X17" s="4">
        <f t="shared" ca="1" si="2"/>
        <v>0</v>
      </c>
      <c r="Y17" s="4">
        <f t="shared" ca="1" si="2"/>
        <v>17</v>
      </c>
      <c r="Z17" s="4">
        <f t="shared" ca="1" si="2"/>
        <v>20</v>
      </c>
      <c r="AA17" s="4">
        <f t="shared" ca="1" si="2"/>
        <v>26</v>
      </c>
      <c r="AB17" s="4">
        <f t="shared" ca="1" si="2"/>
        <v>17</v>
      </c>
      <c r="AC17" s="4">
        <f t="shared" ca="1" si="2"/>
        <v>12</v>
      </c>
      <c r="AD17" s="4">
        <f t="shared" ca="1" si="2"/>
        <v>12</v>
      </c>
      <c r="AE17" s="8">
        <f t="shared" ca="1" si="2"/>
        <v>0</v>
      </c>
      <c r="AF17" s="8">
        <f t="shared" ca="1" si="2"/>
        <v>0</v>
      </c>
      <c r="AG17" s="8">
        <f t="shared" ca="1" si="2"/>
        <v>0</v>
      </c>
      <c r="AH17" s="8">
        <f t="shared" ca="1" si="2"/>
        <v>0</v>
      </c>
      <c r="AI17" s="8">
        <f t="shared" ca="1" si="2"/>
        <v>0</v>
      </c>
      <c r="AJ17" s="8">
        <f t="shared" ca="1" si="2"/>
        <v>0.04</v>
      </c>
      <c r="AK17" s="4">
        <f t="shared" ca="1" si="2"/>
        <v>0</v>
      </c>
      <c r="AL17" s="8">
        <f t="shared" ca="1" si="2"/>
        <v>0</v>
      </c>
      <c r="AM17" s="4">
        <f t="shared" ca="1" si="2"/>
        <v>0</v>
      </c>
      <c r="AN17" s="4">
        <f t="shared" ca="1" si="2"/>
        <v>5</v>
      </c>
    </row>
    <row r="18" spans="1:40" x14ac:dyDescent="0.2">
      <c r="A18" t="s">
        <v>98</v>
      </c>
      <c r="B18" s="278"/>
      <c r="C18" s="4">
        <f t="shared" ref="C18:S18" si="3">SUMIF(INDEX(SetBonusLookup, 0, 1), "="&amp;C2, INDEX(SetBonusLookup, 0, MATCH("HighSet1Gear", INDEX(SetBonusLookup, 1, 0), 0)))</f>
        <v>0</v>
      </c>
      <c r="D18" s="4">
        <f t="shared" si="3"/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ca="1" si="3"/>
        <v>0</v>
      </c>
      <c r="J18" s="96">
        <f t="shared" si="3"/>
        <v>0</v>
      </c>
      <c r="K18" s="96">
        <f t="shared" ca="1" si="3"/>
        <v>0</v>
      </c>
      <c r="L18" s="96">
        <f t="shared" si="3"/>
        <v>0</v>
      </c>
      <c r="M18" s="96">
        <f t="shared" si="3"/>
        <v>0</v>
      </c>
      <c r="N18" s="96">
        <f t="shared" si="3"/>
        <v>0</v>
      </c>
      <c r="O18" s="96">
        <f t="shared" ca="1" si="3"/>
        <v>0</v>
      </c>
      <c r="P18" s="4">
        <f t="shared" si="3"/>
        <v>0</v>
      </c>
      <c r="Q18" s="96">
        <f t="shared" si="3"/>
        <v>0</v>
      </c>
      <c r="R18" s="4">
        <f t="shared" si="3"/>
        <v>0</v>
      </c>
      <c r="S18" s="4">
        <f t="shared" si="3"/>
        <v>0</v>
      </c>
      <c r="U18" t="str">
        <f ca="1">IF(AND(C18=X18,D18=Y18,E18=Z18,F18=AA18,G18=AB18,H18=AC18,I18=AD18,J18=AE18,K18=AF18,L18=AG18,M18=AH18,N18=AI18,O18=AJ18,P18=AK18,Q18=AL18,R18=AM18, S18=AN18),"=","-")</f>
        <v>=</v>
      </c>
      <c r="V18" t="s">
        <v>98</v>
      </c>
      <c r="W18" s="174"/>
      <c r="X18" s="4">
        <f t="shared" ref="X18:AN18" si="4">SUMIF(INDEX(SetBonusLookup, 0, 1), "="&amp;X2, INDEX(SetBonusLookup, 0, MATCH("HighSet2Gear", INDEX(SetBonusLookup, 1, 0), 0)))</f>
        <v>0</v>
      </c>
      <c r="Y18" s="4">
        <f t="shared" si="4"/>
        <v>0</v>
      </c>
      <c r="Z18" s="4">
        <f t="shared" si="4"/>
        <v>0</v>
      </c>
      <c r="AA18" s="4">
        <f t="shared" si="4"/>
        <v>0</v>
      </c>
      <c r="AB18" s="4">
        <f t="shared" si="4"/>
        <v>0</v>
      </c>
      <c r="AC18" s="4">
        <f t="shared" si="4"/>
        <v>0</v>
      </c>
      <c r="AD18" s="4">
        <f t="shared" ca="1" si="4"/>
        <v>0</v>
      </c>
      <c r="AE18" s="96">
        <f t="shared" si="4"/>
        <v>0</v>
      </c>
      <c r="AF18" s="96">
        <f t="shared" ca="1" si="4"/>
        <v>0</v>
      </c>
      <c r="AG18" s="96">
        <f t="shared" si="4"/>
        <v>0</v>
      </c>
      <c r="AH18" s="96">
        <f t="shared" si="4"/>
        <v>0</v>
      </c>
      <c r="AI18" s="96">
        <f t="shared" si="4"/>
        <v>0</v>
      </c>
      <c r="AJ18" s="96">
        <f t="shared" ca="1" si="4"/>
        <v>0</v>
      </c>
      <c r="AK18" s="4">
        <f t="shared" si="4"/>
        <v>0</v>
      </c>
      <c r="AL18" s="96">
        <f t="shared" si="4"/>
        <v>0</v>
      </c>
      <c r="AM18" s="4">
        <f t="shared" si="4"/>
        <v>0</v>
      </c>
      <c r="AN18" s="4">
        <f t="shared" si="4"/>
        <v>0</v>
      </c>
    </row>
    <row r="19" spans="1:40" x14ac:dyDescent="0.2">
      <c r="A19" t="s">
        <v>473</v>
      </c>
      <c r="B19" s="1" t="str">
        <f>IF(COUNTBLANK(C19:S19)=17,"","Active!")</f>
        <v/>
      </c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  <c r="Q19" s="19"/>
      <c r="R19" s="19"/>
      <c r="S19" s="17"/>
      <c r="U19" t="str">
        <f>IF(AND(C19=X19,D19=Y19,E19=Z19,F19=AA19,G19=AB19,H19=AC19,I19=AD19,J19=AE19,K19=AF19,L19=AG19,M19=AH19,N19=AI19,O19=AJ19,P19=AK19,Q19=AL19,R19=AM19, S19=AN19),"=","-")</f>
        <v>=</v>
      </c>
      <c r="V19" t="s">
        <v>473</v>
      </c>
      <c r="X19" s="17"/>
      <c r="Y19" s="17"/>
      <c r="Z19" s="17"/>
      <c r="AA19" s="17"/>
      <c r="AB19" s="17"/>
      <c r="AC19" s="17"/>
      <c r="AD19" s="17"/>
      <c r="AE19" s="17"/>
      <c r="AF19" s="18"/>
      <c r="AG19" s="18"/>
      <c r="AH19" s="18"/>
      <c r="AI19" s="18"/>
      <c r="AJ19" s="18"/>
      <c r="AK19" s="19"/>
      <c r="AL19" s="19"/>
      <c r="AM19" s="19"/>
      <c r="AN19" s="17"/>
    </row>
    <row r="20" spans="1:40" x14ac:dyDescent="0.2">
      <c r="K20" s="8"/>
      <c r="L20" s="8"/>
      <c r="M20" s="8"/>
      <c r="N20" s="8"/>
      <c r="O20" s="8"/>
      <c r="P20" s="8"/>
      <c r="Q20" s="8"/>
      <c r="R20" s="8"/>
      <c r="AF20" s="8"/>
      <c r="AG20" s="8"/>
      <c r="AH20" s="8"/>
      <c r="AI20" s="8"/>
      <c r="AJ20" s="8"/>
      <c r="AK20" s="8"/>
      <c r="AL20" s="8"/>
      <c r="AM20" s="8"/>
    </row>
    <row r="21" spans="1:40" x14ac:dyDescent="0.2">
      <c r="A21" t="s">
        <v>99</v>
      </c>
      <c r="C21" s="4">
        <f t="shared" ref="C21:J21" ca="1" si="5">IF($B10="Onca Suit",SUM(C3:C19)-SUM(C11,C16,C17),SUM(C3:C19))</f>
        <v>265</v>
      </c>
      <c r="D21" s="4">
        <f t="shared" ca="1" si="5"/>
        <v>140</v>
      </c>
      <c r="E21" s="4">
        <f t="shared" ca="1" si="5"/>
        <v>185</v>
      </c>
      <c r="F21" s="4">
        <f t="shared" ca="1" si="5"/>
        <v>84</v>
      </c>
      <c r="G21" s="4">
        <f t="shared" ca="1" si="5"/>
        <v>123</v>
      </c>
      <c r="H21" s="4">
        <f t="shared" ca="1" si="5"/>
        <v>115</v>
      </c>
      <c r="I21" s="4">
        <f t="shared" ca="1" si="5"/>
        <v>234</v>
      </c>
      <c r="J21" s="8">
        <f t="shared" ca="1" si="5"/>
        <v>0</v>
      </c>
      <c r="K21" s="8">
        <f t="shared" ref="K21:O21" ca="1" si="6">IF($B10="Onca Suit",SUM(K3:K19)-SUM(K11,K16,K17),SUM(K3:K19))</f>
        <v>0.04</v>
      </c>
      <c r="L21" s="8">
        <f t="shared" ca="1" si="6"/>
        <v>0.06</v>
      </c>
      <c r="M21" s="8">
        <f t="shared" ca="1" si="6"/>
        <v>0.02</v>
      </c>
      <c r="N21" s="8">
        <f t="shared" ca="1" si="6"/>
        <v>0</v>
      </c>
      <c r="O21" s="8">
        <f t="shared" ca="1" si="6"/>
        <v>0.04</v>
      </c>
      <c r="P21" s="4">
        <f ca="1">IF($B10="Onca Suit",SUM(P3:P19)-SUM(P11,P16,P17),SUM(P3:P19))</f>
        <v>0</v>
      </c>
      <c r="Q21" s="8">
        <f ca="1">IF($B10="Onca Suit",SUM(Q3:Q19)-SUM(Q11,Q16,Q17),SUM(Q3:Q19))</f>
        <v>0</v>
      </c>
      <c r="R21" s="4">
        <f ca="1">IF($B10="Onca Suit",SUM(R3:R19)-SUM(R11,R16,R17),SUM(R3:R19))</f>
        <v>0</v>
      </c>
      <c r="S21" s="4">
        <f ca="1">IF($B10="Onca Suit",SUM(S3:S19)-SUM(S11,S16,S17),SUM(S3:S19))</f>
        <v>77</v>
      </c>
      <c r="V21" t="s">
        <v>99</v>
      </c>
      <c r="X21" s="4">
        <f ca="1">IF($X10="Onca Suit",SUM(X3:X19)-SUM(X11,X16,X17),SUM(X3:X19))</f>
        <v>265</v>
      </c>
      <c r="Y21" s="4">
        <f t="shared" ref="Y21:AN21" ca="1" si="7">IF($X10="Onca Suit",SUM(Y3:Y19)-SUM(Y11,Y16,Y17),SUM(Y3:Y19))</f>
        <v>140</v>
      </c>
      <c r="Z21" s="4">
        <f t="shared" ca="1" si="7"/>
        <v>185</v>
      </c>
      <c r="AA21" s="4">
        <f t="shared" ca="1" si="7"/>
        <v>84</v>
      </c>
      <c r="AB21" s="4">
        <f t="shared" ca="1" si="7"/>
        <v>123</v>
      </c>
      <c r="AC21" s="4">
        <f t="shared" ca="1" si="7"/>
        <v>115</v>
      </c>
      <c r="AD21" s="4">
        <f t="shared" ca="1" si="7"/>
        <v>234</v>
      </c>
      <c r="AE21" s="8">
        <f t="shared" ca="1" si="7"/>
        <v>0</v>
      </c>
      <c r="AF21" s="8">
        <f t="shared" ca="1" si="7"/>
        <v>0.04</v>
      </c>
      <c r="AG21" s="8">
        <f t="shared" ca="1" si="7"/>
        <v>0.06</v>
      </c>
      <c r="AH21" s="8">
        <f t="shared" ca="1" si="7"/>
        <v>0.02</v>
      </c>
      <c r="AI21" s="8">
        <f t="shared" ca="1" si="7"/>
        <v>0</v>
      </c>
      <c r="AJ21" s="8">
        <f ca="1">IF($X10="Onca Suit",SUM(AJ3:AJ19)-SUM(AJ11,AJ16,AJ17),SUM(AJ3:AJ19))</f>
        <v>0.04</v>
      </c>
      <c r="AK21" s="4">
        <f t="shared" ca="1" si="7"/>
        <v>0</v>
      </c>
      <c r="AL21" s="8">
        <f ca="1">IF($X10="Onca Suit",SUM(AL3:AL19)-SUM(AL11,AL16,AL17),SUM(AL3:AL19))</f>
        <v>0</v>
      </c>
      <c r="AM21" s="4">
        <f t="shared" ca="1" si="7"/>
        <v>0</v>
      </c>
      <c r="AN21" s="4">
        <f t="shared" ca="1" si="7"/>
        <v>77</v>
      </c>
    </row>
    <row r="22" spans="1:40" x14ac:dyDescent="0.2">
      <c r="A22" t="s">
        <v>1338</v>
      </c>
      <c r="B22" s="13">
        <f ca="1">Data!J154</f>
        <v>843.56152277044123</v>
      </c>
      <c r="V22" t="s">
        <v>1338</v>
      </c>
      <c r="W22" s="13">
        <f ca="1">Data!K154</f>
        <v>843.56152277044123</v>
      </c>
    </row>
    <row r="23" spans="1:40" x14ac:dyDescent="0.2">
      <c r="A23" t="s">
        <v>1339</v>
      </c>
      <c r="B23" s="13">
        <f ca="1">Data!J163</f>
        <v>0</v>
      </c>
      <c r="V23" t="s">
        <v>1339</v>
      </c>
      <c r="W23" s="13">
        <f ca="1">Data!K163</f>
        <v>0</v>
      </c>
    </row>
    <row r="25" spans="1:40" s="1" customFormat="1" x14ac:dyDescent="0.2">
      <c r="A25" s="1" t="s">
        <v>1322</v>
      </c>
      <c r="V25" s="1" t="s">
        <v>1323</v>
      </c>
    </row>
    <row r="26" spans="1:40" x14ac:dyDescent="0.2">
      <c r="A26" t="s">
        <v>70</v>
      </c>
      <c r="B26" t="s">
        <v>71</v>
      </c>
      <c r="C26" t="s">
        <v>72</v>
      </c>
      <c r="D26" t="s">
        <v>26</v>
      </c>
      <c r="E26" t="s">
        <v>27</v>
      </c>
      <c r="F26" t="s">
        <v>25</v>
      </c>
      <c r="G26" t="s">
        <v>23</v>
      </c>
      <c r="H26" t="s">
        <v>73</v>
      </c>
      <c r="I26" t="s">
        <v>74</v>
      </c>
      <c r="J26" t="s">
        <v>375</v>
      </c>
      <c r="K26" t="s">
        <v>75</v>
      </c>
      <c r="L26" t="s">
        <v>76</v>
      </c>
      <c r="M26" t="s">
        <v>77</v>
      </c>
      <c r="N26" t="s">
        <v>78</v>
      </c>
      <c r="O26" t="s">
        <v>79</v>
      </c>
      <c r="P26" t="s">
        <v>109</v>
      </c>
      <c r="Q26" t="s">
        <v>80</v>
      </c>
      <c r="R26" t="s">
        <v>81</v>
      </c>
      <c r="S26" t="s">
        <v>82</v>
      </c>
      <c r="V26" t="s">
        <v>70</v>
      </c>
      <c r="W26" t="s">
        <v>71</v>
      </c>
      <c r="X26" t="s">
        <v>72</v>
      </c>
      <c r="Y26" t="s">
        <v>26</v>
      </c>
      <c r="Z26" t="s">
        <v>27</v>
      </c>
      <c r="AA26" t="s">
        <v>25</v>
      </c>
      <c r="AB26" t="s">
        <v>23</v>
      </c>
      <c r="AC26" t="s">
        <v>73</v>
      </c>
      <c r="AD26" t="s">
        <v>74</v>
      </c>
      <c r="AE26" t="s">
        <v>375</v>
      </c>
      <c r="AF26" t="s">
        <v>75</v>
      </c>
      <c r="AG26" t="s">
        <v>76</v>
      </c>
      <c r="AH26" t="s">
        <v>77</v>
      </c>
      <c r="AI26" t="s">
        <v>78</v>
      </c>
      <c r="AJ26" t="s">
        <v>79</v>
      </c>
      <c r="AK26" t="s">
        <v>109</v>
      </c>
      <c r="AL26" t="s">
        <v>80</v>
      </c>
      <c r="AM26" t="s">
        <v>81</v>
      </c>
      <c r="AN26" t="s">
        <v>82</v>
      </c>
    </row>
    <row r="27" spans="1:40" x14ac:dyDescent="0.2">
      <c r="A27" t="s">
        <v>83</v>
      </c>
      <c r="B27" t="str">
        <f>B3</f>
        <v>Shining One</v>
      </c>
      <c r="C27" s="4">
        <f t="shared" ref="C27:I41" ca="1" si="8">IF(ISBLANK($B27),0,VLOOKUP($B27,INDIRECT($A27),MATCH(C$26,StatHeader,0),0))</f>
        <v>250</v>
      </c>
      <c r="D27" s="4">
        <f t="shared" ca="1" si="8"/>
        <v>0</v>
      </c>
      <c r="E27" s="4">
        <f t="shared" ca="1" si="8"/>
        <v>20</v>
      </c>
      <c r="F27" s="4">
        <f t="shared" ca="1" si="8"/>
        <v>0</v>
      </c>
      <c r="G27" s="4">
        <f t="shared" ca="1" si="8"/>
        <v>0</v>
      </c>
      <c r="H27" s="4">
        <f t="shared" ca="1" si="8"/>
        <v>30</v>
      </c>
      <c r="I27" s="4">
        <f t="shared" ca="1" si="8"/>
        <v>40</v>
      </c>
      <c r="J27" s="8">
        <f t="shared" ref="J27:K41" ca="1" si="9">IF(ISBLANK($B27),0,VLOOKUP($B27,INDIRECT($A27),MATCH(J$2,StatHeader,0),0))</f>
        <v>0</v>
      </c>
      <c r="K27" s="8">
        <f t="shared" ca="1" si="9"/>
        <v>0</v>
      </c>
      <c r="L27" s="8">
        <f t="shared" ref="L27:S41" ca="1" si="10">IF(ISBLANK($B27),0,VLOOKUP($B27,INDIRECT($A27),MATCH(L$26,StatHeader,0),0))</f>
        <v>0</v>
      </c>
      <c r="M27" s="8">
        <f t="shared" ca="1" si="10"/>
        <v>0</v>
      </c>
      <c r="N27" s="8">
        <f t="shared" ca="1" si="10"/>
        <v>0</v>
      </c>
      <c r="O27" s="8">
        <f t="shared" ca="1" si="10"/>
        <v>0</v>
      </c>
      <c r="P27" s="4">
        <f t="shared" ca="1" si="10"/>
        <v>0</v>
      </c>
      <c r="Q27" s="8">
        <f t="shared" ca="1" si="10"/>
        <v>0</v>
      </c>
      <c r="R27" s="4">
        <f t="shared" ca="1" si="10"/>
        <v>0</v>
      </c>
      <c r="S27" s="4">
        <f t="shared" ca="1" si="10"/>
        <v>0</v>
      </c>
      <c r="V27" t="s">
        <v>83</v>
      </c>
      <c r="W27" t="str">
        <f>W3</f>
        <v>Shining One</v>
      </c>
      <c r="X27" s="4">
        <f t="shared" ref="X27:AN41" ca="1" si="11">IF(ISBLANK($W27),0,VLOOKUP($W27,INDIRECT($V27),MATCH(X$26,StatHeader,0),0))</f>
        <v>250</v>
      </c>
      <c r="Y27" s="4">
        <f t="shared" ca="1" si="11"/>
        <v>0</v>
      </c>
      <c r="Z27" s="4">
        <f t="shared" ca="1" si="11"/>
        <v>20</v>
      </c>
      <c r="AA27" s="4">
        <f t="shared" ca="1" si="11"/>
        <v>0</v>
      </c>
      <c r="AB27" s="4">
        <f t="shared" ca="1" si="11"/>
        <v>0</v>
      </c>
      <c r="AC27" s="4">
        <f t="shared" ca="1" si="11"/>
        <v>30</v>
      </c>
      <c r="AD27" s="4">
        <f t="shared" ca="1" si="11"/>
        <v>40</v>
      </c>
      <c r="AE27" s="8">
        <f t="shared" ca="1" si="11"/>
        <v>0</v>
      </c>
      <c r="AF27" s="8">
        <f t="shared" ca="1" si="11"/>
        <v>0</v>
      </c>
      <c r="AG27" s="8">
        <f t="shared" ca="1" si="11"/>
        <v>0</v>
      </c>
      <c r="AH27" s="8">
        <f t="shared" ca="1" si="11"/>
        <v>0</v>
      </c>
      <c r="AI27" s="8">
        <f t="shared" ca="1" si="11"/>
        <v>0</v>
      </c>
      <c r="AJ27" s="8">
        <f t="shared" ca="1" si="11"/>
        <v>0</v>
      </c>
      <c r="AK27" s="4">
        <f t="shared" ca="1" si="11"/>
        <v>0</v>
      </c>
      <c r="AL27" s="8">
        <f t="shared" ca="1" si="11"/>
        <v>0</v>
      </c>
      <c r="AM27" s="4">
        <f t="shared" ca="1" si="11"/>
        <v>0</v>
      </c>
      <c r="AN27" s="4">
        <f t="shared" ca="1" si="11"/>
        <v>0</v>
      </c>
    </row>
    <row r="28" spans="1:40" x14ac:dyDescent="0.2">
      <c r="A28" t="s">
        <v>84</v>
      </c>
      <c r="B28" s="20" t="str">
        <f>B4</f>
        <v>Bloodrain Strap</v>
      </c>
      <c r="C28" s="4">
        <f t="shared" ca="1" si="8"/>
        <v>0</v>
      </c>
      <c r="D28" s="4">
        <f t="shared" ca="1" si="8"/>
        <v>0</v>
      </c>
      <c r="E28" s="4">
        <f t="shared" ca="1" si="8"/>
        <v>0</v>
      </c>
      <c r="F28" s="4">
        <f t="shared" ca="1" si="8"/>
        <v>0</v>
      </c>
      <c r="G28" s="4">
        <f t="shared" ca="1" si="8"/>
        <v>0</v>
      </c>
      <c r="H28" s="4">
        <f t="shared" ca="1" si="8"/>
        <v>0</v>
      </c>
      <c r="I28" s="4">
        <f t="shared" ca="1" si="8"/>
        <v>6</v>
      </c>
      <c r="J28" s="8">
        <f t="shared" ca="1" si="9"/>
        <v>0</v>
      </c>
      <c r="K28" s="8">
        <f t="shared" ca="1" si="9"/>
        <v>0</v>
      </c>
      <c r="L28" s="8">
        <f t="shared" ca="1" si="10"/>
        <v>0</v>
      </c>
      <c r="M28" s="8">
        <f t="shared" ca="1" si="10"/>
        <v>0</v>
      </c>
      <c r="N28" s="8">
        <f t="shared" ca="1" si="10"/>
        <v>0</v>
      </c>
      <c r="O28" s="8">
        <f t="shared" ca="1" si="10"/>
        <v>0</v>
      </c>
      <c r="P28" s="4">
        <f t="shared" ca="1" si="10"/>
        <v>0</v>
      </c>
      <c r="Q28" s="8">
        <f t="shared" ca="1" si="10"/>
        <v>0</v>
      </c>
      <c r="R28" s="4">
        <f t="shared" ca="1" si="10"/>
        <v>0</v>
      </c>
      <c r="S28" s="4">
        <f t="shared" ca="1" si="10"/>
        <v>6</v>
      </c>
      <c r="V28" t="s">
        <v>84</v>
      </c>
      <c r="W28" s="21" t="str">
        <f>W4</f>
        <v>Bloodrain Strap</v>
      </c>
      <c r="X28" s="4">
        <f t="shared" ca="1" si="11"/>
        <v>0</v>
      </c>
      <c r="Y28" s="4">
        <f t="shared" ca="1" si="11"/>
        <v>0</v>
      </c>
      <c r="Z28" s="4">
        <f t="shared" ca="1" si="11"/>
        <v>0</v>
      </c>
      <c r="AA28" s="4">
        <f t="shared" ca="1" si="11"/>
        <v>0</v>
      </c>
      <c r="AB28" s="4">
        <f t="shared" ca="1" si="11"/>
        <v>0</v>
      </c>
      <c r="AC28" s="4">
        <f t="shared" ca="1" si="11"/>
        <v>0</v>
      </c>
      <c r="AD28" s="4">
        <f t="shared" ca="1" si="11"/>
        <v>6</v>
      </c>
      <c r="AE28" s="8">
        <f t="shared" ca="1" si="11"/>
        <v>0</v>
      </c>
      <c r="AF28" s="8">
        <f t="shared" ca="1" si="11"/>
        <v>0</v>
      </c>
      <c r="AG28" s="8">
        <f t="shared" ca="1" si="11"/>
        <v>0</v>
      </c>
      <c r="AH28" s="8">
        <f t="shared" ca="1" si="11"/>
        <v>0</v>
      </c>
      <c r="AI28" s="8">
        <f t="shared" ca="1" si="11"/>
        <v>0</v>
      </c>
      <c r="AJ28" s="8">
        <f t="shared" ca="1" si="11"/>
        <v>0</v>
      </c>
      <c r="AK28" s="4">
        <f t="shared" ca="1" si="11"/>
        <v>0</v>
      </c>
      <c r="AL28" s="8">
        <f t="shared" ca="1" si="11"/>
        <v>0</v>
      </c>
      <c r="AM28" s="4">
        <f t="shared" ca="1" si="11"/>
        <v>0</v>
      </c>
      <c r="AN28" s="4">
        <f t="shared" ca="1" si="11"/>
        <v>6</v>
      </c>
    </row>
    <row r="29" spans="1:40" x14ac:dyDescent="0.2">
      <c r="A29" t="s">
        <v>86</v>
      </c>
      <c r="B29" s="16" t="s">
        <v>527</v>
      </c>
      <c r="C29" s="4">
        <f t="shared" ca="1" si="8"/>
        <v>0</v>
      </c>
      <c r="D29" s="4">
        <f t="shared" ca="1" si="8"/>
        <v>0</v>
      </c>
      <c r="E29" s="4">
        <f t="shared" ca="1" si="8"/>
        <v>0</v>
      </c>
      <c r="F29" s="4">
        <f t="shared" ca="1" si="8"/>
        <v>0</v>
      </c>
      <c r="G29" s="4">
        <f t="shared" ca="1" si="8"/>
        <v>0</v>
      </c>
      <c r="H29" s="4">
        <f t="shared" ca="1" si="8"/>
        <v>10</v>
      </c>
      <c r="I29" s="4">
        <f t="shared" ca="1" si="8"/>
        <v>5</v>
      </c>
      <c r="J29" s="8">
        <f t="shared" ca="1" si="9"/>
        <v>0</v>
      </c>
      <c r="K29" s="8">
        <f t="shared" ca="1" si="9"/>
        <v>0</v>
      </c>
      <c r="L29" s="8">
        <f t="shared" ca="1" si="10"/>
        <v>0</v>
      </c>
      <c r="M29" s="8">
        <f t="shared" ca="1" si="10"/>
        <v>0</v>
      </c>
      <c r="N29" s="8">
        <f t="shared" ca="1" si="10"/>
        <v>0</v>
      </c>
      <c r="O29" s="8">
        <f t="shared" ca="1" si="10"/>
        <v>0</v>
      </c>
      <c r="P29" s="4">
        <f t="shared" ca="1" si="10"/>
        <v>0</v>
      </c>
      <c r="Q29" s="8">
        <f t="shared" ca="1" si="10"/>
        <v>0</v>
      </c>
      <c r="R29" s="4">
        <f t="shared" ca="1" si="10"/>
        <v>0</v>
      </c>
      <c r="S29" s="4">
        <f t="shared" ca="1" si="10"/>
        <v>3</v>
      </c>
      <c r="U29" t="str">
        <f t="shared" ref="U29:U41" si="12">IF(W29=B29,"=","-")</f>
        <v>=</v>
      </c>
      <c r="V29" t="s">
        <v>86</v>
      </c>
      <c r="W29" s="16" t="s">
        <v>527</v>
      </c>
      <c r="X29" s="4">
        <f t="shared" ca="1" si="11"/>
        <v>0</v>
      </c>
      <c r="Y29" s="4">
        <f t="shared" ca="1" si="11"/>
        <v>0</v>
      </c>
      <c r="Z29" s="4">
        <f t="shared" ca="1" si="11"/>
        <v>0</v>
      </c>
      <c r="AA29" s="4">
        <f t="shared" ca="1" si="11"/>
        <v>0</v>
      </c>
      <c r="AB29" s="4">
        <f t="shared" ca="1" si="11"/>
        <v>0</v>
      </c>
      <c r="AC29" s="4">
        <f t="shared" ca="1" si="11"/>
        <v>10</v>
      </c>
      <c r="AD29" s="4">
        <f t="shared" ca="1" si="11"/>
        <v>5</v>
      </c>
      <c r="AE29" s="8">
        <f t="shared" ca="1" si="11"/>
        <v>0</v>
      </c>
      <c r="AF29" s="8">
        <f t="shared" ca="1" si="11"/>
        <v>0</v>
      </c>
      <c r="AG29" s="8">
        <f t="shared" ca="1" si="11"/>
        <v>0</v>
      </c>
      <c r="AH29" s="8">
        <f t="shared" ca="1" si="11"/>
        <v>0</v>
      </c>
      <c r="AI29" s="8">
        <f t="shared" ca="1" si="11"/>
        <v>0</v>
      </c>
      <c r="AJ29" s="8">
        <f t="shared" ca="1" si="11"/>
        <v>0</v>
      </c>
      <c r="AK29" s="4">
        <f t="shared" ca="1" si="11"/>
        <v>0</v>
      </c>
      <c r="AL29" s="8">
        <f t="shared" ca="1" si="11"/>
        <v>0</v>
      </c>
      <c r="AM29" s="4">
        <f t="shared" ca="1" si="11"/>
        <v>0</v>
      </c>
      <c r="AN29" s="4">
        <f t="shared" ca="1" si="11"/>
        <v>3</v>
      </c>
    </row>
    <row r="30" spans="1:40" x14ac:dyDescent="0.2">
      <c r="A30" t="s">
        <v>88</v>
      </c>
      <c r="B30" s="16" t="s">
        <v>1380</v>
      </c>
      <c r="C30" s="4">
        <f t="shared" ca="1" si="8"/>
        <v>0</v>
      </c>
      <c r="D30" s="4">
        <f t="shared" ca="1" si="8"/>
        <v>32</v>
      </c>
      <c r="E30" s="4">
        <f t="shared" ca="1" si="8"/>
        <v>28</v>
      </c>
      <c r="F30" s="4">
        <f t="shared" ca="1" si="8"/>
        <v>16</v>
      </c>
      <c r="G30" s="4">
        <f t="shared" ca="1" si="8"/>
        <v>24</v>
      </c>
      <c r="H30" s="4">
        <f t="shared" ca="1" si="8"/>
        <v>0</v>
      </c>
      <c r="I30" s="4">
        <f t="shared" ca="1" si="8"/>
        <v>38</v>
      </c>
      <c r="J30" s="8">
        <f t="shared" ca="1" si="9"/>
        <v>0</v>
      </c>
      <c r="K30" s="8">
        <f t="shared" ca="1" si="9"/>
        <v>0</v>
      </c>
      <c r="L30" s="8">
        <f t="shared" ca="1" si="10"/>
        <v>0.04</v>
      </c>
      <c r="M30" s="8">
        <f t="shared" ca="1" si="10"/>
        <v>0</v>
      </c>
      <c r="N30" s="8">
        <f t="shared" ca="1" si="10"/>
        <v>0</v>
      </c>
      <c r="O30" s="8">
        <f t="shared" ca="1" si="10"/>
        <v>0</v>
      </c>
      <c r="P30" s="4">
        <f t="shared" ca="1" si="10"/>
        <v>0</v>
      </c>
      <c r="Q30" s="8">
        <f t="shared" ca="1" si="10"/>
        <v>0</v>
      </c>
      <c r="R30" s="4">
        <f t="shared" ca="1" si="10"/>
        <v>0</v>
      </c>
      <c r="S30" s="4">
        <f t="shared" ca="1" si="10"/>
        <v>5</v>
      </c>
      <c r="U30" t="str">
        <f t="shared" si="12"/>
        <v>=</v>
      </c>
      <c r="V30" t="s">
        <v>88</v>
      </c>
      <c r="W30" s="16" t="s">
        <v>1380</v>
      </c>
      <c r="X30" s="4">
        <f t="shared" ca="1" si="11"/>
        <v>0</v>
      </c>
      <c r="Y30" s="4">
        <f t="shared" ca="1" si="11"/>
        <v>32</v>
      </c>
      <c r="Z30" s="4">
        <f t="shared" ca="1" si="11"/>
        <v>28</v>
      </c>
      <c r="AA30" s="4">
        <f t="shared" ca="1" si="11"/>
        <v>16</v>
      </c>
      <c r="AB30" s="4">
        <f t="shared" ca="1" si="11"/>
        <v>24</v>
      </c>
      <c r="AC30" s="4">
        <f t="shared" ca="1" si="11"/>
        <v>0</v>
      </c>
      <c r="AD30" s="4">
        <f t="shared" ca="1" si="11"/>
        <v>38</v>
      </c>
      <c r="AE30" s="8">
        <f t="shared" ca="1" si="11"/>
        <v>0</v>
      </c>
      <c r="AF30" s="8">
        <f t="shared" ca="1" si="11"/>
        <v>0</v>
      </c>
      <c r="AG30" s="8">
        <f t="shared" ca="1" si="11"/>
        <v>0.04</v>
      </c>
      <c r="AH30" s="8">
        <f t="shared" ca="1" si="11"/>
        <v>0</v>
      </c>
      <c r="AI30" s="8">
        <f t="shared" ca="1" si="11"/>
        <v>0</v>
      </c>
      <c r="AJ30" s="8">
        <f t="shared" ca="1" si="11"/>
        <v>0</v>
      </c>
      <c r="AK30" s="4">
        <f t="shared" ca="1" si="11"/>
        <v>0</v>
      </c>
      <c r="AL30" s="8">
        <f t="shared" ca="1" si="11"/>
        <v>0</v>
      </c>
      <c r="AM30" s="4">
        <f t="shared" ca="1" si="11"/>
        <v>0</v>
      </c>
      <c r="AN30" s="4">
        <f t="shared" ca="1" si="11"/>
        <v>5</v>
      </c>
    </row>
    <row r="31" spans="1:40" x14ac:dyDescent="0.2">
      <c r="A31" t="s">
        <v>89</v>
      </c>
      <c r="B31" s="16" t="s">
        <v>1035</v>
      </c>
      <c r="C31" s="4">
        <f t="shared" ca="1" si="8"/>
        <v>15</v>
      </c>
      <c r="D31" s="4">
        <f t="shared" ca="1" si="8"/>
        <v>0</v>
      </c>
      <c r="E31" s="4">
        <f t="shared" ca="1" si="8"/>
        <v>0</v>
      </c>
      <c r="F31" s="4">
        <f t="shared" ca="1" si="8"/>
        <v>0</v>
      </c>
      <c r="G31" s="4">
        <f t="shared" ca="1" si="8"/>
        <v>0</v>
      </c>
      <c r="H31" s="4">
        <f t="shared" ca="1" si="8"/>
        <v>0</v>
      </c>
      <c r="I31" s="4">
        <f t="shared" ca="1" si="8"/>
        <v>0</v>
      </c>
      <c r="J31" s="8">
        <f t="shared" ca="1" si="9"/>
        <v>0</v>
      </c>
      <c r="K31" s="8">
        <f t="shared" ca="1" si="9"/>
        <v>0</v>
      </c>
      <c r="L31" s="8">
        <f t="shared" ca="1" si="10"/>
        <v>0</v>
      </c>
      <c r="M31" s="8">
        <f t="shared" ca="1" si="10"/>
        <v>0</v>
      </c>
      <c r="N31" s="8">
        <f t="shared" ca="1" si="10"/>
        <v>0</v>
      </c>
      <c r="O31" s="8">
        <f t="shared" ca="1" si="10"/>
        <v>0</v>
      </c>
      <c r="P31" s="4">
        <f t="shared" ca="1" si="10"/>
        <v>0</v>
      </c>
      <c r="Q31" s="8">
        <f t="shared" ca="1" si="10"/>
        <v>0</v>
      </c>
      <c r="R31" s="4">
        <f t="shared" ca="1" si="10"/>
        <v>0</v>
      </c>
      <c r="S31" s="4">
        <f t="shared" ca="1" si="10"/>
        <v>4</v>
      </c>
      <c r="U31" t="str">
        <f t="shared" si="12"/>
        <v>=</v>
      </c>
      <c r="V31" t="s">
        <v>89</v>
      </c>
      <c r="W31" s="16" t="s">
        <v>1035</v>
      </c>
      <c r="X31" s="4">
        <f t="shared" ca="1" si="11"/>
        <v>15</v>
      </c>
      <c r="Y31" s="4">
        <f t="shared" ca="1" si="11"/>
        <v>0</v>
      </c>
      <c r="Z31" s="4">
        <f t="shared" ca="1" si="11"/>
        <v>0</v>
      </c>
      <c r="AA31" s="4">
        <f t="shared" ca="1" si="11"/>
        <v>0</v>
      </c>
      <c r="AB31" s="4">
        <f t="shared" ca="1" si="11"/>
        <v>0</v>
      </c>
      <c r="AC31" s="4">
        <f t="shared" ca="1" si="11"/>
        <v>0</v>
      </c>
      <c r="AD31" s="4">
        <f t="shared" ca="1" si="11"/>
        <v>0</v>
      </c>
      <c r="AE31" s="8">
        <f t="shared" ca="1" si="11"/>
        <v>0</v>
      </c>
      <c r="AF31" s="8">
        <f t="shared" ca="1" si="11"/>
        <v>0</v>
      </c>
      <c r="AG31" s="8">
        <f t="shared" ca="1" si="11"/>
        <v>0</v>
      </c>
      <c r="AH31" s="8">
        <f t="shared" ca="1" si="11"/>
        <v>0</v>
      </c>
      <c r="AI31" s="8">
        <f t="shared" ca="1" si="11"/>
        <v>0</v>
      </c>
      <c r="AJ31" s="8">
        <f t="shared" ca="1" si="11"/>
        <v>0</v>
      </c>
      <c r="AK31" s="4">
        <f t="shared" ca="1" si="11"/>
        <v>0</v>
      </c>
      <c r="AL31" s="8">
        <f t="shared" ca="1" si="11"/>
        <v>0</v>
      </c>
      <c r="AM31" s="4">
        <f t="shared" ca="1" si="11"/>
        <v>0</v>
      </c>
      <c r="AN31" s="4">
        <f t="shared" ca="1" si="11"/>
        <v>4</v>
      </c>
    </row>
    <row r="32" spans="1:40" x14ac:dyDescent="0.2">
      <c r="A32" t="s">
        <v>90</v>
      </c>
      <c r="B32" s="16" t="s">
        <v>1145</v>
      </c>
      <c r="C32" s="4">
        <f t="shared" ca="1" si="8"/>
        <v>0</v>
      </c>
      <c r="D32" s="4">
        <f t="shared" ca="1" si="8"/>
        <v>0</v>
      </c>
      <c r="E32" s="4">
        <f t="shared" ca="1" si="8"/>
        <v>0</v>
      </c>
      <c r="F32" s="4">
        <f t="shared" ca="1" si="8"/>
        <v>0</v>
      </c>
      <c r="G32" s="4">
        <f t="shared" ca="1" si="8"/>
        <v>0</v>
      </c>
      <c r="H32" s="4">
        <f t="shared" ca="1" si="8"/>
        <v>0</v>
      </c>
      <c r="I32" s="4">
        <f t="shared" ca="1" si="8"/>
        <v>10</v>
      </c>
      <c r="J32" s="8">
        <f t="shared" ca="1" si="9"/>
        <v>0</v>
      </c>
      <c r="K32" s="8">
        <f t="shared" ca="1" si="9"/>
        <v>0</v>
      </c>
      <c r="L32" s="8">
        <f t="shared" ca="1" si="10"/>
        <v>0</v>
      </c>
      <c r="M32" s="8">
        <f t="shared" ca="1" si="10"/>
        <v>0</v>
      </c>
      <c r="N32" s="8">
        <f t="shared" ca="1" si="10"/>
        <v>0</v>
      </c>
      <c r="O32" s="8">
        <f t="shared" ca="1" si="10"/>
        <v>0</v>
      </c>
      <c r="P32" s="4">
        <f t="shared" ca="1" si="10"/>
        <v>0</v>
      </c>
      <c r="Q32" s="8">
        <f t="shared" ca="1" si="10"/>
        <v>0</v>
      </c>
      <c r="R32" s="4">
        <f t="shared" ca="1" si="10"/>
        <v>0</v>
      </c>
      <c r="S32" s="4">
        <f t="shared" ca="1" si="10"/>
        <v>3</v>
      </c>
      <c r="U32" t="str">
        <f t="shared" si="12"/>
        <v>=</v>
      </c>
      <c r="V32" t="s">
        <v>90</v>
      </c>
      <c r="W32" s="16" t="s">
        <v>1145</v>
      </c>
      <c r="X32" s="4">
        <f t="shared" ca="1" si="11"/>
        <v>0</v>
      </c>
      <c r="Y32" s="4">
        <f t="shared" ca="1" si="11"/>
        <v>0</v>
      </c>
      <c r="Z32" s="4">
        <f t="shared" ca="1" si="11"/>
        <v>0</v>
      </c>
      <c r="AA32" s="4">
        <f t="shared" ca="1" si="11"/>
        <v>0</v>
      </c>
      <c r="AB32" s="4">
        <f t="shared" ca="1" si="11"/>
        <v>0</v>
      </c>
      <c r="AC32" s="4">
        <f t="shared" ca="1" si="11"/>
        <v>0</v>
      </c>
      <c r="AD32" s="4">
        <f t="shared" ca="1" si="11"/>
        <v>10</v>
      </c>
      <c r="AE32" s="8">
        <f t="shared" ca="1" si="11"/>
        <v>0</v>
      </c>
      <c r="AF32" s="8">
        <f t="shared" ca="1" si="11"/>
        <v>0</v>
      </c>
      <c r="AG32" s="8">
        <f t="shared" ca="1" si="11"/>
        <v>0</v>
      </c>
      <c r="AH32" s="8">
        <f t="shared" ca="1" si="11"/>
        <v>0</v>
      </c>
      <c r="AI32" s="8">
        <f t="shared" ca="1" si="11"/>
        <v>0</v>
      </c>
      <c r="AJ32" s="8">
        <f t="shared" ca="1" si="11"/>
        <v>0</v>
      </c>
      <c r="AK32" s="4">
        <f t="shared" ca="1" si="11"/>
        <v>0</v>
      </c>
      <c r="AL32" s="8">
        <f t="shared" ca="1" si="11"/>
        <v>0</v>
      </c>
      <c r="AM32" s="4">
        <f t="shared" ca="1" si="11"/>
        <v>0</v>
      </c>
      <c r="AN32" s="4">
        <f t="shared" ca="1" si="11"/>
        <v>3</v>
      </c>
    </row>
    <row r="33" spans="1:40" x14ac:dyDescent="0.2">
      <c r="A33" t="s">
        <v>90</v>
      </c>
      <c r="B33" s="16" t="s">
        <v>1143</v>
      </c>
      <c r="C33" s="4">
        <f t="shared" ca="1" si="8"/>
        <v>0</v>
      </c>
      <c r="D33" s="4">
        <f t="shared" ca="1" si="8"/>
        <v>0</v>
      </c>
      <c r="E33" s="4">
        <f t="shared" ca="1" si="8"/>
        <v>0</v>
      </c>
      <c r="F33" s="4">
        <f t="shared" ca="1" si="8"/>
        <v>0</v>
      </c>
      <c r="G33" s="4">
        <f t="shared" ca="1" si="8"/>
        <v>0</v>
      </c>
      <c r="H33" s="4">
        <f t="shared" ca="1" si="8"/>
        <v>0</v>
      </c>
      <c r="I33" s="4">
        <f t="shared" ca="1" si="8"/>
        <v>6</v>
      </c>
      <c r="J33" s="8">
        <f t="shared" ca="1" si="9"/>
        <v>0</v>
      </c>
      <c r="K33" s="8">
        <f t="shared" ca="1" si="9"/>
        <v>0.03</v>
      </c>
      <c r="L33" s="8">
        <f t="shared" ca="1" si="10"/>
        <v>0</v>
      </c>
      <c r="M33" s="8">
        <f t="shared" ca="1" si="10"/>
        <v>0</v>
      </c>
      <c r="N33" s="8">
        <f t="shared" ca="1" si="10"/>
        <v>0</v>
      </c>
      <c r="O33" s="8">
        <f t="shared" ca="1" si="10"/>
        <v>0</v>
      </c>
      <c r="P33" s="4">
        <f t="shared" ca="1" si="10"/>
        <v>0</v>
      </c>
      <c r="Q33" s="8">
        <f t="shared" ca="1" si="10"/>
        <v>0</v>
      </c>
      <c r="R33" s="4">
        <f t="shared" ca="1" si="10"/>
        <v>0</v>
      </c>
      <c r="S33" s="4">
        <f t="shared" ca="1" si="10"/>
        <v>3</v>
      </c>
      <c r="U33" t="str">
        <f t="shared" si="12"/>
        <v>=</v>
      </c>
      <c r="V33" t="s">
        <v>90</v>
      </c>
      <c r="W33" s="16" t="s">
        <v>1143</v>
      </c>
      <c r="X33" s="4">
        <f t="shared" ca="1" si="11"/>
        <v>0</v>
      </c>
      <c r="Y33" s="4">
        <f t="shared" ca="1" si="11"/>
        <v>0</v>
      </c>
      <c r="Z33" s="4">
        <f t="shared" ca="1" si="11"/>
        <v>0</v>
      </c>
      <c r="AA33" s="4">
        <f t="shared" ca="1" si="11"/>
        <v>0</v>
      </c>
      <c r="AB33" s="4">
        <f t="shared" ca="1" si="11"/>
        <v>0</v>
      </c>
      <c r="AC33" s="4">
        <f t="shared" ca="1" si="11"/>
        <v>0</v>
      </c>
      <c r="AD33" s="4">
        <f t="shared" ca="1" si="11"/>
        <v>6</v>
      </c>
      <c r="AE33" s="8">
        <f t="shared" ca="1" si="11"/>
        <v>0</v>
      </c>
      <c r="AF33" s="8">
        <f t="shared" ca="1" si="11"/>
        <v>0.03</v>
      </c>
      <c r="AG33" s="8">
        <f t="shared" ca="1" si="11"/>
        <v>0</v>
      </c>
      <c r="AH33" s="8">
        <f t="shared" ca="1" si="11"/>
        <v>0</v>
      </c>
      <c r="AI33" s="8">
        <f t="shared" ca="1" si="11"/>
        <v>0</v>
      </c>
      <c r="AJ33" s="8">
        <f t="shared" ca="1" si="11"/>
        <v>0</v>
      </c>
      <c r="AK33" s="4">
        <f t="shared" ca="1" si="11"/>
        <v>0</v>
      </c>
      <c r="AL33" s="8">
        <f t="shared" ca="1" si="11"/>
        <v>0</v>
      </c>
      <c r="AM33" s="4">
        <f t="shared" ca="1" si="11"/>
        <v>0</v>
      </c>
      <c r="AN33" s="4">
        <f t="shared" ca="1" si="11"/>
        <v>3</v>
      </c>
    </row>
    <row r="34" spans="1:40" x14ac:dyDescent="0.2">
      <c r="A34" t="s">
        <v>91</v>
      </c>
      <c r="B34" s="16" t="s">
        <v>851</v>
      </c>
      <c r="C34" s="4">
        <f t="shared" ca="1" si="8"/>
        <v>0</v>
      </c>
      <c r="D34" s="4">
        <f t="shared" ca="1" si="8"/>
        <v>32</v>
      </c>
      <c r="E34" s="4">
        <f t="shared" ca="1" si="8"/>
        <v>28</v>
      </c>
      <c r="F34" s="4">
        <f t="shared" ca="1" si="8"/>
        <v>19</v>
      </c>
      <c r="G34" s="4">
        <f t="shared" ca="1" si="8"/>
        <v>28</v>
      </c>
      <c r="H34" s="4">
        <f t="shared" ca="1" si="8"/>
        <v>23</v>
      </c>
      <c r="I34" s="4">
        <f t="shared" ca="1" si="8"/>
        <v>23</v>
      </c>
      <c r="J34" s="8">
        <f t="shared" ca="1" si="9"/>
        <v>0</v>
      </c>
      <c r="K34" s="8">
        <f t="shared" ca="1" si="9"/>
        <v>0</v>
      </c>
      <c r="L34" s="8">
        <f t="shared" ca="1" si="10"/>
        <v>0</v>
      </c>
      <c r="M34" s="8">
        <f t="shared" ca="1" si="10"/>
        <v>0</v>
      </c>
      <c r="N34" s="8">
        <f t="shared" ca="1" si="10"/>
        <v>0</v>
      </c>
      <c r="O34" s="8">
        <f t="shared" ca="1" si="10"/>
        <v>0</v>
      </c>
      <c r="P34" s="4">
        <f t="shared" ca="1" si="10"/>
        <v>0</v>
      </c>
      <c r="Q34" s="8">
        <f t="shared" ca="1" si="10"/>
        <v>0</v>
      </c>
      <c r="R34" s="4">
        <f t="shared" ca="1" si="10"/>
        <v>0</v>
      </c>
      <c r="S34" s="4">
        <f t="shared" ca="1" si="10"/>
        <v>12</v>
      </c>
      <c r="U34" t="str">
        <f t="shared" si="12"/>
        <v>=</v>
      </c>
      <c r="V34" t="s">
        <v>91</v>
      </c>
      <c r="W34" s="16" t="s">
        <v>851</v>
      </c>
      <c r="X34" s="4">
        <f t="shared" ca="1" si="11"/>
        <v>0</v>
      </c>
      <c r="Y34" s="4">
        <f t="shared" ca="1" si="11"/>
        <v>32</v>
      </c>
      <c r="Z34" s="4">
        <f t="shared" ca="1" si="11"/>
        <v>28</v>
      </c>
      <c r="AA34" s="4">
        <f t="shared" ca="1" si="11"/>
        <v>19</v>
      </c>
      <c r="AB34" s="4">
        <f t="shared" ca="1" si="11"/>
        <v>28</v>
      </c>
      <c r="AC34" s="4">
        <f t="shared" ca="1" si="11"/>
        <v>23</v>
      </c>
      <c r="AD34" s="4">
        <f t="shared" ca="1" si="11"/>
        <v>23</v>
      </c>
      <c r="AE34" s="8">
        <f t="shared" ca="1" si="11"/>
        <v>0</v>
      </c>
      <c r="AF34" s="8">
        <f t="shared" ca="1" si="11"/>
        <v>0</v>
      </c>
      <c r="AG34" s="8">
        <f t="shared" ca="1" si="11"/>
        <v>0</v>
      </c>
      <c r="AH34" s="8">
        <f t="shared" ca="1" si="11"/>
        <v>0</v>
      </c>
      <c r="AI34" s="8">
        <f t="shared" ca="1" si="11"/>
        <v>0</v>
      </c>
      <c r="AJ34" s="8">
        <f t="shared" ca="1" si="11"/>
        <v>0</v>
      </c>
      <c r="AK34" s="4">
        <f t="shared" ca="1" si="11"/>
        <v>0</v>
      </c>
      <c r="AL34" s="8">
        <f t="shared" ca="1" si="11"/>
        <v>0</v>
      </c>
      <c r="AM34" s="4">
        <f t="shared" ca="1" si="11"/>
        <v>0</v>
      </c>
      <c r="AN34" s="4">
        <f t="shared" ca="1" si="11"/>
        <v>12</v>
      </c>
    </row>
    <row r="35" spans="1:40" x14ac:dyDescent="0.2">
      <c r="A35" t="s">
        <v>92</v>
      </c>
      <c r="B35" s="16" t="s">
        <v>830</v>
      </c>
      <c r="C35" s="4">
        <f t="shared" ca="1" si="8"/>
        <v>0</v>
      </c>
      <c r="D35" s="4">
        <f t="shared" ca="1" si="8"/>
        <v>11</v>
      </c>
      <c r="E35" s="4">
        <f t="shared" ca="1" si="8"/>
        <v>44</v>
      </c>
      <c r="F35" s="4">
        <f t="shared" ca="1" si="8"/>
        <v>7</v>
      </c>
      <c r="G35" s="4">
        <f t="shared" ca="1" si="8"/>
        <v>32</v>
      </c>
      <c r="H35" s="4">
        <f t="shared" ca="1" si="8"/>
        <v>0</v>
      </c>
      <c r="I35" s="4">
        <f t="shared" ca="1" si="8"/>
        <v>42</v>
      </c>
      <c r="J35" s="8">
        <f t="shared" ca="1" si="9"/>
        <v>0</v>
      </c>
      <c r="K35" s="8">
        <f t="shared" ca="1" si="9"/>
        <v>0</v>
      </c>
      <c r="L35" s="8">
        <f t="shared" ca="1" si="10"/>
        <v>0</v>
      </c>
      <c r="M35" s="8">
        <f t="shared" ca="1" si="10"/>
        <v>0</v>
      </c>
      <c r="N35" s="8">
        <f t="shared" ca="1" si="10"/>
        <v>0</v>
      </c>
      <c r="O35" s="8">
        <f t="shared" ca="1" si="10"/>
        <v>0</v>
      </c>
      <c r="P35" s="4">
        <f t="shared" ca="1" si="10"/>
        <v>0</v>
      </c>
      <c r="Q35" s="8">
        <f t="shared" ca="1" si="10"/>
        <v>0</v>
      </c>
      <c r="R35" s="4">
        <f t="shared" ca="1" si="10"/>
        <v>0</v>
      </c>
      <c r="S35" s="4">
        <f t="shared" ca="1" si="10"/>
        <v>6</v>
      </c>
      <c r="U35" t="str">
        <f t="shared" si="12"/>
        <v>=</v>
      </c>
      <c r="V35" t="s">
        <v>92</v>
      </c>
      <c r="W35" s="16" t="s">
        <v>830</v>
      </c>
      <c r="X35" s="4">
        <f t="shared" ca="1" si="11"/>
        <v>0</v>
      </c>
      <c r="Y35" s="4">
        <f t="shared" ca="1" si="11"/>
        <v>11</v>
      </c>
      <c r="Z35" s="4">
        <f t="shared" ca="1" si="11"/>
        <v>44</v>
      </c>
      <c r="AA35" s="4">
        <f t="shared" ca="1" si="11"/>
        <v>7</v>
      </c>
      <c r="AB35" s="4">
        <f t="shared" ca="1" si="11"/>
        <v>32</v>
      </c>
      <c r="AC35" s="4">
        <f t="shared" ca="1" si="11"/>
        <v>0</v>
      </c>
      <c r="AD35" s="4">
        <f t="shared" ca="1" si="11"/>
        <v>42</v>
      </c>
      <c r="AE35" s="8">
        <f t="shared" ca="1" si="11"/>
        <v>0</v>
      </c>
      <c r="AF35" s="8">
        <f t="shared" ca="1" si="11"/>
        <v>0</v>
      </c>
      <c r="AG35" s="8">
        <f t="shared" ca="1" si="11"/>
        <v>0</v>
      </c>
      <c r="AH35" s="8">
        <f t="shared" ca="1" si="11"/>
        <v>0</v>
      </c>
      <c r="AI35" s="8">
        <f t="shared" ca="1" si="11"/>
        <v>0</v>
      </c>
      <c r="AJ35" s="8">
        <f t="shared" ca="1" si="11"/>
        <v>0</v>
      </c>
      <c r="AK35" s="4">
        <f t="shared" ca="1" si="11"/>
        <v>0</v>
      </c>
      <c r="AL35" s="8">
        <f t="shared" ca="1" si="11"/>
        <v>0</v>
      </c>
      <c r="AM35" s="4">
        <f t="shared" ca="1" si="11"/>
        <v>0</v>
      </c>
      <c r="AN35" s="4">
        <f t="shared" ca="1" si="11"/>
        <v>6</v>
      </c>
    </row>
    <row r="36" spans="1:40" x14ac:dyDescent="0.2">
      <c r="A36" t="s">
        <v>93</v>
      </c>
      <c r="B36" s="16" t="s">
        <v>1239</v>
      </c>
      <c r="C36" s="4">
        <f t="shared" ca="1" si="8"/>
        <v>0</v>
      </c>
      <c r="D36" s="4">
        <f t="shared" ca="1" si="8"/>
        <v>5</v>
      </c>
      <c r="E36" s="4">
        <f t="shared" ca="1" si="8"/>
        <v>5</v>
      </c>
      <c r="F36" s="4">
        <f t="shared" ca="1" si="8"/>
        <v>0</v>
      </c>
      <c r="G36" s="4">
        <f t="shared" ca="1" si="8"/>
        <v>0</v>
      </c>
      <c r="H36" s="4">
        <f t="shared" ca="1" si="8"/>
        <v>0</v>
      </c>
      <c r="I36" s="4">
        <f t="shared" ca="1" si="8"/>
        <v>0</v>
      </c>
      <c r="J36" s="8">
        <f t="shared" ca="1" si="9"/>
        <v>0</v>
      </c>
      <c r="K36" s="8">
        <f t="shared" ca="1" si="9"/>
        <v>0</v>
      </c>
      <c r="L36" s="8">
        <f t="shared" ca="1" si="10"/>
        <v>0</v>
      </c>
      <c r="M36" s="8">
        <f t="shared" ca="1" si="10"/>
        <v>0</v>
      </c>
      <c r="N36" s="8">
        <f t="shared" ca="1" si="10"/>
        <v>0</v>
      </c>
      <c r="O36" s="8">
        <f t="shared" ca="1" si="10"/>
        <v>0</v>
      </c>
      <c r="P36" s="4">
        <f t="shared" ca="1" si="10"/>
        <v>0</v>
      </c>
      <c r="Q36" s="8">
        <f t="shared" ca="1" si="10"/>
        <v>0</v>
      </c>
      <c r="R36" s="4">
        <f t="shared" ca="1" si="10"/>
        <v>0</v>
      </c>
      <c r="S36" s="4">
        <f t="shared" ca="1" si="10"/>
        <v>5</v>
      </c>
      <c r="U36" t="str">
        <f t="shared" si="12"/>
        <v>=</v>
      </c>
      <c r="V36" t="s">
        <v>93</v>
      </c>
      <c r="W36" s="16" t="s">
        <v>1239</v>
      </c>
      <c r="X36" s="4">
        <f t="shared" ca="1" si="11"/>
        <v>0</v>
      </c>
      <c r="Y36" s="4">
        <f t="shared" ca="1" si="11"/>
        <v>5</v>
      </c>
      <c r="Z36" s="4">
        <f t="shared" ca="1" si="11"/>
        <v>5</v>
      </c>
      <c r="AA36" s="4">
        <f t="shared" ca="1" si="11"/>
        <v>0</v>
      </c>
      <c r="AB36" s="4">
        <f t="shared" ca="1" si="11"/>
        <v>0</v>
      </c>
      <c r="AC36" s="4">
        <f t="shared" ca="1" si="11"/>
        <v>0</v>
      </c>
      <c r="AD36" s="4">
        <f t="shared" ca="1" si="11"/>
        <v>0</v>
      </c>
      <c r="AE36" s="8">
        <f t="shared" ca="1" si="11"/>
        <v>0</v>
      </c>
      <c r="AF36" s="8">
        <f t="shared" ca="1" si="11"/>
        <v>0</v>
      </c>
      <c r="AG36" s="8">
        <f t="shared" ca="1" si="11"/>
        <v>0</v>
      </c>
      <c r="AH36" s="8">
        <f t="shared" ca="1" si="11"/>
        <v>0</v>
      </c>
      <c r="AI36" s="8">
        <f t="shared" ca="1" si="11"/>
        <v>0</v>
      </c>
      <c r="AJ36" s="8">
        <f t="shared" ca="1" si="11"/>
        <v>0</v>
      </c>
      <c r="AK36" s="4">
        <f t="shared" ca="1" si="11"/>
        <v>0</v>
      </c>
      <c r="AL36" s="8">
        <f t="shared" ca="1" si="11"/>
        <v>0</v>
      </c>
      <c r="AM36" s="4">
        <f t="shared" ca="1" si="11"/>
        <v>0</v>
      </c>
      <c r="AN36" s="4">
        <f t="shared" ca="1" si="11"/>
        <v>5</v>
      </c>
    </row>
    <row r="37" spans="1:40" x14ac:dyDescent="0.2">
      <c r="A37" t="s">
        <v>93</v>
      </c>
      <c r="B37" s="16" t="s">
        <v>1238</v>
      </c>
      <c r="C37" s="4">
        <f t="shared" ca="1" si="8"/>
        <v>0</v>
      </c>
      <c r="D37" s="4">
        <f t="shared" ca="1" si="8"/>
        <v>3</v>
      </c>
      <c r="E37" s="4">
        <f t="shared" ca="1" si="8"/>
        <v>3</v>
      </c>
      <c r="F37" s="4">
        <f t="shared" ca="1" si="8"/>
        <v>3</v>
      </c>
      <c r="G37" s="4">
        <f t="shared" ca="1" si="8"/>
        <v>3</v>
      </c>
      <c r="H37" s="4">
        <f t="shared" ca="1" si="8"/>
        <v>0</v>
      </c>
      <c r="I37" s="4">
        <f t="shared" ca="1" si="8"/>
        <v>0</v>
      </c>
      <c r="J37" s="8">
        <f t="shared" ca="1" si="9"/>
        <v>0</v>
      </c>
      <c r="K37" s="8">
        <f t="shared" ca="1" si="9"/>
        <v>0.01</v>
      </c>
      <c r="L37" s="8">
        <f t="shared" ca="1" si="10"/>
        <v>0</v>
      </c>
      <c r="M37" s="8">
        <f t="shared" ca="1" si="10"/>
        <v>0</v>
      </c>
      <c r="N37" s="8">
        <f t="shared" ca="1" si="10"/>
        <v>0</v>
      </c>
      <c r="O37" s="8">
        <f t="shared" ca="1" si="10"/>
        <v>0</v>
      </c>
      <c r="P37" s="4">
        <f t="shared" ca="1" si="10"/>
        <v>0</v>
      </c>
      <c r="Q37" s="8">
        <f t="shared" ca="1" si="10"/>
        <v>0</v>
      </c>
      <c r="R37" s="4">
        <f t="shared" ca="1" si="10"/>
        <v>0</v>
      </c>
      <c r="S37" s="4">
        <f t="shared" ca="1" si="10"/>
        <v>5</v>
      </c>
      <c r="U37" t="str">
        <f t="shared" si="12"/>
        <v>=</v>
      </c>
      <c r="V37" t="s">
        <v>93</v>
      </c>
      <c r="W37" s="16" t="s">
        <v>1238</v>
      </c>
      <c r="X37" s="4">
        <f t="shared" ca="1" si="11"/>
        <v>0</v>
      </c>
      <c r="Y37" s="4">
        <f t="shared" ca="1" si="11"/>
        <v>3</v>
      </c>
      <c r="Z37" s="4">
        <f t="shared" ca="1" si="11"/>
        <v>3</v>
      </c>
      <c r="AA37" s="4">
        <f t="shared" ca="1" si="11"/>
        <v>3</v>
      </c>
      <c r="AB37" s="4">
        <f t="shared" ca="1" si="11"/>
        <v>3</v>
      </c>
      <c r="AC37" s="4">
        <f t="shared" ca="1" si="11"/>
        <v>0</v>
      </c>
      <c r="AD37" s="4">
        <f t="shared" ca="1" si="11"/>
        <v>0</v>
      </c>
      <c r="AE37" s="8">
        <f t="shared" ca="1" si="11"/>
        <v>0</v>
      </c>
      <c r="AF37" s="8">
        <f t="shared" ca="1" si="11"/>
        <v>0.01</v>
      </c>
      <c r="AG37" s="8">
        <f t="shared" ca="1" si="11"/>
        <v>0</v>
      </c>
      <c r="AH37" s="8">
        <f t="shared" ca="1" si="11"/>
        <v>0</v>
      </c>
      <c r="AI37" s="8">
        <f t="shared" ca="1" si="11"/>
        <v>0</v>
      </c>
      <c r="AJ37" s="8">
        <f t="shared" ca="1" si="11"/>
        <v>0</v>
      </c>
      <c r="AK37" s="4">
        <f t="shared" ca="1" si="11"/>
        <v>0</v>
      </c>
      <c r="AL37" s="8">
        <f t="shared" ca="1" si="11"/>
        <v>0</v>
      </c>
      <c r="AM37" s="4">
        <f t="shared" ca="1" si="11"/>
        <v>0</v>
      </c>
      <c r="AN37" s="4">
        <f t="shared" ca="1" si="11"/>
        <v>5</v>
      </c>
    </row>
    <row r="38" spans="1:40" x14ac:dyDescent="0.2">
      <c r="A38" t="s">
        <v>94</v>
      </c>
      <c r="B38" s="16" t="s">
        <v>1416</v>
      </c>
      <c r="C38" s="4">
        <f t="shared" ca="1" si="8"/>
        <v>0</v>
      </c>
      <c r="D38" s="4">
        <f t="shared" ca="1" si="8"/>
        <v>0</v>
      </c>
      <c r="E38" s="4">
        <f t="shared" ca="1" si="8"/>
        <v>30</v>
      </c>
      <c r="F38" s="4">
        <f t="shared" ca="1" si="8"/>
        <v>0</v>
      </c>
      <c r="G38" s="4">
        <f t="shared" ca="1" si="8"/>
        <v>0</v>
      </c>
      <c r="H38" s="4">
        <f t="shared" ca="1" si="8"/>
        <v>20</v>
      </c>
      <c r="I38" s="4">
        <f t="shared" ca="1" si="8"/>
        <v>20</v>
      </c>
      <c r="J38" s="8">
        <f t="shared" ca="1" si="9"/>
        <v>0</v>
      </c>
      <c r="K38" s="8">
        <f t="shared" ca="1" si="9"/>
        <v>0</v>
      </c>
      <c r="L38" s="8">
        <f t="shared" ca="1" si="10"/>
        <v>0</v>
      </c>
      <c r="M38" s="8">
        <f t="shared" ca="1" si="10"/>
        <v>0</v>
      </c>
      <c r="N38" s="8">
        <f t="shared" ca="1" si="10"/>
        <v>0</v>
      </c>
      <c r="O38" s="8">
        <f t="shared" ca="1" si="10"/>
        <v>0</v>
      </c>
      <c r="P38" s="4">
        <f t="shared" ca="1" si="10"/>
        <v>0</v>
      </c>
      <c r="Q38" s="8">
        <f t="shared" ca="1" si="10"/>
        <v>0</v>
      </c>
      <c r="R38" s="4">
        <f t="shared" ca="1" si="10"/>
        <v>0</v>
      </c>
      <c r="S38" s="4">
        <f t="shared" ca="1" si="10"/>
        <v>10</v>
      </c>
      <c r="U38" t="str">
        <f t="shared" si="12"/>
        <v>=</v>
      </c>
      <c r="V38" t="s">
        <v>94</v>
      </c>
      <c r="W38" s="16" t="s">
        <v>1416</v>
      </c>
      <c r="X38" s="4">
        <f t="shared" ca="1" si="11"/>
        <v>0</v>
      </c>
      <c r="Y38" s="4">
        <f t="shared" ca="1" si="11"/>
        <v>0</v>
      </c>
      <c r="Z38" s="4">
        <f t="shared" ca="1" si="11"/>
        <v>30</v>
      </c>
      <c r="AA38" s="4">
        <f t="shared" ca="1" si="11"/>
        <v>0</v>
      </c>
      <c r="AB38" s="4">
        <f t="shared" ca="1" si="11"/>
        <v>0</v>
      </c>
      <c r="AC38" s="4">
        <f t="shared" ca="1" si="11"/>
        <v>20</v>
      </c>
      <c r="AD38" s="4">
        <f t="shared" ca="1" si="11"/>
        <v>20</v>
      </c>
      <c r="AE38" s="8">
        <f t="shared" ca="1" si="11"/>
        <v>0</v>
      </c>
      <c r="AF38" s="8">
        <f t="shared" ca="1" si="11"/>
        <v>0</v>
      </c>
      <c r="AG38" s="8">
        <f t="shared" ca="1" si="11"/>
        <v>0</v>
      </c>
      <c r="AH38" s="8">
        <f t="shared" ca="1" si="11"/>
        <v>0</v>
      </c>
      <c r="AI38" s="8">
        <f t="shared" ca="1" si="11"/>
        <v>0</v>
      </c>
      <c r="AJ38" s="8">
        <f t="shared" ca="1" si="11"/>
        <v>0</v>
      </c>
      <c r="AK38" s="4">
        <f t="shared" ca="1" si="11"/>
        <v>0</v>
      </c>
      <c r="AL38" s="8">
        <f t="shared" ca="1" si="11"/>
        <v>0</v>
      </c>
      <c r="AM38" s="4">
        <f t="shared" ca="1" si="11"/>
        <v>0</v>
      </c>
      <c r="AN38" s="4">
        <f t="shared" ca="1" si="11"/>
        <v>10</v>
      </c>
    </row>
    <row r="39" spans="1:40" x14ac:dyDescent="0.2">
      <c r="A39" t="s">
        <v>95</v>
      </c>
      <c r="B39" s="16" t="s">
        <v>1077</v>
      </c>
      <c r="C39" s="4">
        <f t="shared" ca="1" si="8"/>
        <v>0</v>
      </c>
      <c r="D39" s="4">
        <f t="shared" ca="1" si="8"/>
        <v>0</v>
      </c>
      <c r="E39" s="4">
        <f t="shared" ca="1" si="8"/>
        <v>0</v>
      </c>
      <c r="F39" s="4">
        <f t="shared" ca="1" si="8"/>
        <v>0</v>
      </c>
      <c r="G39" s="4">
        <f t="shared" ca="1" si="8"/>
        <v>0</v>
      </c>
      <c r="H39" s="4">
        <f t="shared" ca="1" si="8"/>
        <v>0</v>
      </c>
      <c r="I39" s="4">
        <f t="shared" ca="1" si="8"/>
        <v>2</v>
      </c>
      <c r="J39" s="8">
        <f t="shared" ca="1" si="9"/>
        <v>0</v>
      </c>
      <c r="K39" s="8">
        <f t="shared" ca="1" si="9"/>
        <v>0</v>
      </c>
      <c r="L39" s="8">
        <f t="shared" ca="1" si="10"/>
        <v>0.02</v>
      </c>
      <c r="M39" s="8">
        <f t="shared" ca="1" si="10"/>
        <v>0.02</v>
      </c>
      <c r="N39" s="8">
        <f t="shared" ca="1" si="10"/>
        <v>0</v>
      </c>
      <c r="O39" s="8">
        <f t="shared" ca="1" si="10"/>
        <v>0</v>
      </c>
      <c r="P39" s="4">
        <f t="shared" ca="1" si="10"/>
        <v>0</v>
      </c>
      <c r="Q39" s="8">
        <f t="shared" ca="1" si="10"/>
        <v>0</v>
      </c>
      <c r="R39" s="4">
        <f t="shared" ca="1" si="10"/>
        <v>0</v>
      </c>
      <c r="S39" s="4">
        <f t="shared" ca="1" si="10"/>
        <v>0</v>
      </c>
      <c r="U39" t="str">
        <f t="shared" si="12"/>
        <v>=</v>
      </c>
      <c r="V39" t="s">
        <v>95</v>
      </c>
      <c r="W39" s="16" t="s">
        <v>1077</v>
      </c>
      <c r="X39" s="4">
        <f t="shared" ca="1" si="11"/>
        <v>0</v>
      </c>
      <c r="Y39" s="4">
        <f t="shared" ca="1" si="11"/>
        <v>0</v>
      </c>
      <c r="Z39" s="4">
        <f t="shared" ca="1" si="11"/>
        <v>0</v>
      </c>
      <c r="AA39" s="4">
        <f t="shared" ca="1" si="11"/>
        <v>0</v>
      </c>
      <c r="AB39" s="4">
        <f t="shared" ca="1" si="11"/>
        <v>0</v>
      </c>
      <c r="AC39" s="4">
        <f t="shared" ca="1" si="11"/>
        <v>0</v>
      </c>
      <c r="AD39" s="4">
        <f t="shared" ca="1" si="11"/>
        <v>2</v>
      </c>
      <c r="AE39" s="8">
        <f t="shared" ca="1" si="11"/>
        <v>0</v>
      </c>
      <c r="AF39" s="8">
        <f t="shared" ca="1" si="11"/>
        <v>0</v>
      </c>
      <c r="AG39" s="8">
        <f t="shared" ca="1" si="11"/>
        <v>0.02</v>
      </c>
      <c r="AH39" s="8">
        <f t="shared" ca="1" si="11"/>
        <v>0.02</v>
      </c>
      <c r="AI39" s="8">
        <f t="shared" ca="1" si="11"/>
        <v>0</v>
      </c>
      <c r="AJ39" s="8">
        <f t="shared" ca="1" si="11"/>
        <v>0</v>
      </c>
      <c r="AK39" s="4">
        <f t="shared" ca="1" si="11"/>
        <v>0</v>
      </c>
      <c r="AL39" s="8">
        <f t="shared" ca="1" si="11"/>
        <v>0</v>
      </c>
      <c r="AM39" s="4">
        <f t="shared" ca="1" si="11"/>
        <v>0</v>
      </c>
      <c r="AN39" s="4">
        <f t="shared" ca="1" si="11"/>
        <v>0</v>
      </c>
    </row>
    <row r="40" spans="1:40" x14ac:dyDescent="0.2">
      <c r="A40" t="s">
        <v>96</v>
      </c>
      <c r="B40" s="16" t="s">
        <v>1439</v>
      </c>
      <c r="C40" s="4">
        <f t="shared" ca="1" si="8"/>
        <v>0</v>
      </c>
      <c r="D40" s="4">
        <f t="shared" ca="1" si="8"/>
        <v>40</v>
      </c>
      <c r="E40" s="4">
        <f t="shared" ca="1" si="8"/>
        <v>7</v>
      </c>
      <c r="F40" s="4">
        <f t="shared" ca="1" si="8"/>
        <v>13</v>
      </c>
      <c r="G40" s="4">
        <f t="shared" ca="1" si="8"/>
        <v>19</v>
      </c>
      <c r="H40" s="4">
        <f t="shared" ca="1" si="8"/>
        <v>20</v>
      </c>
      <c r="I40" s="4">
        <f t="shared" ca="1" si="8"/>
        <v>30</v>
      </c>
      <c r="J40" s="8">
        <f t="shared" ca="1" si="9"/>
        <v>0</v>
      </c>
      <c r="K40" s="8">
        <f t="shared" ca="1" si="9"/>
        <v>0</v>
      </c>
      <c r="L40" s="8">
        <f t="shared" ca="1" si="10"/>
        <v>0</v>
      </c>
      <c r="M40" s="8">
        <f t="shared" ca="1" si="10"/>
        <v>0</v>
      </c>
      <c r="N40" s="8">
        <f t="shared" ca="1" si="10"/>
        <v>0</v>
      </c>
      <c r="O40" s="8">
        <f t="shared" ca="1" si="10"/>
        <v>0</v>
      </c>
      <c r="P40" s="4">
        <f t="shared" ca="1" si="10"/>
        <v>0</v>
      </c>
      <c r="Q40" s="8">
        <f t="shared" ca="1" si="10"/>
        <v>0</v>
      </c>
      <c r="R40" s="4">
        <f t="shared" ca="1" si="10"/>
        <v>0</v>
      </c>
      <c r="S40" s="4">
        <f t="shared" ca="1" si="10"/>
        <v>10</v>
      </c>
      <c r="U40" t="str">
        <f t="shared" si="12"/>
        <v>=</v>
      </c>
      <c r="V40" t="s">
        <v>96</v>
      </c>
      <c r="W40" s="16" t="s">
        <v>1439</v>
      </c>
      <c r="X40" s="4">
        <f t="shared" ca="1" si="11"/>
        <v>0</v>
      </c>
      <c r="Y40" s="4">
        <f t="shared" ca="1" si="11"/>
        <v>40</v>
      </c>
      <c r="Z40" s="4">
        <f t="shared" ca="1" si="11"/>
        <v>7</v>
      </c>
      <c r="AA40" s="4">
        <f t="shared" ca="1" si="11"/>
        <v>13</v>
      </c>
      <c r="AB40" s="4">
        <f t="shared" ca="1" si="11"/>
        <v>19</v>
      </c>
      <c r="AC40" s="4">
        <f t="shared" ca="1" si="11"/>
        <v>20</v>
      </c>
      <c r="AD40" s="4">
        <f t="shared" ca="1" si="11"/>
        <v>30</v>
      </c>
      <c r="AE40" s="8">
        <f t="shared" ca="1" si="11"/>
        <v>0</v>
      </c>
      <c r="AF40" s="8">
        <f t="shared" ca="1" si="11"/>
        <v>0</v>
      </c>
      <c r="AG40" s="8">
        <f t="shared" ca="1" si="11"/>
        <v>0</v>
      </c>
      <c r="AH40" s="8">
        <f t="shared" ca="1" si="11"/>
        <v>0</v>
      </c>
      <c r="AI40" s="8">
        <f t="shared" ca="1" si="11"/>
        <v>0</v>
      </c>
      <c r="AJ40" s="8">
        <f t="shared" ca="1" si="11"/>
        <v>0</v>
      </c>
      <c r="AK40" s="4">
        <f t="shared" ca="1" si="11"/>
        <v>0</v>
      </c>
      <c r="AL40" s="8">
        <f t="shared" ca="1" si="11"/>
        <v>0</v>
      </c>
      <c r="AM40" s="4">
        <f t="shared" ca="1" si="11"/>
        <v>0</v>
      </c>
      <c r="AN40" s="4">
        <f t="shared" ca="1" si="11"/>
        <v>10</v>
      </c>
    </row>
    <row r="41" spans="1:40" x14ac:dyDescent="0.2">
      <c r="A41" t="s">
        <v>97</v>
      </c>
      <c r="B41" s="16" t="s">
        <v>1003</v>
      </c>
      <c r="C41" s="4">
        <f t="shared" ca="1" si="8"/>
        <v>0</v>
      </c>
      <c r="D41" s="4">
        <f t="shared" ca="1" si="8"/>
        <v>17</v>
      </c>
      <c r="E41" s="4">
        <f t="shared" ca="1" si="8"/>
        <v>20</v>
      </c>
      <c r="F41" s="4">
        <f t="shared" ca="1" si="8"/>
        <v>26</v>
      </c>
      <c r="G41" s="4">
        <f t="shared" ca="1" si="8"/>
        <v>17</v>
      </c>
      <c r="H41" s="4">
        <f t="shared" ca="1" si="8"/>
        <v>12</v>
      </c>
      <c r="I41" s="4">
        <f t="shared" ca="1" si="8"/>
        <v>12</v>
      </c>
      <c r="J41" s="8">
        <f t="shared" ca="1" si="9"/>
        <v>0</v>
      </c>
      <c r="K41" s="8">
        <f t="shared" ca="1" si="9"/>
        <v>0</v>
      </c>
      <c r="L41" s="8">
        <f t="shared" ca="1" si="10"/>
        <v>0</v>
      </c>
      <c r="M41" s="8">
        <f t="shared" ca="1" si="10"/>
        <v>0</v>
      </c>
      <c r="N41" s="8">
        <f t="shared" ca="1" si="10"/>
        <v>0</v>
      </c>
      <c r="O41" s="8">
        <f t="shared" ca="1" si="10"/>
        <v>0.04</v>
      </c>
      <c r="P41" s="4">
        <f t="shared" ca="1" si="10"/>
        <v>0</v>
      </c>
      <c r="Q41" s="8">
        <f t="shared" ca="1" si="10"/>
        <v>0</v>
      </c>
      <c r="R41" s="4">
        <f t="shared" ca="1" si="10"/>
        <v>0</v>
      </c>
      <c r="S41" s="4">
        <f t="shared" ca="1" si="10"/>
        <v>5</v>
      </c>
      <c r="U41" t="str">
        <f t="shared" si="12"/>
        <v>=</v>
      </c>
      <c r="V41" t="s">
        <v>97</v>
      </c>
      <c r="W41" s="16" t="s">
        <v>1003</v>
      </c>
      <c r="X41" s="4">
        <f t="shared" ca="1" si="11"/>
        <v>0</v>
      </c>
      <c r="Y41" s="4">
        <f t="shared" ca="1" si="11"/>
        <v>17</v>
      </c>
      <c r="Z41" s="4">
        <f t="shared" ca="1" si="11"/>
        <v>20</v>
      </c>
      <c r="AA41" s="4">
        <f t="shared" ca="1" si="11"/>
        <v>26</v>
      </c>
      <c r="AB41" s="4">
        <f t="shared" ca="1" si="11"/>
        <v>17</v>
      </c>
      <c r="AC41" s="4">
        <f t="shared" ca="1" si="11"/>
        <v>12</v>
      </c>
      <c r="AD41" s="4">
        <f t="shared" ca="1" si="11"/>
        <v>12</v>
      </c>
      <c r="AE41" s="8">
        <f t="shared" ca="1" si="11"/>
        <v>0</v>
      </c>
      <c r="AF41" s="8">
        <f t="shared" ca="1" si="11"/>
        <v>0</v>
      </c>
      <c r="AG41" s="8">
        <f t="shared" ca="1" si="11"/>
        <v>0</v>
      </c>
      <c r="AH41" s="8">
        <f t="shared" ca="1" si="11"/>
        <v>0</v>
      </c>
      <c r="AI41" s="8">
        <f t="shared" ca="1" si="11"/>
        <v>0</v>
      </c>
      <c r="AJ41" s="8">
        <f t="shared" ca="1" si="11"/>
        <v>0.04</v>
      </c>
      <c r="AK41" s="4">
        <f t="shared" ca="1" si="11"/>
        <v>0</v>
      </c>
      <c r="AL41" s="8">
        <f t="shared" ca="1" si="11"/>
        <v>0</v>
      </c>
      <c r="AM41" s="4">
        <f t="shared" ca="1" si="11"/>
        <v>0</v>
      </c>
      <c r="AN41" s="4">
        <f t="shared" ca="1" si="11"/>
        <v>5</v>
      </c>
    </row>
    <row r="42" spans="1:40" x14ac:dyDescent="0.2">
      <c r="A42" t="s">
        <v>98</v>
      </c>
      <c r="B42" s="174"/>
      <c r="C42" s="4">
        <f t="shared" ref="C42:S42" si="13">SUMIF(INDEX(SetBonusLookup, 0, 1), "="&amp;C26, INDEX(SetBonusLookup, 0, MATCH("SoulSet1Gear", INDEX(SetBonusLookup, 1, 0), 0)))</f>
        <v>0</v>
      </c>
      <c r="D42" s="4">
        <f t="shared" si="13"/>
        <v>0</v>
      </c>
      <c r="E42" s="4">
        <f t="shared" si="13"/>
        <v>0</v>
      </c>
      <c r="F42" s="4">
        <f t="shared" si="13"/>
        <v>0</v>
      </c>
      <c r="G42" s="4">
        <f t="shared" si="13"/>
        <v>0</v>
      </c>
      <c r="H42" s="4">
        <f t="shared" si="13"/>
        <v>0</v>
      </c>
      <c r="I42" s="4">
        <f t="shared" ca="1" si="13"/>
        <v>0</v>
      </c>
      <c r="J42" s="96">
        <f t="shared" si="13"/>
        <v>0</v>
      </c>
      <c r="K42" s="96">
        <f t="shared" ca="1" si="13"/>
        <v>0</v>
      </c>
      <c r="L42" s="96">
        <f t="shared" si="13"/>
        <v>0</v>
      </c>
      <c r="M42" s="96">
        <f t="shared" si="13"/>
        <v>0</v>
      </c>
      <c r="N42" s="96">
        <f t="shared" si="13"/>
        <v>0</v>
      </c>
      <c r="O42" s="96">
        <f t="shared" ca="1" si="13"/>
        <v>0</v>
      </c>
      <c r="P42" s="4">
        <f t="shared" si="13"/>
        <v>0</v>
      </c>
      <c r="Q42" s="96">
        <f t="shared" si="13"/>
        <v>0</v>
      </c>
      <c r="R42" s="4">
        <f t="shared" si="13"/>
        <v>0</v>
      </c>
      <c r="S42" s="4">
        <f t="shared" si="13"/>
        <v>0</v>
      </c>
      <c r="U42" t="str">
        <f ca="1">IF(AND(C42=X42,D42=Y42,E42=Z42,F42=AA42,G42=AB42,H42=AC42,I42=AD42,J42=AE42,K42=AF42,L42=AG42,M42=AH42,N42=AI42,O42=AJ42,P42=AK42,Q42=AL42,R42=AM42, S42=AN42),"=","-")</f>
        <v>=</v>
      </c>
      <c r="V42" t="s">
        <v>98</v>
      </c>
      <c r="W42" s="174"/>
      <c r="X42" s="4">
        <f t="shared" ref="X42:AN42" si="14">SUMIF(INDEX(SetBonusLookup, 0, 1), "="&amp;X26, INDEX(SetBonusLookup, 0, MATCH("SoulSet2Gear", INDEX(SetBonusLookup, 1, 0), 0)))</f>
        <v>0</v>
      </c>
      <c r="Y42" s="4">
        <f t="shared" si="14"/>
        <v>0</v>
      </c>
      <c r="Z42" s="4">
        <f t="shared" si="14"/>
        <v>0</v>
      </c>
      <c r="AA42" s="4">
        <f t="shared" si="14"/>
        <v>0</v>
      </c>
      <c r="AB42" s="4">
        <f t="shared" si="14"/>
        <v>0</v>
      </c>
      <c r="AC42" s="4">
        <f t="shared" si="14"/>
        <v>0</v>
      </c>
      <c r="AD42" s="4">
        <f t="shared" ca="1" si="14"/>
        <v>0</v>
      </c>
      <c r="AE42" s="96">
        <f t="shared" si="14"/>
        <v>0</v>
      </c>
      <c r="AF42" s="96">
        <f t="shared" ca="1" si="14"/>
        <v>0</v>
      </c>
      <c r="AG42" s="96">
        <f t="shared" si="14"/>
        <v>0</v>
      </c>
      <c r="AH42" s="96">
        <f t="shared" si="14"/>
        <v>0</v>
      </c>
      <c r="AI42" s="96">
        <f t="shared" si="14"/>
        <v>0</v>
      </c>
      <c r="AJ42" s="96">
        <f t="shared" ca="1" si="14"/>
        <v>0</v>
      </c>
      <c r="AK42" s="4">
        <f t="shared" si="14"/>
        <v>0</v>
      </c>
      <c r="AL42" s="96">
        <f t="shared" si="14"/>
        <v>0</v>
      </c>
      <c r="AM42" s="4">
        <f t="shared" si="14"/>
        <v>0</v>
      </c>
      <c r="AN42" s="4">
        <f t="shared" si="14"/>
        <v>0</v>
      </c>
    </row>
    <row r="43" spans="1:40" x14ac:dyDescent="0.2">
      <c r="A43" t="s">
        <v>473</v>
      </c>
      <c r="B43" s="1" t="str">
        <f>IF(COUNTBLANK(C43:S43)=17,"","Active!")</f>
        <v/>
      </c>
      <c r="C43" s="17"/>
      <c r="D43" s="17"/>
      <c r="E43" s="17"/>
      <c r="F43" s="17"/>
      <c r="G43" s="17"/>
      <c r="H43" s="17"/>
      <c r="I43" s="17"/>
      <c r="J43" s="17"/>
      <c r="K43" s="18"/>
      <c r="L43" s="18"/>
      <c r="M43" s="18"/>
      <c r="N43" s="18"/>
      <c r="O43" s="18"/>
      <c r="P43" s="19"/>
      <c r="Q43" s="19"/>
      <c r="R43" s="19"/>
      <c r="S43" s="17"/>
      <c r="U43" t="str">
        <f>IF(AND(C43=X43,D43=Y43,E43=Z43,F43=AA43,G43=AB43,H43=AC43,I43=AD43,J43=AE43,K43=AF43,L43=AG43,M43=AH43,N43=AI43,O43=AJ43,P43=AK43,Q43=AL43,R43=AM43, S43=AN43),"=","-")</f>
        <v>=</v>
      </c>
      <c r="V43" t="s">
        <v>473</v>
      </c>
      <c r="X43" s="17"/>
      <c r="Y43" s="17"/>
      <c r="Z43" s="17"/>
      <c r="AA43" s="17"/>
      <c r="AB43" s="17"/>
      <c r="AC43" s="17"/>
      <c r="AD43" s="17"/>
      <c r="AE43" s="17"/>
      <c r="AF43" s="18"/>
      <c r="AG43" s="18"/>
      <c r="AH43" s="18"/>
      <c r="AI43" s="18"/>
      <c r="AJ43" s="18"/>
      <c r="AK43" s="19"/>
      <c r="AL43" s="19"/>
      <c r="AM43" s="19"/>
      <c r="AN43" s="17"/>
    </row>
    <row r="44" spans="1:40" x14ac:dyDescent="0.2">
      <c r="K44" s="8"/>
      <c r="L44" s="8"/>
      <c r="M44" s="8"/>
      <c r="N44" s="8"/>
      <c r="O44" s="8"/>
      <c r="P44" s="8"/>
      <c r="Q44" s="8"/>
      <c r="R44" s="8"/>
      <c r="AF44" s="8"/>
      <c r="AG44" s="8"/>
      <c r="AH44" s="8"/>
      <c r="AI44" s="8"/>
      <c r="AJ44" s="8"/>
      <c r="AK44" s="8"/>
      <c r="AL44" s="8"/>
      <c r="AM44" s="8"/>
    </row>
    <row r="45" spans="1:40" x14ac:dyDescent="0.2">
      <c r="A45" t="s">
        <v>99</v>
      </c>
      <c r="C45" s="4">
        <f t="shared" ref="C45:J45" ca="1" si="15">IF($B34="Onca Suit",SUM(C27:C43)-SUM(C35,C40,C41),SUM(C27:C43))</f>
        <v>265</v>
      </c>
      <c r="D45" s="4">
        <f t="shared" ca="1" si="15"/>
        <v>140</v>
      </c>
      <c r="E45" s="4">
        <f t="shared" ca="1" si="15"/>
        <v>185</v>
      </c>
      <c r="F45" s="4">
        <f t="shared" ca="1" si="15"/>
        <v>84</v>
      </c>
      <c r="G45" s="4">
        <f t="shared" ca="1" si="15"/>
        <v>123</v>
      </c>
      <c r="H45" s="4">
        <f t="shared" ca="1" si="15"/>
        <v>115</v>
      </c>
      <c r="I45" s="4">
        <f t="shared" ca="1" si="15"/>
        <v>234</v>
      </c>
      <c r="J45" s="8">
        <f t="shared" ca="1" si="15"/>
        <v>0</v>
      </c>
      <c r="K45" s="8">
        <f t="shared" ref="K45:O45" ca="1" si="16">IF($B34="Onca Suit",SUM(K27:K43)-SUM(K35,K40,K41),SUM(K27:K43))</f>
        <v>0.04</v>
      </c>
      <c r="L45" s="8">
        <f t="shared" ca="1" si="16"/>
        <v>0.06</v>
      </c>
      <c r="M45" s="8">
        <f t="shared" ca="1" si="16"/>
        <v>0.02</v>
      </c>
      <c r="N45" s="8">
        <f t="shared" ca="1" si="16"/>
        <v>0</v>
      </c>
      <c r="O45" s="8">
        <f t="shared" ca="1" si="16"/>
        <v>0.04</v>
      </c>
      <c r="P45" s="4">
        <f ca="1">IF($B34="Onca Suit",SUM(P27:P43)-SUM(P35,P40,P41),SUM(P27:P43))</f>
        <v>0</v>
      </c>
      <c r="Q45" s="8">
        <f ca="1">IF($B34="Onca Suit",SUM(Q27:Q43)-SUM(Q35,Q40,Q41),SUM(Q27:Q43))</f>
        <v>0</v>
      </c>
      <c r="R45" s="4">
        <f ca="1">IF($B34="Onca Suit",SUM(R27:R43)-SUM(R35,R40,R41),SUM(R27:R43))</f>
        <v>0</v>
      </c>
      <c r="S45" s="4">
        <f ca="1">IF($B34="Onca Suit",SUM(S27:S43)-SUM(S35,S40,S41),SUM(S27:S43))</f>
        <v>77</v>
      </c>
      <c r="V45" t="s">
        <v>99</v>
      </c>
      <c r="X45" s="4">
        <f ca="1">IF($X34="Onca Suit",SUM(X27:X43)-SUM(X35,X40,X41),SUM(X27:X43))</f>
        <v>265</v>
      </c>
      <c r="Y45" s="4">
        <f t="shared" ref="Y45:AN45" ca="1" si="17">IF($X34="Onca Suit",SUM(Y27:Y43)-SUM(Y35,Y40,Y41),SUM(Y27:Y43))</f>
        <v>140</v>
      </c>
      <c r="Z45" s="4">
        <f t="shared" ca="1" si="17"/>
        <v>185</v>
      </c>
      <c r="AA45" s="4">
        <f t="shared" ca="1" si="17"/>
        <v>84</v>
      </c>
      <c r="AB45" s="4">
        <f t="shared" ca="1" si="17"/>
        <v>123</v>
      </c>
      <c r="AC45" s="4">
        <f t="shared" ca="1" si="17"/>
        <v>115</v>
      </c>
      <c r="AD45" s="4">
        <f t="shared" ca="1" si="17"/>
        <v>234</v>
      </c>
      <c r="AE45" s="8">
        <f t="shared" ca="1" si="17"/>
        <v>0</v>
      </c>
      <c r="AF45" s="8">
        <f t="shared" ca="1" si="17"/>
        <v>0.04</v>
      </c>
      <c r="AG45" s="8">
        <f t="shared" ca="1" si="17"/>
        <v>0.06</v>
      </c>
      <c r="AH45" s="8">
        <f t="shared" ca="1" si="17"/>
        <v>0.02</v>
      </c>
      <c r="AI45" s="8">
        <f t="shared" ca="1" si="17"/>
        <v>0</v>
      </c>
      <c r="AJ45" s="8">
        <f ca="1">IF($X34="Onca Suit",SUM(AJ27:AJ43)-SUM(AJ35,AJ40,AJ41),SUM(AJ27:AJ43))</f>
        <v>0.04</v>
      </c>
      <c r="AK45" s="4">
        <f t="shared" ca="1" si="17"/>
        <v>0</v>
      </c>
      <c r="AL45" s="8">
        <f ca="1">IF($X34="Onca Suit",SUM(AL27:AL43)-SUM(AL35,AL40,AL41),SUM(AL27:AL43))</f>
        <v>0</v>
      </c>
      <c r="AM45" s="4">
        <f t="shared" ca="1" si="17"/>
        <v>0</v>
      </c>
      <c r="AN45" s="4">
        <f t="shared" ca="1" si="17"/>
        <v>77</v>
      </c>
    </row>
    <row r="46" spans="1:40" x14ac:dyDescent="0.2">
      <c r="A46" t="s">
        <v>1340</v>
      </c>
      <c r="B46" s="13">
        <f ca="1">Data!L154</f>
        <v>1600.9931577424022</v>
      </c>
      <c r="V46" t="s">
        <v>1340</v>
      </c>
      <c r="W46" s="13">
        <f ca="1">Data!M154</f>
        <v>1600.9931577424022</v>
      </c>
    </row>
    <row r="47" spans="1:40" x14ac:dyDescent="0.2">
      <c r="A47" t="s">
        <v>1341</v>
      </c>
      <c r="B47" s="13">
        <f ca="1">Data!L163</f>
        <v>2348.172730020096</v>
      </c>
      <c r="V47" t="s">
        <v>1341</v>
      </c>
      <c r="W47" s="13">
        <f ca="1">Data!M163</f>
        <v>2348.172730020096</v>
      </c>
    </row>
    <row r="48" spans="1:40" x14ac:dyDescent="0.2">
      <c r="B48" s="13"/>
      <c r="W48" s="13"/>
    </row>
    <row r="49" spans="1:23" x14ac:dyDescent="0.2">
      <c r="A49" s="1" t="s">
        <v>106</v>
      </c>
      <c r="B49" s="14">
        <f ca="1">Data!D195</f>
        <v>1905.3524592409435</v>
      </c>
      <c r="V49" s="1" t="s">
        <v>106</v>
      </c>
      <c r="W49" s="12">
        <f ca="1">Data!E195</f>
        <v>1913.9892151149354</v>
      </c>
    </row>
  </sheetData>
  <sheetProtection sheet="1" objects="1" scenarios="1"/>
  <phoneticPr fontId="6" type="noConversion"/>
  <conditionalFormatting sqref="U29:U43 U3:U19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2">
    <dataValidation type="list" allowBlank="1" showErrorMessage="1" sqref="B29 W29 W5 B5" xr:uid="{00000000-0002-0000-0300-000000000000}">
      <formula1>AmmoList</formula1>
      <formula2>0</formula2>
    </dataValidation>
    <dataValidation type="list" allowBlank="1" showErrorMessage="1" sqref="B30 W30 W6 B6" xr:uid="{00000000-0002-0000-0300-000001000000}">
      <formula1>HeadList</formula1>
      <formula2>0</formula2>
    </dataValidation>
    <dataValidation type="list" allowBlank="1" showErrorMessage="1" sqref="B31 W31 W7 B7" xr:uid="{00000000-0002-0000-0300-000002000000}">
      <formula1>NeckList</formula1>
      <formula2>0</formula2>
    </dataValidation>
    <dataValidation type="list" allowBlank="1" showErrorMessage="1" sqref="B32:B33 W32:W33 W8:W9 B8:B9" xr:uid="{00000000-0002-0000-0300-000003000000}">
      <formula1>EarringList</formula1>
      <formula2>0</formula2>
    </dataValidation>
    <dataValidation type="list" allowBlank="1" showErrorMessage="1" sqref="B34 W34 W10 B10" xr:uid="{00000000-0002-0000-0300-000004000000}">
      <formula1>BodyList</formula1>
      <formula2>0</formula2>
    </dataValidation>
    <dataValidation type="list" allowBlank="1" showErrorMessage="1" sqref="B35 W35 W11 B11" xr:uid="{00000000-0002-0000-0300-000005000000}">
      <formula1>HandsList</formula1>
      <formula2>0</formula2>
    </dataValidation>
    <dataValidation type="list" allowBlank="1" showErrorMessage="1" sqref="B36:B37 W36:W37 W12:W13 B12:B13" xr:uid="{00000000-0002-0000-0300-000006000000}">
      <formula1>RingList</formula1>
      <formula2>0</formula2>
    </dataValidation>
    <dataValidation type="list" allowBlank="1" showErrorMessage="1" sqref="B38 W38 W14 B14" xr:uid="{00000000-0002-0000-0300-000007000000}">
      <formula1>BackList</formula1>
      <formula2>0</formula2>
    </dataValidation>
    <dataValidation type="list" allowBlank="1" showErrorMessage="1" sqref="B39 W39 W15 B15" xr:uid="{00000000-0002-0000-0300-000008000000}">
      <formula1>WaistList</formula1>
      <formula2>0</formula2>
    </dataValidation>
    <dataValidation type="list" allowBlank="1" showErrorMessage="1" sqref="B40 W40 W16 B16" xr:uid="{00000000-0002-0000-0300-000009000000}">
      <formula1>LegsList</formula1>
      <formula2>0</formula2>
    </dataValidation>
    <dataValidation type="list" allowBlank="1" showErrorMessage="1" sqref="W41 B41 B17 W17" xr:uid="{00000000-0002-0000-0300-00000A000000}">
      <formula1>FeetList</formula1>
      <formula2>0</formula2>
    </dataValidation>
    <dataValidation type="list" allowBlank="1" showErrorMessage="1" sqref="B28 W28" xr:uid="{00000000-0002-0000-0300-00000B000000}">
      <formula1>GripList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CCFFCC"/>
  </sheetPr>
  <dimension ref="A1:T41"/>
  <sheetViews>
    <sheetView workbookViewId="0">
      <selection activeCell="L42" sqref="L42"/>
    </sheetView>
  </sheetViews>
  <sheetFormatPr defaultRowHeight="12.75" x14ac:dyDescent="0.2"/>
  <cols>
    <col min="1" max="1" width="15.42578125" style="267" bestFit="1" customWidth="1"/>
    <col min="2" max="2" width="22" style="267" bestFit="1" customWidth="1"/>
    <col min="3" max="6" width="7.140625" style="267" customWidth="1"/>
    <col min="7" max="7" width="9.140625" style="267"/>
    <col min="8" max="8" width="15.42578125" style="267" bestFit="1" customWidth="1"/>
    <col min="9" max="9" width="22" style="267" bestFit="1" customWidth="1"/>
    <col min="10" max="13" width="7.140625" style="267" customWidth="1"/>
    <col min="14" max="14" width="9.140625" style="267"/>
    <col min="15" max="15" width="17.85546875" style="267" customWidth="1"/>
    <col min="16" max="17" width="15.5703125" style="267" bestFit="1" customWidth="1"/>
    <col min="18" max="16384" width="9.140625" style="267"/>
  </cols>
  <sheetData>
    <row r="1" spans="1:20" x14ac:dyDescent="0.2">
      <c r="A1" s="266" t="s">
        <v>1581</v>
      </c>
      <c r="B1" s="266"/>
      <c r="H1" s="266" t="s">
        <v>1582</v>
      </c>
      <c r="I1" s="266"/>
    </row>
    <row r="2" spans="1:20" x14ac:dyDescent="0.2">
      <c r="A2" s="266" t="s">
        <v>70</v>
      </c>
      <c r="B2" s="266" t="s">
        <v>71</v>
      </c>
      <c r="C2" s="266" t="s">
        <v>297</v>
      </c>
      <c r="D2" s="266" t="s">
        <v>1545</v>
      </c>
      <c r="E2" s="266" t="s">
        <v>1547</v>
      </c>
      <c r="F2" s="266" t="s">
        <v>1546</v>
      </c>
      <c r="H2" s="266" t="s">
        <v>70</v>
      </c>
      <c r="I2" s="266" t="s">
        <v>71</v>
      </c>
      <c r="J2" s="266" t="s">
        <v>297</v>
      </c>
      <c r="K2" s="266" t="s">
        <v>1545</v>
      </c>
      <c r="L2" s="266" t="s">
        <v>1547</v>
      </c>
      <c r="M2" s="266" t="s">
        <v>1546</v>
      </c>
      <c r="O2" s="266" t="s">
        <v>1601</v>
      </c>
      <c r="P2" s="266" t="s">
        <v>0</v>
      </c>
      <c r="Q2" s="266" t="s">
        <v>1</v>
      </c>
    </row>
    <row r="3" spans="1:20" x14ac:dyDescent="0.2">
      <c r="A3" s="266" t="s">
        <v>88</v>
      </c>
      <c r="B3" s="273" t="s">
        <v>687</v>
      </c>
      <c r="C3" s="267">
        <f t="shared" ref="C3:F14" si="0">IF(ISBLANK($B3),0,VLOOKUP($B3,WyvernGear,MATCH(C$2,WyvernHeader,0),0))</f>
        <v>0</v>
      </c>
      <c r="D3" s="269">
        <f t="shared" si="0"/>
        <v>0</v>
      </c>
      <c r="E3" s="267">
        <f t="shared" si="0"/>
        <v>56</v>
      </c>
      <c r="F3" s="267">
        <f>IF(ISBLANK($B3),0,VLOOKUP($B3,WyvernGear,MATCH(F$2,WyvernHeader,0),0)) + IF(RIGHT($B3,8)="(Custom)",$P$17,0)</f>
        <v>0</v>
      </c>
      <c r="H3" s="266" t="s">
        <v>88</v>
      </c>
      <c r="I3" s="273" t="s">
        <v>687</v>
      </c>
      <c r="J3" s="267">
        <f t="shared" ref="J3:M14" si="1">IF(ISBLANK($I3),0,VLOOKUP($I3,WyvernGear,MATCH(J$2,WyvernHeader,0),0))</f>
        <v>0</v>
      </c>
      <c r="K3" s="269">
        <f t="shared" si="1"/>
        <v>0</v>
      </c>
      <c r="L3" s="267">
        <f t="shared" si="1"/>
        <v>56</v>
      </c>
      <c r="M3" s="267">
        <f>IF(ISBLANK($I3),0,VLOOKUP($I3,WyvernGear,MATCH(M$2,WyvernHeader,0),0)) + IF(RIGHT($I3,8)="(Custom)",$Q$17,0)</f>
        <v>0</v>
      </c>
      <c r="O3" s="266" t="s">
        <v>1602</v>
      </c>
    </row>
    <row r="4" spans="1:20" x14ac:dyDescent="0.2">
      <c r="A4" s="266" t="s">
        <v>89</v>
      </c>
      <c r="B4" s="273" t="s">
        <v>1046</v>
      </c>
      <c r="C4" s="267">
        <f t="shared" si="0"/>
        <v>0</v>
      </c>
      <c r="D4" s="269">
        <f t="shared" si="0"/>
        <v>0</v>
      </c>
      <c r="E4" s="267">
        <f t="shared" si="0"/>
        <v>5</v>
      </c>
      <c r="F4" s="267">
        <f t="shared" si="0"/>
        <v>0</v>
      </c>
      <c r="H4" s="266" t="s">
        <v>89</v>
      </c>
      <c r="I4" s="273" t="s">
        <v>1046</v>
      </c>
      <c r="J4" s="267">
        <f t="shared" si="1"/>
        <v>0</v>
      </c>
      <c r="K4" s="269">
        <f t="shared" si="1"/>
        <v>0</v>
      </c>
      <c r="L4" s="267">
        <f t="shared" si="1"/>
        <v>5</v>
      </c>
      <c r="M4" s="267">
        <f t="shared" si="1"/>
        <v>0</v>
      </c>
      <c r="O4" s="268" t="s">
        <v>1587</v>
      </c>
      <c r="P4" s="274">
        <v>119</v>
      </c>
      <c r="Q4" s="274">
        <v>119</v>
      </c>
    </row>
    <row r="5" spans="1:20" x14ac:dyDescent="0.2">
      <c r="A5" s="266" t="s">
        <v>90</v>
      </c>
      <c r="B5" s="273" t="s">
        <v>1137</v>
      </c>
      <c r="C5" s="267">
        <f t="shared" si="0"/>
        <v>50</v>
      </c>
      <c r="D5" s="269">
        <f t="shared" si="0"/>
        <v>0</v>
      </c>
      <c r="E5" s="267">
        <f t="shared" si="0"/>
        <v>0</v>
      </c>
      <c r="F5" s="267">
        <f t="shared" si="0"/>
        <v>0</v>
      </c>
      <c r="H5" s="266" t="s">
        <v>90</v>
      </c>
      <c r="I5" s="273" t="s">
        <v>1137</v>
      </c>
      <c r="J5" s="267">
        <f t="shared" si="1"/>
        <v>50</v>
      </c>
      <c r="K5" s="269">
        <f t="shared" si="1"/>
        <v>0</v>
      </c>
      <c r="L5" s="267">
        <f t="shared" si="1"/>
        <v>0</v>
      </c>
      <c r="M5" s="267">
        <f t="shared" si="1"/>
        <v>0</v>
      </c>
      <c r="O5" s="268" t="s">
        <v>1597</v>
      </c>
      <c r="P5" s="274">
        <v>1000</v>
      </c>
      <c r="Q5" s="274">
        <v>1000</v>
      </c>
    </row>
    <row r="6" spans="1:20" x14ac:dyDescent="0.2">
      <c r="A6" s="266" t="s">
        <v>90</v>
      </c>
      <c r="B6" s="273" t="s">
        <v>1554</v>
      </c>
      <c r="C6" s="267">
        <f t="shared" si="0"/>
        <v>20</v>
      </c>
      <c r="D6" s="269">
        <f t="shared" si="0"/>
        <v>0</v>
      </c>
      <c r="E6" s="267">
        <f t="shared" si="0"/>
        <v>0</v>
      </c>
      <c r="F6" s="267">
        <f t="shared" si="0"/>
        <v>0</v>
      </c>
      <c r="H6" s="266" t="s">
        <v>90</v>
      </c>
      <c r="I6" s="273" t="s">
        <v>1554</v>
      </c>
      <c r="J6" s="267">
        <f t="shared" si="1"/>
        <v>20</v>
      </c>
      <c r="K6" s="269">
        <f t="shared" si="1"/>
        <v>0</v>
      </c>
      <c r="L6" s="267">
        <f t="shared" si="1"/>
        <v>0</v>
      </c>
      <c r="M6" s="267">
        <f t="shared" si="1"/>
        <v>0</v>
      </c>
      <c r="O6" s="268" t="s">
        <v>1515</v>
      </c>
      <c r="P6" s="274" t="s">
        <v>1679</v>
      </c>
      <c r="Q6" s="274" t="s">
        <v>1679</v>
      </c>
    </row>
    <row r="7" spans="1:20" x14ac:dyDescent="0.2">
      <c r="A7" s="266" t="s">
        <v>91</v>
      </c>
      <c r="B7" s="273" t="s">
        <v>1570</v>
      </c>
      <c r="C7" s="267">
        <f t="shared" si="0"/>
        <v>0</v>
      </c>
      <c r="D7" s="269">
        <f t="shared" si="0"/>
        <v>0</v>
      </c>
      <c r="E7" s="267">
        <f t="shared" si="0"/>
        <v>0</v>
      </c>
      <c r="F7" s="267">
        <f>IF(ISBLANK($B7),0,VLOOKUP($B7,WyvernGear,MATCH(F$2,WyvernHeader,0),0))  + IF(RIGHT($B7,8)="(Custom)",$P$18,0)</f>
        <v>8</v>
      </c>
      <c r="H7" s="266" t="s">
        <v>91</v>
      </c>
      <c r="I7" s="273" t="s">
        <v>1555</v>
      </c>
      <c r="J7" s="267">
        <f t="shared" si="1"/>
        <v>100</v>
      </c>
      <c r="K7" s="269">
        <f t="shared" si="1"/>
        <v>0</v>
      </c>
      <c r="L7" s="267">
        <f t="shared" si="1"/>
        <v>0</v>
      </c>
      <c r="M7" s="267">
        <f>IF(ISBLANK($I7),0,VLOOKUP($I7,WyvernGear,MATCH(M$2,WyvernHeader,0),0)) + IF(RIGHT($I7,8)="(Custom)",$Q$18,0)</f>
        <v>0</v>
      </c>
      <c r="O7" s="268"/>
    </row>
    <row r="8" spans="1:20" x14ac:dyDescent="0.2">
      <c r="A8" s="266" t="s">
        <v>92</v>
      </c>
      <c r="B8" s="273" t="s">
        <v>1572</v>
      </c>
      <c r="C8" s="267">
        <f t="shared" si="0"/>
        <v>0</v>
      </c>
      <c r="D8" s="269">
        <f t="shared" si="0"/>
        <v>0</v>
      </c>
      <c r="E8" s="267">
        <f t="shared" si="0"/>
        <v>0</v>
      </c>
      <c r="F8" s="267">
        <f>IF(ISBLANK($B8),0,VLOOKUP($B8,WyvernGear,MATCH(F$2,WyvernHeader,0),0))  + IF(RIGHT($B8,8)="(Custom)",$P$19,0)</f>
        <v>8</v>
      </c>
      <c r="H8" s="266" t="s">
        <v>92</v>
      </c>
      <c r="I8" s="273" t="s">
        <v>1558</v>
      </c>
      <c r="J8" s="267">
        <f t="shared" si="1"/>
        <v>150</v>
      </c>
      <c r="K8" s="269">
        <f t="shared" si="1"/>
        <v>0</v>
      </c>
      <c r="L8" s="267">
        <f t="shared" si="1"/>
        <v>0</v>
      </c>
      <c r="M8" s="267">
        <f>IF(ISBLANK($I8),0,VLOOKUP($I8,WyvernGear,MATCH(M$2,WyvernHeader,0),0)) + IF(RIGHT($I8,8)="(Custom)",$Q$19,0)</f>
        <v>0</v>
      </c>
      <c r="O8" s="266" t="s">
        <v>24</v>
      </c>
    </row>
    <row r="9" spans="1:20" x14ac:dyDescent="0.2">
      <c r="A9" s="266" t="s">
        <v>93</v>
      </c>
      <c r="B9" s="273" t="s">
        <v>1543</v>
      </c>
      <c r="C9" s="267">
        <f t="shared" si="0"/>
        <v>0</v>
      </c>
      <c r="D9" s="269">
        <f t="shared" si="0"/>
        <v>0</v>
      </c>
      <c r="E9" s="267">
        <f t="shared" si="0"/>
        <v>0</v>
      </c>
      <c r="F9" s="267">
        <f t="shared" si="0"/>
        <v>0</v>
      </c>
      <c r="H9" s="266" t="s">
        <v>93</v>
      </c>
      <c r="I9" s="273" t="s">
        <v>1543</v>
      </c>
      <c r="J9" s="267">
        <f t="shared" si="1"/>
        <v>0</v>
      </c>
      <c r="K9" s="269">
        <f t="shared" si="1"/>
        <v>0</v>
      </c>
      <c r="L9" s="267">
        <f t="shared" si="1"/>
        <v>0</v>
      </c>
      <c r="M9" s="267">
        <f t="shared" si="1"/>
        <v>0</v>
      </c>
      <c r="O9" s="268" t="s">
        <v>1598</v>
      </c>
      <c r="P9" s="274">
        <v>2</v>
      </c>
      <c r="Q9" s="274">
        <v>5</v>
      </c>
    </row>
    <row r="10" spans="1:20" x14ac:dyDescent="0.2">
      <c r="A10" s="266" t="s">
        <v>93</v>
      </c>
      <c r="B10" s="273" t="s">
        <v>1543</v>
      </c>
      <c r="C10" s="267">
        <f t="shared" si="0"/>
        <v>0</v>
      </c>
      <c r="D10" s="269">
        <f t="shared" si="0"/>
        <v>0</v>
      </c>
      <c r="E10" s="267">
        <f t="shared" si="0"/>
        <v>0</v>
      </c>
      <c r="F10" s="267">
        <f t="shared" si="0"/>
        <v>0</v>
      </c>
      <c r="H10" s="266" t="s">
        <v>93</v>
      </c>
      <c r="I10" s="273" t="s">
        <v>1543</v>
      </c>
      <c r="J10" s="267">
        <f t="shared" si="1"/>
        <v>0</v>
      </c>
      <c r="K10" s="269">
        <f t="shared" si="1"/>
        <v>0</v>
      </c>
      <c r="L10" s="267">
        <f t="shared" si="1"/>
        <v>0</v>
      </c>
      <c r="M10" s="267">
        <f t="shared" si="1"/>
        <v>0</v>
      </c>
    </row>
    <row r="11" spans="1:20" x14ac:dyDescent="0.2">
      <c r="A11" s="266" t="s">
        <v>94</v>
      </c>
      <c r="B11" s="273" t="s">
        <v>1304</v>
      </c>
      <c r="C11" s="267">
        <f t="shared" si="0"/>
        <v>100</v>
      </c>
      <c r="D11" s="269">
        <f t="shared" si="0"/>
        <v>0</v>
      </c>
      <c r="E11" s="267">
        <f t="shared" si="0"/>
        <v>0</v>
      </c>
      <c r="F11" s="267">
        <f>IF(ISBLANK($B11),0,VLOOKUP($B11,WyvernGear,MATCH(F$2,WyvernHeader,0),0)) + IF(RIGHT($B11,8)="(Custom)",$P$16,0)</f>
        <v>10</v>
      </c>
      <c r="H11" s="266" t="s">
        <v>94</v>
      </c>
      <c r="I11" s="273" t="s">
        <v>1304</v>
      </c>
      <c r="J11" s="267">
        <f t="shared" si="1"/>
        <v>100</v>
      </c>
      <c r="K11" s="269">
        <f t="shared" si="1"/>
        <v>0</v>
      </c>
      <c r="L11" s="267">
        <f t="shared" si="1"/>
        <v>0</v>
      </c>
      <c r="M11" s="267">
        <f>IF(ISBLANK($I11),0,VLOOKUP($I11,WyvernGear,MATCH(M$2,WyvernHeader,0),0)) + IF(RIGHT($I11,8)="(Custom)",$Q$16,0)</f>
        <v>10</v>
      </c>
      <c r="O11" s="266" t="s">
        <v>1594</v>
      </c>
      <c r="T11" s="269"/>
    </row>
    <row r="12" spans="1:20" x14ac:dyDescent="0.2">
      <c r="A12" s="266" t="s">
        <v>95</v>
      </c>
      <c r="B12" s="273" t="s">
        <v>1573</v>
      </c>
      <c r="C12" s="267">
        <f t="shared" si="0"/>
        <v>0</v>
      </c>
      <c r="D12" s="269">
        <f t="shared" si="0"/>
        <v>0</v>
      </c>
      <c r="E12" s="267">
        <f t="shared" si="0"/>
        <v>5</v>
      </c>
      <c r="F12" s="267">
        <f t="shared" si="0"/>
        <v>0</v>
      </c>
      <c r="H12" s="266" t="s">
        <v>95</v>
      </c>
      <c r="I12" s="273" t="s">
        <v>1573</v>
      </c>
      <c r="J12" s="267">
        <f t="shared" si="1"/>
        <v>0</v>
      </c>
      <c r="K12" s="269">
        <f t="shared" si="1"/>
        <v>0</v>
      </c>
      <c r="L12" s="267">
        <f t="shared" si="1"/>
        <v>5</v>
      </c>
      <c r="M12" s="267">
        <f t="shared" si="1"/>
        <v>0</v>
      </c>
      <c r="O12" s="267" t="s">
        <v>1595</v>
      </c>
      <c r="P12" s="274">
        <v>20</v>
      </c>
      <c r="Q12" s="274">
        <v>20</v>
      </c>
    </row>
    <row r="13" spans="1:20" x14ac:dyDescent="0.2">
      <c r="A13" s="266" t="s">
        <v>96</v>
      </c>
      <c r="B13" s="273" t="s">
        <v>923</v>
      </c>
      <c r="C13" s="267">
        <f t="shared" si="0"/>
        <v>0</v>
      </c>
      <c r="D13" s="269">
        <f t="shared" si="0"/>
        <v>0.23</v>
      </c>
      <c r="E13" s="267">
        <f t="shared" si="0"/>
        <v>0</v>
      </c>
      <c r="F13" s="267">
        <f>IF(ISBLANK($B13),0,VLOOKUP($B13,WyvernGear,MATCH(F$2,WyvernHeader,0),0)) + IF(RIGHT($B13,8)="(Custom)",$P$20,0)</f>
        <v>0</v>
      </c>
      <c r="H13" s="266" t="s">
        <v>96</v>
      </c>
      <c r="I13" s="273" t="s">
        <v>923</v>
      </c>
      <c r="J13" s="267">
        <f t="shared" si="1"/>
        <v>0</v>
      </c>
      <c r="K13" s="269">
        <f t="shared" si="1"/>
        <v>0.23</v>
      </c>
      <c r="L13" s="267">
        <f t="shared" si="1"/>
        <v>0</v>
      </c>
      <c r="M13" s="267">
        <f>IF(ISBLANK($I13),0,VLOOKUP($I13,WyvernGear,MATCH(M$2,WyvernHeader,0),0)) + IF(RIGHT($I13,8)="(Custom)",$Q$20,0)</f>
        <v>0</v>
      </c>
      <c r="O13" s="267" t="s">
        <v>1596</v>
      </c>
      <c r="P13" s="274">
        <v>20</v>
      </c>
      <c r="Q13" s="274">
        <v>20</v>
      </c>
    </row>
    <row r="14" spans="1:20" x14ac:dyDescent="0.2">
      <c r="A14" s="266" t="s">
        <v>97</v>
      </c>
      <c r="B14" s="273" t="s">
        <v>982</v>
      </c>
      <c r="C14" s="267">
        <f t="shared" si="0"/>
        <v>230</v>
      </c>
      <c r="D14" s="269">
        <f t="shared" si="0"/>
        <v>0</v>
      </c>
      <c r="E14" s="267">
        <f t="shared" si="0"/>
        <v>0</v>
      </c>
      <c r="F14" s="267">
        <f>IF(ISBLANK($B14),0,VLOOKUP($B14,WyvernGear,MATCH(F$2,WyvernHeader,0),0)) + IF(RIGHT($B14,8)="(Custom)",$P$21,0)</f>
        <v>0</v>
      </c>
      <c r="H14" s="266" t="s">
        <v>97</v>
      </c>
      <c r="I14" s="273" t="s">
        <v>982</v>
      </c>
      <c r="J14" s="267">
        <f t="shared" si="1"/>
        <v>230</v>
      </c>
      <c r="K14" s="269">
        <f t="shared" si="1"/>
        <v>0</v>
      </c>
      <c r="L14" s="267">
        <f t="shared" si="1"/>
        <v>0</v>
      </c>
      <c r="M14" s="267">
        <f>IF(ISBLANK($I14),0,VLOOKUP($I14,WyvernGear,MATCH(M$2,WyvernHeader,0),0)) + IF(RIGHT($I14,8)="(Custom)",$Q$21,0)</f>
        <v>0</v>
      </c>
    </row>
    <row r="15" spans="1:20" x14ac:dyDescent="0.2">
      <c r="A15" s="266" t="s">
        <v>473</v>
      </c>
      <c r="B15" s="266" t="str">
        <f>IF(COUNTBLANK(C15:F15)=4,"","Active!")</f>
        <v/>
      </c>
      <c r="C15" s="17"/>
      <c r="D15" s="18"/>
      <c r="E15" s="17"/>
      <c r="F15" s="17"/>
      <c r="H15" s="266" t="s">
        <v>473</v>
      </c>
      <c r="I15" s="266" t="str">
        <f>IF(COUNTBLANK(J15:M15)=4,"","Active!")</f>
        <v/>
      </c>
      <c r="J15" s="17"/>
      <c r="K15" s="18"/>
      <c r="L15" s="17"/>
      <c r="M15" s="17"/>
      <c r="O15" s="266" t="s">
        <v>1591</v>
      </c>
    </row>
    <row r="16" spans="1:20" x14ac:dyDescent="0.2">
      <c r="D16" s="269"/>
      <c r="O16" s="267" t="s">
        <v>1565</v>
      </c>
      <c r="P16" s="274">
        <v>8</v>
      </c>
      <c r="Q16" s="274">
        <v>6</v>
      </c>
    </row>
    <row r="17" spans="1:17" x14ac:dyDescent="0.2">
      <c r="A17" s="266" t="s">
        <v>99</v>
      </c>
      <c r="B17" s="270"/>
      <c r="C17" s="267">
        <f>SUM(C3:C15)</f>
        <v>400</v>
      </c>
      <c r="D17" s="269">
        <f>SUM(D3:D15)</f>
        <v>0.23</v>
      </c>
      <c r="E17" s="267">
        <f>SUM(E3:E15)</f>
        <v>66</v>
      </c>
      <c r="F17" s="267">
        <f t="shared" ref="F17" si="2">SUM(F3:F15)</f>
        <v>26</v>
      </c>
      <c r="H17" s="266" t="s">
        <v>99</v>
      </c>
      <c r="I17" s="266"/>
      <c r="J17" s="267">
        <f>SUM(J3:J15)</f>
        <v>650</v>
      </c>
      <c r="K17" s="269">
        <f>SUM(K3:K15)</f>
        <v>0.23</v>
      </c>
      <c r="L17" s="267">
        <f>SUM(L3:L15)</f>
        <v>66</v>
      </c>
      <c r="M17" s="267">
        <f t="shared" ref="M17" si="3">SUM(M3:M15)</f>
        <v>10</v>
      </c>
      <c r="O17" s="267" t="s">
        <v>1588</v>
      </c>
      <c r="P17" s="274">
        <v>5</v>
      </c>
      <c r="Q17" s="274">
        <v>5</v>
      </c>
    </row>
    <row r="18" spans="1:17" x14ac:dyDescent="0.2">
      <c r="A18" s="266" t="s">
        <v>1586</v>
      </c>
      <c r="B18" s="266">
        <f>'Breath Data'!B40</f>
        <v>2462</v>
      </c>
      <c r="D18" s="266"/>
      <c r="E18" s="266"/>
      <c r="H18" s="266" t="s">
        <v>1586</v>
      </c>
      <c r="I18" s="266">
        <f>'Breath Data'!C40</f>
        <v>2358</v>
      </c>
      <c r="O18" s="267" t="s">
        <v>1589</v>
      </c>
      <c r="P18" s="274">
        <v>7</v>
      </c>
      <c r="Q18" s="274">
        <v>4</v>
      </c>
    </row>
    <row r="19" spans="1:17" x14ac:dyDescent="0.2">
      <c r="A19" s="266" t="s">
        <v>1585</v>
      </c>
      <c r="B19" s="266">
        <f>'Breath Data'!B41</f>
        <v>2915</v>
      </c>
      <c r="E19" s="266"/>
      <c r="H19" s="266" t="s">
        <v>1585</v>
      </c>
      <c r="I19" s="266">
        <f>'Breath Data'!C41</f>
        <v>3998</v>
      </c>
      <c r="O19" s="267" t="s">
        <v>1592</v>
      </c>
      <c r="P19" s="274">
        <v>8</v>
      </c>
      <c r="Q19" s="274">
        <v>7</v>
      </c>
    </row>
    <row r="20" spans="1:17" x14ac:dyDescent="0.2">
      <c r="O20" s="267" t="s">
        <v>1590</v>
      </c>
      <c r="P20" s="274">
        <v>4</v>
      </c>
      <c r="Q20" s="274">
        <v>6</v>
      </c>
    </row>
    <row r="21" spans="1:17" x14ac:dyDescent="0.2">
      <c r="A21" s="266" t="s">
        <v>1583</v>
      </c>
      <c r="B21" s="266"/>
      <c r="H21" s="266" t="s">
        <v>1584</v>
      </c>
      <c r="I21" s="266"/>
      <c r="O21" s="268" t="s">
        <v>1593</v>
      </c>
      <c r="P21" s="274">
        <v>1</v>
      </c>
      <c r="Q21" s="274">
        <v>4</v>
      </c>
    </row>
    <row r="22" spans="1:17" x14ac:dyDescent="0.2">
      <c r="A22" s="266" t="s">
        <v>70</v>
      </c>
      <c r="B22" s="266" t="s">
        <v>71</v>
      </c>
      <c r="C22" s="266" t="s">
        <v>297</v>
      </c>
      <c r="D22" s="266" t="s">
        <v>1545</v>
      </c>
      <c r="E22" s="266" t="s">
        <v>1547</v>
      </c>
      <c r="F22" s="266" t="s">
        <v>1546</v>
      </c>
      <c r="H22" s="266" t="s">
        <v>70</v>
      </c>
      <c r="I22" s="266" t="s">
        <v>71</v>
      </c>
      <c r="J22" s="266" t="s">
        <v>297</v>
      </c>
      <c r="K22" s="266" t="s">
        <v>1545</v>
      </c>
      <c r="L22" s="266" t="s">
        <v>1547</v>
      </c>
      <c r="M22" s="266" t="s">
        <v>1546</v>
      </c>
    </row>
    <row r="23" spans="1:17" x14ac:dyDescent="0.2">
      <c r="A23" s="266" t="s">
        <v>88</v>
      </c>
      <c r="B23" s="273" t="s">
        <v>687</v>
      </c>
      <c r="C23" s="267">
        <f t="shared" ref="C23:F34" si="4">IF(ISBLANK($B23),0,VLOOKUP($B23,WyvernGear,MATCH(C$2,WyvernHeader,0),0))</f>
        <v>0</v>
      </c>
      <c r="D23" s="269">
        <f t="shared" si="4"/>
        <v>0</v>
      </c>
      <c r="E23" s="267">
        <f t="shared" si="4"/>
        <v>56</v>
      </c>
      <c r="F23" s="267">
        <f>IF(ISBLANK($B23),0,VLOOKUP($B23,WyvernGear,MATCH(F$2,WyvernHeader,0),0)) + IF(RIGHT($B23,8)="(Custom)",$P$17,0)</f>
        <v>0</v>
      </c>
      <c r="H23" s="266" t="s">
        <v>88</v>
      </c>
      <c r="I23" s="273" t="s">
        <v>687</v>
      </c>
      <c r="J23" s="267">
        <f t="shared" ref="J23:M34" si="5">IF(ISBLANK($I23),0,VLOOKUP($I23,WyvernGear,MATCH(J$2,WyvernHeader,0),0))</f>
        <v>0</v>
      </c>
      <c r="K23" s="269">
        <f t="shared" si="5"/>
        <v>0</v>
      </c>
      <c r="L23" s="267">
        <f t="shared" si="5"/>
        <v>56</v>
      </c>
      <c r="M23" s="267">
        <f>IF(ISBLANK($I23),0,VLOOKUP($I23,WyvernGear,MATCH(M$2,WyvernHeader,0),0)) + IF(RIGHT($I23,8)="(Custom)",$Q$17,0)</f>
        <v>0</v>
      </c>
      <c r="O23" s="266" t="s">
        <v>1604</v>
      </c>
    </row>
    <row r="24" spans="1:17" x14ac:dyDescent="0.2">
      <c r="A24" s="266" t="s">
        <v>89</v>
      </c>
      <c r="B24" s="273" t="s">
        <v>1046</v>
      </c>
      <c r="C24" s="267">
        <f t="shared" si="4"/>
        <v>0</v>
      </c>
      <c r="D24" s="269">
        <f t="shared" si="4"/>
        <v>0</v>
      </c>
      <c r="E24" s="267">
        <f t="shared" si="4"/>
        <v>5</v>
      </c>
      <c r="F24" s="267">
        <f t="shared" si="4"/>
        <v>0</v>
      </c>
      <c r="H24" s="266" t="s">
        <v>89</v>
      </c>
      <c r="I24" s="273" t="s">
        <v>1046</v>
      </c>
      <c r="J24" s="267">
        <f t="shared" si="5"/>
        <v>0</v>
      </c>
      <c r="K24" s="269">
        <f t="shared" si="5"/>
        <v>0</v>
      </c>
      <c r="L24" s="267">
        <f t="shared" si="5"/>
        <v>5</v>
      </c>
      <c r="M24" s="267">
        <f t="shared" si="5"/>
        <v>0</v>
      </c>
      <c r="O24" s="268" t="s">
        <v>1601</v>
      </c>
      <c r="P24" s="274" t="s">
        <v>1603</v>
      </c>
    </row>
    <row r="25" spans="1:17" x14ac:dyDescent="0.2">
      <c r="A25" s="266" t="s">
        <v>90</v>
      </c>
      <c r="B25" s="273" t="s">
        <v>1137</v>
      </c>
      <c r="C25" s="267">
        <f t="shared" si="4"/>
        <v>50</v>
      </c>
      <c r="D25" s="269">
        <f t="shared" si="4"/>
        <v>0</v>
      </c>
      <c r="E25" s="267">
        <f t="shared" si="4"/>
        <v>0</v>
      </c>
      <c r="F25" s="267">
        <f t="shared" si="4"/>
        <v>0</v>
      </c>
      <c r="H25" s="266" t="s">
        <v>90</v>
      </c>
      <c r="I25" s="273" t="s">
        <v>1137</v>
      </c>
      <c r="J25" s="267">
        <f t="shared" si="5"/>
        <v>50</v>
      </c>
      <c r="K25" s="269">
        <f t="shared" si="5"/>
        <v>0</v>
      </c>
      <c r="L25" s="267">
        <f t="shared" si="5"/>
        <v>0</v>
      </c>
      <c r="M25" s="267">
        <f t="shared" si="5"/>
        <v>0</v>
      </c>
      <c r="O25" s="268" t="s">
        <v>1605</v>
      </c>
      <c r="P25" s="274" t="s">
        <v>1603</v>
      </c>
    </row>
    <row r="26" spans="1:17" x14ac:dyDescent="0.2">
      <c r="A26" s="266" t="s">
        <v>90</v>
      </c>
      <c r="B26" s="273" t="s">
        <v>1554</v>
      </c>
      <c r="C26" s="267">
        <f t="shared" si="4"/>
        <v>20</v>
      </c>
      <c r="D26" s="269">
        <f t="shared" si="4"/>
        <v>0</v>
      </c>
      <c r="E26" s="267">
        <f t="shared" si="4"/>
        <v>0</v>
      </c>
      <c r="F26" s="267">
        <f t="shared" si="4"/>
        <v>0</v>
      </c>
      <c r="H26" s="266" t="s">
        <v>90</v>
      </c>
      <c r="I26" s="273" t="s">
        <v>1554</v>
      </c>
      <c r="J26" s="267">
        <f t="shared" si="5"/>
        <v>20</v>
      </c>
      <c r="K26" s="269">
        <f t="shared" si="5"/>
        <v>0</v>
      </c>
      <c r="L26" s="267">
        <f t="shared" si="5"/>
        <v>0</v>
      </c>
      <c r="M26" s="267">
        <f t="shared" si="5"/>
        <v>0</v>
      </c>
      <c r="O26" s="268" t="s">
        <v>1606</v>
      </c>
      <c r="P26" s="274" t="s">
        <v>1603</v>
      </c>
    </row>
    <row r="27" spans="1:17" x14ac:dyDescent="0.2">
      <c r="A27" s="266" t="s">
        <v>91</v>
      </c>
      <c r="B27" s="273" t="s">
        <v>1570</v>
      </c>
      <c r="C27" s="267">
        <f t="shared" si="4"/>
        <v>0</v>
      </c>
      <c r="D27" s="269">
        <f t="shared" si="4"/>
        <v>0</v>
      </c>
      <c r="E27" s="267">
        <f t="shared" si="4"/>
        <v>0</v>
      </c>
      <c r="F27" s="267">
        <f>IF(ISBLANK($B27),0,VLOOKUP($B27,WyvernGear,MATCH(F$2,WyvernHeader,0),0))  + IF(RIGHT($B27,8)="(Custom)",$P$18,0)</f>
        <v>8</v>
      </c>
      <c r="H27" s="266" t="s">
        <v>91</v>
      </c>
      <c r="I27" s="273" t="s">
        <v>1570</v>
      </c>
      <c r="J27" s="267">
        <f t="shared" si="5"/>
        <v>0</v>
      </c>
      <c r="K27" s="269">
        <f t="shared" si="5"/>
        <v>0</v>
      </c>
      <c r="L27" s="267">
        <f t="shared" si="5"/>
        <v>0</v>
      </c>
      <c r="M27" s="267">
        <f>IF(ISBLANK($I27),0,VLOOKUP($I27,WyvernGear,MATCH(M$2,WyvernHeader,0),0)) + IF(RIGHT($I27,8)="(Custom)",$Q$18,0)</f>
        <v>8</v>
      </c>
    </row>
    <row r="28" spans="1:17" x14ac:dyDescent="0.2">
      <c r="A28" s="266" t="s">
        <v>92</v>
      </c>
      <c r="B28" s="273" t="s">
        <v>1572</v>
      </c>
      <c r="C28" s="267">
        <f t="shared" si="4"/>
        <v>0</v>
      </c>
      <c r="D28" s="269">
        <f t="shared" si="4"/>
        <v>0</v>
      </c>
      <c r="E28" s="267">
        <f t="shared" si="4"/>
        <v>0</v>
      </c>
      <c r="F28" s="267">
        <f>IF(ISBLANK($B28),0,VLOOKUP($B28,WyvernGear,MATCH(F$2,WyvernHeader,0),0))  + IF(RIGHT($B28,8)="(Custom)",$P$19,0)</f>
        <v>8</v>
      </c>
      <c r="H28" s="266" t="s">
        <v>92</v>
      </c>
      <c r="I28" s="273" t="s">
        <v>1572</v>
      </c>
      <c r="J28" s="267">
        <f t="shared" si="5"/>
        <v>0</v>
      </c>
      <c r="K28" s="269">
        <f t="shared" si="5"/>
        <v>0</v>
      </c>
      <c r="L28" s="267">
        <f t="shared" si="5"/>
        <v>0</v>
      </c>
      <c r="M28" s="267">
        <f>IF(ISBLANK($I28),0,VLOOKUP($I28,WyvernGear,MATCH(M$2,WyvernHeader,0),0)) + IF(RIGHT($I28,8)="(Custom)",$Q$19,0)</f>
        <v>8</v>
      </c>
    </row>
    <row r="29" spans="1:17" x14ac:dyDescent="0.2">
      <c r="A29" s="266" t="s">
        <v>93</v>
      </c>
      <c r="B29" s="273" t="s">
        <v>1543</v>
      </c>
      <c r="C29" s="267">
        <f t="shared" si="4"/>
        <v>0</v>
      </c>
      <c r="D29" s="269">
        <f t="shared" si="4"/>
        <v>0</v>
      </c>
      <c r="E29" s="267">
        <f t="shared" si="4"/>
        <v>0</v>
      </c>
      <c r="F29" s="267">
        <f t="shared" si="4"/>
        <v>0</v>
      </c>
      <c r="H29" s="266" t="s">
        <v>93</v>
      </c>
      <c r="I29" s="273" t="s">
        <v>1543</v>
      </c>
      <c r="J29" s="267">
        <f t="shared" si="5"/>
        <v>0</v>
      </c>
      <c r="K29" s="269">
        <f t="shared" si="5"/>
        <v>0</v>
      </c>
      <c r="L29" s="267">
        <f t="shared" si="5"/>
        <v>0</v>
      </c>
      <c r="M29" s="267">
        <f t="shared" si="5"/>
        <v>0</v>
      </c>
    </row>
    <row r="30" spans="1:17" x14ac:dyDescent="0.2">
      <c r="A30" s="266" t="s">
        <v>93</v>
      </c>
      <c r="B30" s="273" t="s">
        <v>1543</v>
      </c>
      <c r="C30" s="267">
        <f t="shared" si="4"/>
        <v>0</v>
      </c>
      <c r="D30" s="269">
        <f t="shared" si="4"/>
        <v>0</v>
      </c>
      <c r="E30" s="267">
        <f t="shared" si="4"/>
        <v>0</v>
      </c>
      <c r="F30" s="267">
        <f t="shared" si="4"/>
        <v>0</v>
      </c>
      <c r="H30" s="266" t="s">
        <v>93</v>
      </c>
      <c r="I30" s="273" t="s">
        <v>1543</v>
      </c>
      <c r="J30" s="267">
        <f t="shared" si="5"/>
        <v>0</v>
      </c>
      <c r="K30" s="269">
        <f t="shared" si="5"/>
        <v>0</v>
      </c>
      <c r="L30" s="267">
        <f t="shared" si="5"/>
        <v>0</v>
      </c>
      <c r="M30" s="267">
        <f t="shared" si="5"/>
        <v>0</v>
      </c>
    </row>
    <row r="31" spans="1:17" x14ac:dyDescent="0.2">
      <c r="A31" s="266" t="s">
        <v>94</v>
      </c>
      <c r="B31" s="273" t="s">
        <v>1304</v>
      </c>
      <c r="C31" s="267">
        <f t="shared" si="4"/>
        <v>100</v>
      </c>
      <c r="D31" s="269">
        <f t="shared" si="4"/>
        <v>0</v>
      </c>
      <c r="E31" s="267">
        <f t="shared" si="4"/>
        <v>0</v>
      </c>
      <c r="F31" s="267">
        <f>IF(ISBLANK($B31),0,VLOOKUP($B31,WyvernGear,MATCH(F$2,WyvernHeader,0),0)) + IF(RIGHT($B31,8)="(Custom)",$P$16,0)</f>
        <v>10</v>
      </c>
      <c r="H31" s="266" t="s">
        <v>94</v>
      </c>
      <c r="I31" s="273" t="s">
        <v>1304</v>
      </c>
      <c r="J31" s="267">
        <f t="shared" si="5"/>
        <v>100</v>
      </c>
      <c r="K31" s="269">
        <f t="shared" si="5"/>
        <v>0</v>
      </c>
      <c r="L31" s="267">
        <f t="shared" si="5"/>
        <v>0</v>
      </c>
      <c r="M31" s="267">
        <f>IF(ISBLANK($I31),0,VLOOKUP($I31,WyvernGear,MATCH(M$2,WyvernHeader,0),0)) + IF(RIGHT($I31,8)="(Custom)",$Q$16,0)</f>
        <v>10</v>
      </c>
    </row>
    <row r="32" spans="1:17" x14ac:dyDescent="0.2">
      <c r="A32" s="266" t="s">
        <v>95</v>
      </c>
      <c r="B32" s="273" t="s">
        <v>1573</v>
      </c>
      <c r="C32" s="267">
        <f t="shared" si="4"/>
        <v>0</v>
      </c>
      <c r="D32" s="269">
        <f t="shared" si="4"/>
        <v>0</v>
      </c>
      <c r="E32" s="267">
        <f t="shared" si="4"/>
        <v>5</v>
      </c>
      <c r="F32" s="267">
        <f t="shared" si="4"/>
        <v>0</v>
      </c>
      <c r="H32" s="266" t="s">
        <v>95</v>
      </c>
      <c r="I32" s="273" t="s">
        <v>1573</v>
      </c>
      <c r="J32" s="267">
        <f t="shared" si="5"/>
        <v>0</v>
      </c>
      <c r="K32" s="269">
        <f t="shared" si="5"/>
        <v>0</v>
      </c>
      <c r="L32" s="267">
        <f t="shared" si="5"/>
        <v>5</v>
      </c>
      <c r="M32" s="267">
        <f t="shared" si="5"/>
        <v>0</v>
      </c>
    </row>
    <row r="33" spans="1:13" x14ac:dyDescent="0.2">
      <c r="A33" s="266" t="s">
        <v>96</v>
      </c>
      <c r="B33" s="273" t="s">
        <v>1575</v>
      </c>
      <c r="C33" s="267">
        <f t="shared" si="4"/>
        <v>0</v>
      </c>
      <c r="D33" s="269">
        <f t="shared" si="4"/>
        <v>0</v>
      </c>
      <c r="E33" s="267">
        <f t="shared" si="4"/>
        <v>0</v>
      </c>
      <c r="F33" s="267">
        <f>IF(ISBLANK($B33),0,VLOOKUP($B33,WyvernGear,MATCH(F$2,WyvernHeader,0),0)) + IF(RIGHT($B33,8)="(Custom)",$P$20,0)</f>
        <v>8</v>
      </c>
      <c r="H33" s="266" t="s">
        <v>96</v>
      </c>
      <c r="I33" s="273" t="s">
        <v>1575</v>
      </c>
      <c r="J33" s="267">
        <f t="shared" si="5"/>
        <v>0</v>
      </c>
      <c r="K33" s="269">
        <f t="shared" si="5"/>
        <v>0</v>
      </c>
      <c r="L33" s="267">
        <f t="shared" si="5"/>
        <v>0</v>
      </c>
      <c r="M33" s="267">
        <f>IF(ISBLANK($I33),0,VLOOKUP($I33,WyvernGear,MATCH(M$2,WyvernHeader,0),0)) + IF(RIGHT($I33,8)="(Custom)",$Q$20,0)</f>
        <v>8</v>
      </c>
    </row>
    <row r="34" spans="1:13" x14ac:dyDescent="0.2">
      <c r="A34" s="266" t="s">
        <v>97</v>
      </c>
      <c r="B34" s="273" t="s">
        <v>1580</v>
      </c>
      <c r="C34" s="267">
        <f t="shared" si="4"/>
        <v>0</v>
      </c>
      <c r="D34" s="269">
        <f t="shared" si="4"/>
        <v>0</v>
      </c>
      <c r="E34" s="267">
        <f t="shared" si="4"/>
        <v>0</v>
      </c>
      <c r="F34" s="267">
        <f>IF(ISBLANK($B34),0,VLOOKUP($B34,WyvernGear,MATCH(F$2,WyvernHeader,0),0)) + IF(RIGHT($B34,8)="(Custom)",$P$21,0)</f>
        <v>8</v>
      </c>
      <c r="H34" s="266" t="s">
        <v>97</v>
      </c>
      <c r="I34" s="273" t="s">
        <v>1580</v>
      </c>
      <c r="J34" s="267">
        <f t="shared" si="5"/>
        <v>0</v>
      </c>
      <c r="K34" s="269">
        <f t="shared" si="5"/>
        <v>0</v>
      </c>
      <c r="L34" s="267">
        <f t="shared" si="5"/>
        <v>0</v>
      </c>
      <c r="M34" s="267">
        <f>IF(ISBLANK($I34),0,VLOOKUP($I34,WyvernGear,MATCH(M$2,WyvernHeader,0),0)) + IF(RIGHT($I34,8)="(Custom)",$Q$21,0)</f>
        <v>8</v>
      </c>
    </row>
    <row r="35" spans="1:13" x14ac:dyDescent="0.2">
      <c r="A35" s="266" t="s">
        <v>473</v>
      </c>
      <c r="B35" s="266" t="str">
        <f>IF(COUNTBLANK(C35:F35)=4,"","Active!")</f>
        <v/>
      </c>
      <c r="C35" s="17"/>
      <c r="D35" s="18"/>
      <c r="E35" s="17"/>
      <c r="F35" s="17"/>
      <c r="H35" s="266" t="s">
        <v>473</v>
      </c>
      <c r="I35" s="266" t="str">
        <f>IF(COUNTBLANK(J35:M35)=4,"","Active!")</f>
        <v/>
      </c>
      <c r="J35" s="17"/>
      <c r="K35" s="18"/>
      <c r="L35" s="17"/>
      <c r="M35" s="17"/>
    </row>
    <row r="37" spans="1:13" x14ac:dyDescent="0.2">
      <c r="A37" s="266" t="s">
        <v>99</v>
      </c>
      <c r="B37" s="266"/>
      <c r="C37" s="267">
        <f>SUM(C23:C35)</f>
        <v>170</v>
      </c>
      <c r="D37" s="269">
        <f>SUM(D23:D35)</f>
        <v>0</v>
      </c>
      <c r="E37" s="267">
        <f>SUM(E23:E35)</f>
        <v>66</v>
      </c>
      <c r="F37" s="267">
        <f t="shared" ref="F37" si="6">SUM(F23:F35)</f>
        <v>42</v>
      </c>
      <c r="H37" s="266" t="s">
        <v>99</v>
      </c>
      <c r="I37" s="266"/>
      <c r="J37" s="267">
        <f>SUM(J23:J35)</f>
        <v>170</v>
      </c>
      <c r="K37" s="269">
        <f>SUM(K23:K35)</f>
        <v>0</v>
      </c>
      <c r="L37" s="267">
        <f>SUM(L23:L35)</f>
        <v>66</v>
      </c>
      <c r="M37" s="267">
        <f t="shared" ref="M37" si="7">SUM(M23:M35)</f>
        <v>42</v>
      </c>
    </row>
    <row r="38" spans="1:13" x14ac:dyDescent="0.2">
      <c r="A38" s="266" t="s">
        <v>1651</v>
      </c>
      <c r="B38" s="271">
        <f>'Breath Data'!D45</f>
        <v>1086</v>
      </c>
      <c r="E38" s="266"/>
      <c r="F38" s="266"/>
      <c r="H38" s="266" t="s">
        <v>1651</v>
      </c>
      <c r="I38" s="271">
        <f>'Breath Data'!E45</f>
        <v>1086</v>
      </c>
      <c r="J38" s="266"/>
      <c r="L38" s="266"/>
    </row>
    <row r="39" spans="1:13" x14ac:dyDescent="0.2">
      <c r="A39" s="266" t="s">
        <v>1516</v>
      </c>
      <c r="B39" s="272" t="str">
        <f>CONCATENATE("Min: ",'Breath Data'!D46,", Max: ",'Breath Data'!D47)</f>
        <v>Min: 380, Max: 1150</v>
      </c>
      <c r="E39" s="266"/>
      <c r="F39" s="266"/>
      <c r="H39" s="266" t="s">
        <v>1516</v>
      </c>
      <c r="I39" s="272" t="str">
        <f>CONCATENATE("Min: ",'Breath Data'!E46,", Max: ",'Breath Data'!E47)</f>
        <v>Min: 380, Max: 1150</v>
      </c>
      <c r="J39" s="266"/>
      <c r="L39" s="266"/>
    </row>
    <row r="40" spans="1:13" x14ac:dyDescent="0.2">
      <c r="A40" s="266" t="s">
        <v>1585</v>
      </c>
      <c r="B40" s="271">
        <f>'Breath Data'!D48</f>
        <v>2195</v>
      </c>
      <c r="H40" s="266" t="s">
        <v>1585</v>
      </c>
      <c r="I40" s="271">
        <f>'Breath Data'!E48</f>
        <v>2998</v>
      </c>
    </row>
    <row r="41" spans="1:13" x14ac:dyDescent="0.2">
      <c r="A41" s="266" t="s">
        <v>1652</v>
      </c>
      <c r="B41" s="272" t="str">
        <f>CONCATENATE("Min: ",'Breath Data'!D49,", Max: ",'Breath Data'!D50)</f>
        <v>Min: 769, Max: 2324</v>
      </c>
      <c r="H41" s="266" t="s">
        <v>1652</v>
      </c>
      <c r="I41" s="272" t="str">
        <f>CONCATENATE("Min: ",'Breath Data'!E49,", Max: ",'Breath Data'!E50)</f>
        <v>Min: 1050, Max: 3175</v>
      </c>
    </row>
  </sheetData>
  <sheetProtection sheet="1" objects="1" scenarios="1"/>
  <dataValidations count="18">
    <dataValidation type="list" allowBlank="1" showInputMessage="1" showErrorMessage="1" sqref="P5:Q5" xr:uid="{00000000-0002-0000-0400-000000000000}">
      <formula1>WyvernEXP</formula1>
    </dataValidation>
    <dataValidation type="list" allowBlank="1" showInputMessage="1" showErrorMessage="1" sqref="P4:Q4" xr:uid="{00000000-0002-0000-0400-000001000000}">
      <formula1>WyvernLevelList</formula1>
    </dataValidation>
    <dataValidation type="decimal" allowBlank="1" showInputMessage="1" showErrorMessage="1" sqref="P9:Q9" xr:uid="{00000000-0002-0000-0400-000002000000}">
      <formula1>0</formula1>
      <formula2>5</formula2>
    </dataValidation>
    <dataValidation type="whole" allowBlank="1" showInputMessage="1" showErrorMessage="1" sqref="P12:Q13" xr:uid="{00000000-0002-0000-0400-000003000000}">
      <formula1>0</formula1>
      <formula2>20</formula2>
    </dataValidation>
    <dataValidation type="whole" allowBlank="1" showInputMessage="1" showErrorMessage="1" sqref="P16:Q16" xr:uid="{00000000-0002-0000-0400-000004000000}">
      <formula1>0</formula1>
      <formula2>10</formula2>
    </dataValidation>
    <dataValidation type="whole" allowBlank="1" showInputMessage="1" showErrorMessage="1" sqref="P17:Q21" xr:uid="{00000000-0002-0000-0400-000005000000}">
      <formula1>0</formula1>
      <formula2>8</formula2>
    </dataValidation>
    <dataValidation type="list" allowBlank="1" showInputMessage="1" showErrorMessage="1" sqref="P24:P26" xr:uid="{00000000-0002-0000-0400-000006000000}">
      <formula1>Override</formula1>
    </dataValidation>
    <dataValidation type="list" allowBlank="1" showInputMessage="1" showErrorMessage="1" sqref="B3 I3 I23 B23" xr:uid="{00000000-0002-0000-0400-000007000000}">
      <formula1>WyvHead</formula1>
    </dataValidation>
    <dataValidation type="list" allowBlank="1" showInputMessage="1" showErrorMessage="1" sqref="B4 I4 I24 B24" xr:uid="{00000000-0002-0000-0400-000008000000}">
      <formula1>WyvNeck</formula1>
    </dataValidation>
    <dataValidation type="list" allowBlank="1" showInputMessage="1" showErrorMessage="1" sqref="B5:B6 I5:I6 I25:I26 B25:B26" xr:uid="{00000000-0002-0000-0400-000009000000}">
      <formula1>WyvEarring</formula1>
    </dataValidation>
    <dataValidation type="list" allowBlank="1" showInputMessage="1" showErrorMessage="1" sqref="B7 I7 I27 B27" xr:uid="{00000000-0002-0000-0400-00000A000000}">
      <formula1>WyvBody</formula1>
    </dataValidation>
    <dataValidation type="list" allowBlank="1" showInputMessage="1" showErrorMessage="1" sqref="B8 I8 I28 B28" xr:uid="{00000000-0002-0000-0400-00000B000000}">
      <formula1>WyvHands</formula1>
    </dataValidation>
    <dataValidation type="list" allowBlank="1" showInputMessage="1" showErrorMessage="1" sqref="B9:B10 I9:I10 I29:I30 B29:B30" xr:uid="{00000000-0002-0000-0400-00000C000000}">
      <formula1>WyvRing</formula1>
    </dataValidation>
    <dataValidation type="list" allowBlank="1" showInputMessage="1" showErrorMessage="1" sqref="B11 I11 I31 B31" xr:uid="{00000000-0002-0000-0400-00000D000000}">
      <formula1>WyvBack</formula1>
    </dataValidation>
    <dataValidation type="list" allowBlank="1" showInputMessage="1" showErrorMessage="1" sqref="B12 I12 I32 B32" xr:uid="{00000000-0002-0000-0400-00000E000000}">
      <formula1>WyvWaist</formula1>
    </dataValidation>
    <dataValidation type="list" allowBlank="1" showInputMessage="1" showErrorMessage="1" sqref="B13 I13 I33 B33" xr:uid="{00000000-0002-0000-0400-00000F000000}">
      <formula1>WyvLegs</formula1>
    </dataValidation>
    <dataValidation type="list" allowBlank="1" showInputMessage="1" showErrorMessage="1" sqref="B14 I14 I34 B34" xr:uid="{00000000-0002-0000-0400-000010000000}">
      <formula1>WyvFeet</formula1>
    </dataValidation>
    <dataValidation type="list" allowBlank="1" showInputMessage="1" showErrorMessage="1" sqref="P6:Q6" xr:uid="{00000000-0002-0000-0400-000011000000}">
      <formula1>HealingBreathList</formula1>
    </dataValidation>
  </dataValidations>
  <pageMargins left="0.7" right="0.7" top="0.75" bottom="0.75" header="0.3" footer="0.3"/>
  <pageSetup orientation="portrait" r:id="rId1"/>
  <ignoredErrors>
    <ignoredError sqref="F11 M11 M31 F3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indexed="27"/>
  </sheetPr>
  <dimension ref="A1:R195"/>
  <sheetViews>
    <sheetView topLeftCell="A160" workbookViewId="0">
      <selection activeCell="C164" sqref="C164"/>
    </sheetView>
  </sheetViews>
  <sheetFormatPr defaultRowHeight="12.75" x14ac:dyDescent="0.2"/>
  <cols>
    <col min="1" max="1" width="15.7109375" customWidth="1"/>
    <col min="2" max="5" width="12.7109375" customWidth="1"/>
    <col min="6" max="9" width="13.7109375" customWidth="1"/>
    <col min="10" max="10" width="12.7109375" customWidth="1"/>
    <col min="11" max="11" width="13.28515625" customWidth="1"/>
    <col min="12" max="14" width="12.7109375" customWidth="1"/>
  </cols>
  <sheetData>
    <row r="1" spans="1:14" x14ac:dyDescent="0.2">
      <c r="A1" t="str">
        <f>Setup!B4</f>
        <v>Hume</v>
      </c>
      <c r="B1" s="4">
        <f>Setup!B5</f>
        <v>99</v>
      </c>
      <c r="C1" s="1" t="s">
        <v>111</v>
      </c>
      <c r="D1" t="str">
        <f>Setup!B6</f>
        <v>Sam</v>
      </c>
      <c r="E1" t="str">
        <f>Setup!B7</f>
        <v>Sublime Sushi</v>
      </c>
      <c r="F1" t="str">
        <f>Setup!B8</f>
        <v>Blue Wyvern</v>
      </c>
      <c r="K1" t="s">
        <v>2</v>
      </c>
      <c r="L1" t="str">
        <f>Setup!N1</f>
        <v>Apex Bat Lv136</v>
      </c>
      <c r="M1" t="s">
        <v>112</v>
      </c>
      <c r="N1" t="s">
        <v>113</v>
      </c>
    </row>
    <row r="2" spans="1:14" x14ac:dyDescent="0.2">
      <c r="B2" t="s">
        <v>114</v>
      </c>
      <c r="C2" t="s">
        <v>639</v>
      </c>
      <c r="D2" t="s">
        <v>640</v>
      </c>
      <c r="E2" t="s">
        <v>16</v>
      </c>
      <c r="F2" t="s">
        <v>720</v>
      </c>
      <c r="G2" t="s">
        <v>719</v>
      </c>
      <c r="H2" t="s">
        <v>116</v>
      </c>
      <c r="I2" t="s">
        <v>118</v>
      </c>
      <c r="K2" t="s">
        <v>3</v>
      </c>
      <c r="L2" s="4">
        <f>Setup!N2</f>
        <v>136</v>
      </c>
    </row>
    <row r="3" spans="1:14" x14ac:dyDescent="0.2">
      <c r="A3" t="s">
        <v>26</v>
      </c>
      <c r="B3" s="4">
        <f>HLOOKUP(A3,PlayerStats,2,0)+Setup!B11</f>
        <v>106</v>
      </c>
      <c r="C3" s="4">
        <f>IF(Setup!F$25=1, Setup!F$26, 0)</f>
        <v>0</v>
      </c>
      <c r="D3" s="4">
        <f>Setup!F$42*Setup!F$43*3</f>
        <v>0</v>
      </c>
      <c r="E3" s="11">
        <f>IF(ISBLANK($E$1),0,VLOOKUP($E$1,Food,MATCH(A3,FoodHeader,0),0))</f>
        <v>6</v>
      </c>
      <c r="F3">
        <f>IF(ISBLANK($F$1),0,VLOOKUP($F$1,Cheers,MATCH(A3,CheersHeader,0),0))</f>
        <v>4</v>
      </c>
      <c r="G3" s="24">
        <f>IF(Setup!F$25=1,IF(ISBLANK($G$19),0,VLOOKUP($G$19,AtmaList,MATCH($A3,AtmaHeader,0),FALSE))+IF(ISBLANK($G$20),0,VLOOKUP($G$20,AtmaList,MATCH($A3,AtmaHeader,0),FALSE))+IF(ISBLANK($G$21),0,VLOOKUP($G$21,AtmaList,MATCH($A3,AtmaHeader,0),FALSE)),0)</f>
        <v>0</v>
      </c>
      <c r="H3" s="24">
        <f>SUM(B3:G3)</f>
        <v>116</v>
      </c>
      <c r="I3" s="24">
        <f>H3</f>
        <v>116</v>
      </c>
      <c r="K3" t="s">
        <v>9</v>
      </c>
      <c r="L3" s="4">
        <f>Setup!N5</f>
        <v>1439</v>
      </c>
      <c r="M3" s="4">
        <f>Setup!N7</f>
        <v>691</v>
      </c>
      <c r="N3" s="4">
        <f>IF(VLOOKUP($L$1,Mobs,MATCH("Level Correct",MobHeader,0),FALSE) = "Yes", IF(L2&gt;($B$1+1),0.05*(L2-($B$1+1)),0), 0)</f>
        <v>0</v>
      </c>
    </row>
    <row r="4" spans="1:14" x14ac:dyDescent="0.2">
      <c r="A4" t="s">
        <v>27</v>
      </c>
      <c r="B4" s="4">
        <f>HLOOKUP(A4,PlayerStats,2,0)+Setup!B12</f>
        <v>101</v>
      </c>
      <c r="C4" s="4">
        <f>IF(Setup!F$25=1, Setup!F$26, 0)</f>
        <v>0</v>
      </c>
      <c r="D4" s="4">
        <f>Setup!F$42*Setup!F$44*3</f>
        <v>0</v>
      </c>
      <c r="E4" s="11">
        <f>IF(ISBLANK($E$1),0,VLOOKUP($E$1,Food,MATCH(A4,FoodHeader,0),0))</f>
        <v>7</v>
      </c>
      <c r="F4">
        <f>IF(ISBLANK($F$1),0,VLOOKUP($F$1,Cheers,MATCH(A4,CheersHeader,0),0))</f>
        <v>4</v>
      </c>
      <c r="G4" s="24">
        <f>IF(Setup!F$25=1,IF(ISBLANK($G$19),0,VLOOKUP($G$19,AtmaList,MATCH($A4,AtmaHeader,0),FALSE))+IF(ISBLANK($G$20),0,VLOOKUP($G$20,AtmaList,MATCH($A4,AtmaHeader,0),FALSE))+IF(ISBLANK($G$21),0,VLOOKUP($G$21,AtmaList,MATCH($A4,AtmaHeader,0),FALSE)),0)</f>
        <v>0</v>
      </c>
      <c r="H4" s="24">
        <f t="shared" ref="H4:H6" si="0">SUM(B4:G4)</f>
        <v>112</v>
      </c>
      <c r="I4" s="24">
        <f>H4</f>
        <v>112</v>
      </c>
      <c r="K4" t="s">
        <v>20</v>
      </c>
      <c r="L4" s="4">
        <f>Setup!N8</f>
        <v>1254</v>
      </c>
      <c r="M4" s="4">
        <f>Setup!N10</f>
        <v>1154</v>
      </c>
      <c r="N4" s="4">
        <f>IF(VLOOKUP($L$1,Mobs,MATCH("Level Correct",MobHeader,0),FALSE)="Yes",MAX((L2-($B$1+1))*4,0),0)</f>
        <v>0</v>
      </c>
    </row>
    <row r="5" spans="1:14" x14ac:dyDescent="0.2">
      <c r="A5" t="s">
        <v>25</v>
      </c>
      <c r="B5" s="4">
        <f>HLOOKUP(A5,PlayerStats,2,0)+Setup!B13</f>
        <v>99</v>
      </c>
      <c r="C5" s="4">
        <f>IF(Setup!F$25=1, Setup!F$26, 0)</f>
        <v>0</v>
      </c>
      <c r="D5" s="4">
        <f>Setup!F$42*Setup!F$44*3</f>
        <v>0</v>
      </c>
      <c r="E5" s="11">
        <f>IF(ISBLANK($E$1),0,VLOOKUP($E$1,Food,MATCH(A5,FoodHeader,0),0))</f>
        <v>0</v>
      </c>
      <c r="F5">
        <f>IF(ISBLANK($F$1),0,VLOOKUP($F$1,Cheers,MATCH(A5,CheersHeader,0),0))</f>
        <v>0</v>
      </c>
      <c r="G5" s="24">
        <f>IF(Setup!F$25=1,IF(ISBLANK($G$19),0,VLOOKUP($G$19,AtmaList,MATCH($A5,AtmaHeader,0),FALSE))+IF(ISBLANK($G$20),0,VLOOKUP($G$20,AtmaList,MATCH($A5,AtmaHeader,0),FALSE))+IF(ISBLANK($G$21),0,VLOOKUP($G$21,AtmaList,MATCH($A5,AtmaHeader,0),FALSE)),0)</f>
        <v>0</v>
      </c>
      <c r="H5" s="24">
        <f t="shared" si="0"/>
        <v>99</v>
      </c>
      <c r="I5" s="24">
        <f>H5</f>
        <v>99</v>
      </c>
      <c r="K5" t="s">
        <v>25</v>
      </c>
      <c r="L5" s="4">
        <f>Setup!N12</f>
        <v>303</v>
      </c>
    </row>
    <row r="6" spans="1:14" x14ac:dyDescent="0.2">
      <c r="A6" t="s">
        <v>23</v>
      </c>
      <c r="B6" s="4">
        <f>HLOOKUP(A6,PlayerStats,2,0)+Setup!B13</f>
        <v>104</v>
      </c>
      <c r="C6" s="4">
        <f>IF(Setup!F$25=1, Setup!F$26, 0)</f>
        <v>0</v>
      </c>
      <c r="D6" s="4">
        <f>Setup!F$42*Setup!F$43*3</f>
        <v>0</v>
      </c>
      <c r="E6" s="11">
        <f>IF(ISBLANK($E$1),0,VLOOKUP($E$1,Food,MATCH(A6,FoodHeader,0),0))</f>
        <v>0</v>
      </c>
      <c r="F6">
        <f>IF(ISBLANK($F$1),0,VLOOKUP($F$1,Cheers,MATCH(A6,CheersHeader,0),0))</f>
        <v>0</v>
      </c>
      <c r="G6" s="24">
        <f>IF(Setup!F$25=1,IF(ISBLANK($G$19),0,VLOOKUP($G$19,AtmaList,MATCH($A6,AtmaHeader,0),FALSE))+IF(ISBLANK($G$20),0,VLOOKUP($G$20,AtmaList,MATCH($A6,AtmaHeader,0),FALSE))+IF(ISBLANK($G$21),0,VLOOKUP($G$21,AtmaList,MATCH($A6,AtmaHeader,0),FALSE)),0)</f>
        <v>0</v>
      </c>
      <c r="H6" s="24">
        <f t="shared" si="0"/>
        <v>104</v>
      </c>
      <c r="I6" s="24">
        <f>H6</f>
        <v>104</v>
      </c>
      <c r="K6" t="s">
        <v>23</v>
      </c>
      <c r="L6" s="4">
        <f>Setup!N11</f>
        <v>300</v>
      </c>
    </row>
    <row r="7" spans="1:14" x14ac:dyDescent="0.2">
      <c r="K7" t="s">
        <v>449</v>
      </c>
      <c r="L7" s="8">
        <f>Setup!N13</f>
        <v>0</v>
      </c>
    </row>
    <row r="8" spans="1:14" x14ac:dyDescent="0.2">
      <c r="A8" t="s">
        <v>16</v>
      </c>
      <c r="B8" s="3" t="s">
        <v>119</v>
      </c>
      <c r="C8" t="s">
        <v>120</v>
      </c>
      <c r="D8" t="s">
        <v>121</v>
      </c>
      <c r="E8" t="s">
        <v>115</v>
      </c>
      <c r="F8" t="s">
        <v>117</v>
      </c>
      <c r="K8" t="s">
        <v>450</v>
      </c>
      <c r="L8" s="8">
        <f>Setup!N14</f>
        <v>0</v>
      </c>
    </row>
    <row r="9" spans="1:14" x14ac:dyDescent="0.2">
      <c r="A9" t="s">
        <v>73</v>
      </c>
      <c r="B9" s="8">
        <f>IF(ISBLANK($E$1),0,VLOOKUP($E$1,Food,MATCH("Att Mult",FoodHeader,0),0))</f>
        <v>0</v>
      </c>
      <c r="C9" s="4">
        <f>IF(ISBLANK($E$1),0,VLOOKUP($E$1,Food,MATCH("Att Mult Cap",FoodHeader,0),0))</f>
        <v>0</v>
      </c>
      <c r="D9" s="4">
        <f>IF(ISBLANK($E$1),0,VLOOKUP($E$1,Food,MATCH("Att Add",FoodHeader,0),0))</f>
        <v>0</v>
      </c>
      <c r="E9" s="24">
        <f>IF(Setup!F25=1,IF(ISBLANK($G$19),0,VLOOKUP($G$19,AtmaList,MATCH($A9,AtmaHeader,0),FALSE))+IF(ISBLANK($G$20),0,VLOOKUP($G$20,AtmaList,MATCH($A9,AtmaHeader,0),FALSE))+IF(ISBLANK($G$21),0,VLOOKUP($G$21,AtmaList,MATCH($A9,AtmaHeader,0),FALSE)),0)</f>
        <v>0</v>
      </c>
      <c r="F9" s="24">
        <f>IF(Setup!G25=1,IF(ISBLANK($H$19),0,VLOOKUP($H$19,AtmaList,MATCH($A9,AtmaHeader,0),FALSE))+IF(ISBLANK($H$20),0,VLOOKUP($H$20,AtmaList,MATCH($A9,AtmaHeader,0),FALSE))+IF(ISBLANK($H$21),0,VLOOKUP($H$21,AtmaList,MATCH($A9,AtmaHeader,0),FALSE)),0)</f>
        <v>0</v>
      </c>
      <c r="G9" t="s">
        <v>124</v>
      </c>
      <c r="H9" s="4">
        <f>IF(B1&gt;=91, 22, 10)</f>
        <v>22</v>
      </c>
      <c r="L9" s="25"/>
    </row>
    <row r="10" spans="1:14" x14ac:dyDescent="0.2">
      <c r="A10" t="s">
        <v>74</v>
      </c>
      <c r="B10" s="8">
        <f>IF(ISBLANK($E$1),0,VLOOKUP($E$1,Food,MATCH("Acc Mult",FoodHeader,0),0))</f>
        <v>0.1</v>
      </c>
      <c r="C10" s="4">
        <f>IF(ISBLANK($E$1),0,VLOOKUP($E$1,Food,MATCH("Acc Mult Cap",FoodHeader,0),0))</f>
        <v>100</v>
      </c>
      <c r="D10" s="4">
        <f>IF(ISBLANK($E$1),0,VLOOKUP($E$1,Food,MATCH("Acc Add",FoodHeader,0),0))</f>
        <v>0</v>
      </c>
      <c r="E10" s="24">
        <f>IF(Setup!F25=1,IF(ISBLANK($G$19),0,VLOOKUP($G$19,AtmaList,MATCH($A10,AtmaHeader,0),FALSE))+IF(ISBLANK($G$20),0,VLOOKUP($G$20,AtmaList,MATCH($A10,AtmaHeader,0),FALSE))+IF(ISBLANK($G$21),0,VLOOKUP($G$21,AtmaList,MATCH($A10,AtmaHeader,0),FALSE)),0)</f>
        <v>0</v>
      </c>
      <c r="F10" s="24">
        <f>IF(Setup!G25=1,IF(ISBLANK($H$19),0,VLOOKUP($H$19,AtmaList,MATCH($A10,AtmaHeader,0),FALSE))+IF(ISBLANK($H$20),0,VLOOKUP($H$20,AtmaList,MATCH($A10,AtmaHeader,0),FALSE))+IF(ISBLANK($H$21),0,VLOOKUP($H$21,AtmaList,MATCH($A10,AtmaHeader,0),FALSE)),0)</f>
        <v>0</v>
      </c>
      <c r="G10" t="s">
        <v>125</v>
      </c>
      <c r="H10" s="4">
        <f>IF(B1&gt;=76,35,22)</f>
        <v>35</v>
      </c>
      <c r="K10" s="24" t="s">
        <v>1450</v>
      </c>
      <c r="L10" t="str">
        <f>Setup!N3</f>
        <v>Regular</v>
      </c>
    </row>
    <row r="11" spans="1:14" x14ac:dyDescent="0.2">
      <c r="K11" t="s">
        <v>1440</v>
      </c>
      <c r="L11" t="str">
        <f>Setup!N4</f>
        <v>Bird</v>
      </c>
    </row>
    <row r="12" spans="1:14" x14ac:dyDescent="0.2">
      <c r="B12" s="8" t="s">
        <v>126</v>
      </c>
      <c r="C12" s="11" t="s">
        <v>115</v>
      </c>
      <c r="D12" s="11" t="s">
        <v>117</v>
      </c>
      <c r="G12" s="25" t="s">
        <v>0</v>
      </c>
      <c r="H12" s="25" t="s">
        <v>1</v>
      </c>
      <c r="I12" s="25"/>
    </row>
    <row r="13" spans="1:14" x14ac:dyDescent="0.2">
      <c r="A13" t="s">
        <v>75</v>
      </c>
      <c r="B13" s="8">
        <f>IF(D1="War",10%,0)+IF(AND(Setup!$F6=1,Setup!$F10=0),IF(Setup!$B$21&gt;=1200,15%,IF(Setup!$B$21&gt;=100,5%,0)),0)</f>
        <v>0.15</v>
      </c>
      <c r="C13" s="25">
        <f>IF(Setup!F$25=1,IF(ISBLANK($G$19),0,VLOOKUP($G$19,AtmaList,MATCH($A13,AtmaHeader,0),FALSE))+IF(ISBLANK($G$20),0,VLOOKUP($G$20,AtmaList,MATCH($A13,AtmaHeader,0),FALSE))+IF(ISBLANK($G$21),0,VLOOKUP($G$21,AtmaList,MATCH($A13,AtmaHeader,0),FALSE)),0)</f>
        <v>0</v>
      </c>
      <c r="D13" s="25">
        <f>IF(Setup!G$25=1,IF(ISBLANK($H$19),0,VLOOKUP($H$19,AtmaList,MATCH($A13,AtmaHeader,0),FALSE))+IF(ISBLANK($H$20),0,VLOOKUP($H$20,AtmaList,MATCH($A13,AtmaHeader,0),FALSE))+IF(ISBLANK($H$21),0,VLOOKUP($H$21,AtmaList,MATCH($A13,AtmaHeader,0),FALSE)),0)</f>
        <v>0</v>
      </c>
      <c r="F13" t="s">
        <v>127</v>
      </c>
      <c r="G13" s="3">
        <f ca="1">VLOOKUP(Gear!$B$3,INDIRECT(Gear!$A$3),MATCH("Dmg",StatHeader,0),0)</f>
        <v>333</v>
      </c>
      <c r="H13" s="3">
        <f ca="1">VLOOKUP(Gear!$X$3,INDIRECT(Gear!$A$3),MATCH("Dmg",StatHeader,0),0)</f>
        <v>333</v>
      </c>
      <c r="L13" s="3"/>
    </row>
    <row r="14" spans="1:14" x14ac:dyDescent="0.2">
      <c r="A14" t="s">
        <v>76</v>
      </c>
      <c r="B14" s="25">
        <f>0%</f>
        <v>0</v>
      </c>
      <c r="C14" s="25">
        <f>IF(Setup!F$25=1,IF(ISBLANK($G$19),0,VLOOKUP($G$19,AtmaList,MATCH($A14,AtmaHeader,0),FALSE))+IF(ISBLANK($G$20),0,VLOOKUP($G$20,AtmaList,MATCH($A14,AtmaHeader,0),FALSE))+IF(ISBLANK($G$21),0,VLOOKUP($G$21,AtmaList,MATCH($A14,AtmaHeader,0),FALSE)),0)</f>
        <v>0</v>
      </c>
      <c r="D14" s="25">
        <f>IF(Setup!G$25=1,IF(ISBLANK($H$19),0,VLOOKUP($H$19,AtmaList,MATCH($A14,AtmaHeader,0),FALSE))+IF(ISBLANK($H$20),0,VLOOKUP($H$20,AtmaList,MATCH($A14,AtmaHeader,0),FALSE))+IF(ISBLANK($H$21),0,VLOOKUP($H$21,AtmaList,MATCH($A14,AtmaHeader,0),FALSE)),0)</f>
        <v>0</v>
      </c>
      <c r="F14" t="s">
        <v>128</v>
      </c>
      <c r="G14" s="3">
        <f ca="1">VLOOKUP(Gear!$B$3,INDIRECT(Gear!$A$3),MATCH("Dly",StatHeader,0),0)</f>
        <v>480</v>
      </c>
      <c r="H14" s="3">
        <f ca="1">VLOOKUP(Gear!$X$3,INDIRECT(Gear!$A$3),MATCH("Dly",StatHeader,0),0)</f>
        <v>480</v>
      </c>
    </row>
    <row r="15" spans="1:14" x14ac:dyDescent="0.2">
      <c r="A15" t="s">
        <v>80</v>
      </c>
      <c r="B15" s="8">
        <f>IF(D1="SAM",25%,0) + IF(ISBLANK($F$1),0,VLOOKUP($F$1,Cheers,MATCH("Zanshin",CheersHeader,0),0))</f>
        <v>0.25</v>
      </c>
      <c r="C15" s="25">
        <f>IF(Setup!F$25=1,IF(ISBLANK($G$19),0,VLOOKUP($G$19,AtmaList,MATCH($A15,AtmaHeader,0),FALSE))+IF(ISBLANK($G$20),0,VLOOKUP($G$20,AtmaList,MATCH($A15,AtmaHeader,0),FALSE))+IF(ISBLANK($G$21),0,VLOOKUP($G$21,AtmaList,MATCH($A15,AtmaHeader,0),FALSE)),0)</f>
        <v>0</v>
      </c>
      <c r="D15" s="25">
        <f>IF(Setup!G$25=1,IF(ISBLANK($H$19),0,VLOOKUP($H$19,AtmaList,MATCH($A15,AtmaHeader,0),FALSE))+IF(ISBLANK($H$20),0,VLOOKUP($H$20,AtmaList,MATCH($A15,AtmaHeader,0),FALSE))+IF(ISBLANK($H$21),0,VLOOKUP($H$21,AtmaList,MATCH($A15,AtmaHeader,0),FALSE)),0)</f>
        <v>0</v>
      </c>
      <c r="F15" t="s">
        <v>1363</v>
      </c>
      <c r="G15" s="224" t="str">
        <f>Setup!B35</f>
        <v>Lv.3 - 50%</v>
      </c>
      <c r="H15" s="224" t="str">
        <f>Setup!C35</f>
        <v>Lv.3 - 50%</v>
      </c>
    </row>
    <row r="16" spans="1:14" x14ac:dyDescent="0.2">
      <c r="A16" s="24" t="s">
        <v>129</v>
      </c>
      <c r="B16" s="8">
        <v>0</v>
      </c>
      <c r="C16" s="25">
        <f>IF(Setup!F$25=1,IF(ISBLANK($G$19),0,VLOOKUP($G$19,AtmaList,MATCH($A16,AtmaHeader,0),FALSE))+IF(ISBLANK($G$20),0,VLOOKUP($G$20,AtmaList,MATCH($A16,AtmaHeader,0),FALSE))+IF(ISBLANK($G$21),0,VLOOKUP($G$21,AtmaList,MATCH($A16,AtmaHeader,0),FALSE)),0)</f>
        <v>0</v>
      </c>
      <c r="D16" s="25">
        <f>IF(Setup!G$25=1,IF(ISBLANK($H$19),0,VLOOKUP($H$19,AtmaList,MATCH($A16,AtmaHeader,0),FALSE))+IF(ISBLANK($H$20),0,VLOOKUP($H$20,AtmaList,MATCH($A16,AtmaHeader,0),FALSE))+IF(ISBLANK($H$21),0,VLOOKUP($H$21,AtmaList,MATCH($A16,AtmaHeader,0),FALSE)),0)</f>
        <v>0</v>
      </c>
      <c r="F16" t="s">
        <v>440</v>
      </c>
      <c r="G16" s="26">
        <f ca="1">MIN(Setup!F54 +TRUNC((VLOOKUP(Setup!$M41,CORMisersRoll,2,FALSE)
+IF(IFERROR(FIND("Empy",Setup!$J41,1),0)=0,0,'Other Lists'!$N$346)
+IF(IFERROR(FIND("+",Setup!$J41,1),0)=0,0,MID(Setup!$J41,FIND("+",Setup!$J41,1)+1,1))*'Other Lists'!$N$347)
*VLOOKUP(LEFT(Setup!$J41,IFERROR(FIND("+",Setup!$J41,1)-1,IFERROR(FIND(" ",Setup!$J41,1)-1,LEN(Setup!$J41)))),CORRollStates,2,FALSE),0)
+ IF(Setup!F$39=1, VLOOKUP("Save TP", Ionis, 2, 0), 0) + VLOOKUP(Gear!$X$3,INDIRECT(Gear!$A$3),MATCH("Save TP",StatHeader,0),0), 500)</f>
        <v>0</v>
      </c>
      <c r="H16" s="26">
        <f ca="1">MIN(Setup!G54 + TRUNC((VLOOKUP(Setup!$N41,CORMisersRoll,2,FALSE)
+IF(IFERROR(FIND("Empy",Setup!$K41,1),0)=0,0,'Other Lists'!$N$346)
+IF(IFERROR(FIND("+",Setup!$K41,1),0)=0,0,MID(Setup!$K41,FIND("+",Setup!$K41,1)+1,1))*'Other Lists'!$N$347)
*VLOOKUP(LEFT(Setup!$K41,IFERROR(FIND("+",Setup!$K41,1)-1,IFERROR(FIND(" ",Setup!$K41,1)-1,LEN(Setup!$K41)))),CORRollStates,2,FALSE),0)
+ IF(Setup!G$39=1, VLOOKUP("Save TP", Ionis, 2, 0), 0) + VLOOKUP(Gear!$X$3,INDIRECT(Gear!$A$3),MATCH("Save TP",StatHeader,0),0), 500)</f>
        <v>0</v>
      </c>
    </row>
    <row r="17" spans="1:13" x14ac:dyDescent="0.2">
      <c r="A17" t="s">
        <v>131</v>
      </c>
      <c r="B17" s="8">
        <f>IF(Setup!$B$21&gt;=1805,8%,IF(Setup!$B$21&gt;=980,6%,IF(Setup!$B$21&gt;=405,4%,IF(Setup!$B$21&gt;=80,2%,0%))))</f>
        <v>0.08</v>
      </c>
      <c r="C17" s="25">
        <f>IF(Setup!F$25=1,IF(ISBLANK($G$19),0,VLOOKUP($G$19,AtmaList,MATCH($A17,AtmaHeader,0),FALSE))+IF(ISBLANK($G$20),0,VLOOKUP($G$20,AtmaList,MATCH($A17,AtmaHeader,0),FALSE))+IF(ISBLANK($G$21),0,VLOOKUP($G$21,AtmaList,MATCH($A17,AtmaHeader,0),FALSE)),0)</f>
        <v>0</v>
      </c>
      <c r="D17" s="25">
        <f>IF(Setup!G$25=1,IF(ISBLANK($H$19),0,VLOOKUP($H$19,AtmaList,MATCH($A17,AtmaHeader,0),FALSE))+IF(ISBLANK($H$20),0,VLOOKUP($H$20,AtmaList,MATCH($A17,AtmaHeader,0),FALSE))+IF(ISBLANK($H$21),0,VLOOKUP($H$21,AtmaList,MATCH($A17,AtmaHeader,0),FALSE)),0)</f>
        <v>0</v>
      </c>
      <c r="F17" t="s">
        <v>72</v>
      </c>
      <c r="G17" s="26">
        <f>276+MIN(5,B1-75)*5+MIN(10,B1-80)*6+MIN(9,B1-90)*7+Setup!B17</f>
        <v>440</v>
      </c>
    </row>
    <row r="18" spans="1:13" x14ac:dyDescent="0.2">
      <c r="A18" t="s">
        <v>82</v>
      </c>
      <c r="B18" s="3">
        <f>IF(D1="SAM",15,0)</f>
        <v>15</v>
      </c>
      <c r="C18" s="26">
        <f>IF(Setup!F$25=1,IF(ISBLANK($G$19),0,VLOOKUP($G$19,AtmaList,MATCH(A18,AtmaHeader,0),FALSE))+IF(ISBLANK($G$20),0,VLOOKUP($G$20,AtmaList,MATCH(A18,AtmaHeader,0),FALSE))+IF(ISBLANK($G$21),0,VLOOKUP($G$21,AtmaList,MATCH(A18,AtmaHeader,0),FALSE)),0)</f>
        <v>0</v>
      </c>
      <c r="D18" s="4">
        <f>IF(Setup!G$25=1,IF(ISBLANK($H$19),0,VLOOKUP($H$19,AtmaList,MATCH(A18,AtmaHeader,0),FALSE))+IF(ISBLANK($H$20),0,VLOOKUP($H$20,AtmaList,MATCH(A18,AtmaHeader,0),FALSE))+IF(ISBLANK($H$21),0,VLOOKUP($H$21,AtmaList,MATCH(A18,AtmaHeader,0),FALSE)),0)</f>
        <v>0</v>
      </c>
      <c r="G18" s="1" t="s">
        <v>122</v>
      </c>
      <c r="H18" s="1" t="s">
        <v>123</v>
      </c>
    </row>
    <row r="19" spans="1:13" x14ac:dyDescent="0.2">
      <c r="A19" s="24" t="s">
        <v>132</v>
      </c>
      <c r="B19" s="4">
        <f>VLOOKUP(E1,Food,MATCH("STP",FoodHeader,0),0)</f>
        <v>0</v>
      </c>
      <c r="G19" s="3" t="str">
        <f>Setup!F27</f>
        <v>Razed Ruin</v>
      </c>
      <c r="H19" s="3" t="str">
        <f>Setup!G27</f>
        <v>Razed Ruin</v>
      </c>
    </row>
    <row r="20" spans="1:13" x14ac:dyDescent="0.2">
      <c r="A20" t="s">
        <v>130</v>
      </c>
      <c r="B20" s="8">
        <v>0.26</v>
      </c>
      <c r="G20" s="3" t="str">
        <f>Setup!F28</f>
        <v>V. Violet</v>
      </c>
      <c r="H20" s="3" t="str">
        <f>Setup!G28</f>
        <v>V. Violet</v>
      </c>
    </row>
    <row r="21" spans="1:13" x14ac:dyDescent="0.2">
      <c r="A21" s="24" t="s">
        <v>102</v>
      </c>
      <c r="B21">
        <v>0</v>
      </c>
      <c r="C21" s="26">
        <f>IF(Setup!F$25=1,IF(ISBLANK($G$19),0,VLOOKUP($G$19,AtmaList,MATCH(A21,AtmaHeader,0),FALSE))+IF(ISBLANK($G$20),0,VLOOKUP($G$20,AtmaList,MATCH(A21,AtmaHeader,0),FALSE))+IF(ISBLANK($G$21),0,VLOOKUP($G$21,AtmaList,MATCH(A21,AtmaHeader,0),FALSE)),0)</f>
        <v>0</v>
      </c>
      <c r="D21" s="4">
        <f>IF(Setup!G$25=1,IF(ISBLANK($H$19),0,VLOOKUP($H$19,AtmaList,MATCH(A21,AtmaHeader,0),FALSE))+IF(ISBLANK($H$20),0,VLOOKUP($H$20,AtmaList,MATCH(A21,AtmaHeader,0),FALSE))+IF(ISBLANK($H$21),0,VLOOKUP($H$21,AtmaList,MATCH(A21,AtmaHeader,0),FALSE)),0)</f>
        <v>0</v>
      </c>
      <c r="G21" s="3" t="str">
        <f>Setup!F29</f>
        <v>Apocalypse</v>
      </c>
      <c r="H21" s="3" t="str">
        <f>Setup!G29</f>
        <v>Apocalypse</v>
      </c>
    </row>
    <row r="22" spans="1:13" x14ac:dyDescent="0.2">
      <c r="A22" s="24" t="s">
        <v>81</v>
      </c>
      <c r="B22">
        <v>0</v>
      </c>
      <c r="C22" s="26">
        <f>IF(Setup!F$25=1,IF(ISBLANK($G$19),0,VLOOKUP($G$19,AtmaList,MATCH(A22,AtmaHeader,0),FALSE))+IF(ISBLANK($G$20),0,VLOOKUP($G$20,AtmaList,MATCH(A22,AtmaHeader,0),FALSE))+IF(ISBLANK($G$21),0,VLOOKUP($G$21,AtmaList,MATCH(A22,AtmaHeader,0),FALSE)),0)</f>
        <v>0</v>
      </c>
      <c r="D22" s="4">
        <f>IF(Setup!G$25=1,IF(ISBLANK($H$19),0,VLOOKUP($H$19,AtmaList,MATCH(A22,AtmaHeader,0),FALSE))+IF(ISBLANK($H$20),0,VLOOKUP($H$20,AtmaList,MATCH(A22,AtmaHeader,0),FALSE))+IF(ISBLANK($H$21),0,VLOOKUP($H$21,AtmaList,MATCH(A22,AtmaHeader,0),FALSE)),0)</f>
        <v>0</v>
      </c>
    </row>
    <row r="23" spans="1:13" x14ac:dyDescent="0.2">
      <c r="A23" s="11" t="s">
        <v>103</v>
      </c>
      <c r="B23" s="8">
        <v>0</v>
      </c>
      <c r="C23" s="25">
        <f>IF(Setup!F$25=1,IF(ISBLANK($G$19),0,VLOOKUP($G$19,AtmaList,MATCH($A23,AtmaHeader,0),FALSE))+IF(ISBLANK($G$20),0,VLOOKUP($G$20,AtmaList,MATCH($A23,AtmaHeader,0),FALSE))+IF(ISBLANK($G$21),0,VLOOKUP($G$21,AtmaList,MATCH($A23,AtmaHeader,0),FALSE)),0)</f>
        <v>0</v>
      </c>
      <c r="D23" s="25">
        <f>IF(Setup!G$25=1,IF(ISBLANK($H$19),0,VLOOKUP($H$19,AtmaList,MATCH($A23,AtmaHeader,0),FALSE))+IF(ISBLANK($H$20),0,VLOOKUP($H$20,AtmaList,MATCH($A23,AtmaHeader,0),FALSE))+IF(ISBLANK($H$21),0,VLOOKUP($H$21,AtmaList,MATCH($A23,AtmaHeader,0),FALSE)),0)</f>
        <v>0</v>
      </c>
    </row>
    <row r="24" spans="1:13" x14ac:dyDescent="0.2">
      <c r="A24" s="11" t="s">
        <v>1453</v>
      </c>
      <c r="B24" s="11">
        <f>IF(L11="Dragon",10,IF(AND(D1="Sam",L11="Demon"),8,IF(AND(D1="Drk",L11="Arcana"),8,IF(AND(D1="Pld",L11="Undead"),8,IF(AND(D1="Bst",L11&lt;&gt;"Other"),8,0)))))+IF(AND($L$11="Demon",$F$1="Abyssal Wyrm"),10,0)</f>
        <v>0</v>
      </c>
      <c r="C24" s="24">
        <f>IF(Setup!F$25=0,0,IF(ISBLANK($G$19),0,IF(LEFT(VLOOKUP($G$19,AtmaList,MATCH($A24,AtmaHeader,0),FALSE),LEN($L$11))=$L$11,MID(VLOOKUP($G$19,AtmaList,MATCH($A24,AtmaHeader,0),FALSE),LEN($L$11)+2,2),0)+IF(LEFT(VLOOKUP($G$20,AtmaList,MATCH($A24,AtmaHeader,0),FALSE),LEN($L$11))=$L$11,MID(VLOOKUP($G$20,AtmaList,MATCH($A24,AtmaHeader,0),FALSE),LEN($L$11)+2,2),0)
+IF(LEFT(VLOOKUP($G$21,AtmaList,MATCH($A24,AtmaHeader,0),FALSE),LEN($L$11))=$L$11,MID(VLOOKUP($G$21,AtmaList,MATCH($A24,AtmaHeader,0),FALSE),LEN($L$11)+2,2),0)))</f>
        <v>0</v>
      </c>
      <c r="D24" s="24">
        <f>IF(Setup!G$25=0,0,IF(ISBLANK($H$19),0,IF(LEFT(VLOOKUP($H$19,AtmaList,MATCH($A24,AtmaHeader,0),FALSE),LEN($L$11))=$L$11,MID(VLOOKUP($H$19,AtmaList,MATCH($A24,AtmaHeader,0),FALSE),LEN($L$11)+2,2),0)+IF(LEFT(VLOOKUP($H$20,AtmaList,MATCH($A24,AtmaHeader,0),FALSE),LEN($L$11))=$L$11,MID(VLOOKUP($H$20,AtmaList,MATCH($A24,AtmaHeader,0),FALSE),LEN($L$11)+2,2),0)
+IF(LEFT(VLOOKUP($H$21,AtmaList,MATCH($A24,AtmaHeader,0),FALSE),LEN($L$11))=$L$11,MID(VLOOKUP($H$21,AtmaList,MATCH($A24,AtmaHeader,0),FALSE),LEN($L$11)+2,2),0)))</f>
        <v>0</v>
      </c>
    </row>
    <row r="25" spans="1:13" x14ac:dyDescent="0.2">
      <c r="F25" s="27" t="s">
        <v>53</v>
      </c>
      <c r="G25" s="27"/>
      <c r="H25" s="27"/>
      <c r="I25" s="27"/>
      <c r="J25" s="27"/>
      <c r="K25" s="27"/>
      <c r="L25" s="27"/>
      <c r="M25" s="27"/>
    </row>
    <row r="26" spans="1:13" x14ac:dyDescent="0.2">
      <c r="A26" s="229" t="s">
        <v>133</v>
      </c>
      <c r="B26" s="230" t="s">
        <v>134</v>
      </c>
      <c r="C26" s="230" t="s">
        <v>135</v>
      </c>
      <c r="D26" s="231" t="s">
        <v>136</v>
      </c>
      <c r="E26" s="232" t="s">
        <v>137</v>
      </c>
      <c r="F26" s="27" t="s">
        <v>138</v>
      </c>
      <c r="G26" s="27" t="s">
        <v>139</v>
      </c>
      <c r="H26" s="29" t="s">
        <v>140</v>
      </c>
      <c r="I26" s="30" t="s">
        <v>141</v>
      </c>
      <c r="J26" s="27" t="s">
        <v>142</v>
      </c>
      <c r="K26" s="27" t="s">
        <v>143</v>
      </c>
      <c r="L26" s="29" t="s">
        <v>144</v>
      </c>
      <c r="M26" s="30" t="s">
        <v>145</v>
      </c>
    </row>
    <row r="27" spans="1:13" x14ac:dyDescent="0.2">
      <c r="A27" s="31" t="s">
        <v>72</v>
      </c>
      <c r="B27" s="32">
        <f ca="1">$G$17+HLOOKUP($A27,INDIRECT(B$26),MATCH("Total",Slots,0)+1,0) + VLOOKUP(Gear!$B$3,INDIRECT(Gear!$A$3),MATCH("CombatSkill",StatHeader,0),0)</f>
        <v>690</v>
      </c>
      <c r="C27" s="33">
        <f ca="1">$G$17+HLOOKUP($A27,INDIRECT(C$26),MATCH("Total",Slots,0)+1,0) + VLOOKUP(Gear!$X$3,INDIRECT(Gear!$W$3),MATCH("CombatSkill",StatHeader,0),0)</f>
        <v>690</v>
      </c>
      <c r="D27" s="32">
        <f ca="1">$G$17+HLOOKUP($A27,INDIRECT(D$26),MATCH("Total",Slots,0)+1,0) + VLOOKUP(Gear!$B$3,INDIRECT(Gear!$A$3),MATCH("CombatSkill",StatHeader,0),0)</f>
        <v>690</v>
      </c>
      <c r="E27" s="34">
        <f ca="1">$G$17+HLOOKUP($A27,INDIRECT(E$26),MATCH("Total",Slots,0)+1,0) + VLOOKUP(Gear!$X$3,INDIRECT(Gear!$W$3),MATCH("CombatSkill",StatHeader,0),0)</f>
        <v>690</v>
      </c>
      <c r="F27" s="32">
        <f ca="1">$G$17+HLOOKUP($A27,INDIRECT(F$26),MATCH("Total",Slots,0)+1,0) + VLOOKUP(Gear!$B$3,INDIRECT(Gear!$A$3),MATCH("CombatSkill",StatHeader,0),0)</f>
        <v>705</v>
      </c>
      <c r="G27" s="33">
        <f ca="1">$G$17+HLOOKUP($A27,INDIRECT(G$26),MATCH("Total",Slots,0)+1,0) + VLOOKUP(Gear!$X$3,INDIRECT(Gear!$W$3),MATCH("CombatSkill",StatHeader,0),0)</f>
        <v>705</v>
      </c>
      <c r="H27" s="32">
        <f ca="1">$G$17+HLOOKUP($A27,INDIRECT(H$26),MATCH("Total",Slots,0)+1,0) + VLOOKUP(Gear!$B$3,INDIRECT(Gear!$A$3),MATCH("CombatSkill",StatHeader,0),0)</f>
        <v>705</v>
      </c>
      <c r="I27" s="34">
        <f ca="1">$G$17+HLOOKUP($A27,INDIRECT(I$26),MATCH("Total",Slots,0)+1,0) + VLOOKUP(Gear!$X$3,INDIRECT(Gear!$W$3),MATCH("CombatSkill",StatHeader,0),0)</f>
        <v>705</v>
      </c>
      <c r="J27" s="32">
        <f ca="1">$G$17+HLOOKUP($A27,INDIRECT(J$26),MATCH("Total",Slots,0)+1,0) + VLOOKUP(Gear!$B$3,INDIRECT(Gear!$A$3),MATCH("CombatSkill",StatHeader,0),0)</f>
        <v>705</v>
      </c>
      <c r="K27" s="33">
        <f ca="1">$G$17+HLOOKUP($A27,INDIRECT(K$26),MATCH("Total",Slots,0)+1,0) + VLOOKUP(Gear!$X$3,INDIRECT(Gear!$W$3),MATCH("CombatSkill",StatHeader,0),0)</f>
        <v>705</v>
      </c>
      <c r="L27" s="32">
        <f ca="1">$G$17+HLOOKUP($A27,INDIRECT(L$26),MATCH("Total",Slots,0)+1,0) + VLOOKUP(Gear!$B$3,INDIRECT(Gear!$A$3),MATCH("CombatSkill",StatHeader,0),0)</f>
        <v>705</v>
      </c>
      <c r="M27" s="34">
        <f ca="1">$G$17+HLOOKUP($A27,INDIRECT(M$26),MATCH("Total",Slots,0)+1,0) + VLOOKUP(Gear!$X$3,INDIRECT(Gear!$W$3),MATCH("CombatSkill",StatHeader,0),0)</f>
        <v>705</v>
      </c>
    </row>
    <row r="28" spans="1:13" x14ac:dyDescent="0.2">
      <c r="A28" s="31" t="s">
        <v>73</v>
      </c>
      <c r="B28" s="32">
        <f t="shared" ref="B28:M28" ca="1" si="1">8+B27+$H$9</f>
        <v>720</v>
      </c>
      <c r="C28" s="34">
        <f t="shared" ca="1" si="1"/>
        <v>720</v>
      </c>
      <c r="D28" s="32">
        <f t="shared" ca="1" si="1"/>
        <v>720</v>
      </c>
      <c r="E28" s="34">
        <f t="shared" ca="1" si="1"/>
        <v>720</v>
      </c>
      <c r="F28" s="32">
        <f t="shared" ca="1" si="1"/>
        <v>735</v>
      </c>
      <c r="G28" s="34">
        <f t="shared" ca="1" si="1"/>
        <v>735</v>
      </c>
      <c r="H28" s="32">
        <f t="shared" ca="1" si="1"/>
        <v>735</v>
      </c>
      <c r="I28" s="34">
        <f t="shared" ca="1" si="1"/>
        <v>735</v>
      </c>
      <c r="J28" s="32">
        <f t="shared" ca="1" si="1"/>
        <v>735</v>
      </c>
      <c r="K28" s="34">
        <f t="shared" ca="1" si="1"/>
        <v>735</v>
      </c>
      <c r="L28" s="32">
        <f t="shared" ca="1" si="1"/>
        <v>735</v>
      </c>
      <c r="M28" s="34">
        <f t="shared" ca="1" si="1"/>
        <v>735</v>
      </c>
    </row>
    <row r="29" spans="1:13" x14ac:dyDescent="0.2">
      <c r="A29" s="35" t="s">
        <v>74</v>
      </c>
      <c r="B29" s="201">
        <f t="shared" ref="B29:M29" ca="1" si="2">MIN(B27, 200) + TRUNC(MAX(MIN(B27-200, 200), 0)*0.9) + TRUNC(MAX(MIN(B27-400, 200), 0)*0.8) + TRUNC(MAX(MIN(B27-600, 200), 0)*0.9)</f>
        <v>621</v>
      </c>
      <c r="C29" s="202">
        <f t="shared" ca="1" si="2"/>
        <v>621</v>
      </c>
      <c r="D29" s="201">
        <f t="shared" ca="1" si="2"/>
        <v>621</v>
      </c>
      <c r="E29" s="202">
        <f t="shared" ca="1" si="2"/>
        <v>621</v>
      </c>
      <c r="F29" s="201">
        <f t="shared" ca="1" si="2"/>
        <v>634</v>
      </c>
      <c r="G29" s="202">
        <f t="shared" ca="1" si="2"/>
        <v>634</v>
      </c>
      <c r="H29" s="201">
        <f t="shared" ca="1" si="2"/>
        <v>634</v>
      </c>
      <c r="I29" s="202">
        <f t="shared" ca="1" si="2"/>
        <v>634</v>
      </c>
      <c r="J29" s="201">
        <f t="shared" ca="1" si="2"/>
        <v>634</v>
      </c>
      <c r="K29" s="202">
        <f t="shared" ca="1" si="2"/>
        <v>634</v>
      </c>
      <c r="L29" s="201">
        <f t="shared" ca="1" si="2"/>
        <v>634</v>
      </c>
      <c r="M29" s="202">
        <f t="shared" ca="1" si="2"/>
        <v>634</v>
      </c>
    </row>
    <row r="30" spans="1:13" x14ac:dyDescent="0.2">
      <c r="A30" s="141" t="s">
        <v>428</v>
      </c>
      <c r="B30" s="151">
        <f>TRUNC(MIN(200, MAX(0, Setup!$J7-300))/10) + 5</f>
        <v>25</v>
      </c>
      <c r="C30" s="152">
        <f>TRUNC(MIN(200, MAX(0, Setup!$K7-300))/10) + 5</f>
        <v>25</v>
      </c>
      <c r="D30" s="151">
        <f>TRUNC(MIN(200, MAX(0, Setup!$J7-300))/10) + 5</f>
        <v>25</v>
      </c>
      <c r="E30" s="152">
        <f>TRUNC(MIN(200, MAX(0, Setup!$K7-300))/10) + 5</f>
        <v>25</v>
      </c>
      <c r="F30" s="151">
        <f>TRUNC(MIN(200, MAX(0, Setup!$J7-300))/10) + 5</f>
        <v>25</v>
      </c>
      <c r="G30" s="152">
        <f>TRUNC(MIN(200, MAX(0, Setup!$K7-300))/10) + 5</f>
        <v>25</v>
      </c>
      <c r="H30" s="151">
        <f>TRUNC(MIN(200, MAX(0, Setup!$J7-300))/10) + 5</f>
        <v>25</v>
      </c>
      <c r="I30" s="152">
        <f>TRUNC(MIN(200, MAX(0, Setup!$K7-300))/10) + 5</f>
        <v>25</v>
      </c>
      <c r="J30" s="151">
        <f>TRUNC(MIN(200, MAX(0, Setup!$J7-300))/10) + 5</f>
        <v>25</v>
      </c>
      <c r="K30" s="152">
        <f>TRUNC(MIN(200, MAX(0, Setup!$K7-300))/10) + 5</f>
        <v>25</v>
      </c>
      <c r="L30" s="151">
        <f>TRUNC(MIN(200, MAX(0, Setup!$J7-300))/10) + 5</f>
        <v>25</v>
      </c>
      <c r="M30" s="152">
        <f>TRUNC(MIN(200, MAX(0, Setup!$K7-300))/10) + 5</f>
        <v>25</v>
      </c>
    </row>
    <row r="31" spans="1:13" x14ac:dyDescent="0.2">
      <c r="A31" s="141" t="s">
        <v>429</v>
      </c>
      <c r="B31" s="151">
        <f>IF(Setup!$M25=5, 5, IF(Setup!$M25&lt;2, 0, Setup!$M25-1))</f>
        <v>3</v>
      </c>
      <c r="C31" s="153">
        <f>IF(Setup!$N25=5, 5, IF(Setup!$N25&lt;2, 0, Setup!$N25-1))</f>
        <v>3</v>
      </c>
      <c r="D31" s="151">
        <f>IF(Setup!$M25=5, 5, IF(Setup!$M25&lt;2, 0, Setup!$M25-1))</f>
        <v>3</v>
      </c>
      <c r="E31" s="153">
        <f>IF(Setup!$N25=5, 5, IF(Setup!$N25&lt;2, 0, Setup!$N25-1))</f>
        <v>3</v>
      </c>
      <c r="F31" s="151">
        <f>IF(Setup!$M25=5, 5, IF(Setup!$M25&lt;2, 0, Setup!$M25-1))</f>
        <v>3</v>
      </c>
      <c r="G31" s="153">
        <f>IF(Setup!$N25=5, 5, IF(Setup!$N25&lt;2, 0, Setup!$N25-1))</f>
        <v>3</v>
      </c>
      <c r="H31" s="151">
        <f>IF(Setup!$M25=5, 5, IF(Setup!$M25&lt;2, 0, Setup!$M25-1))</f>
        <v>3</v>
      </c>
      <c r="I31" s="153">
        <f>IF(Setup!$N25=5, 5, IF(Setup!$N25&lt;2, 0, Setup!$N25-1))</f>
        <v>3</v>
      </c>
      <c r="J31" s="151">
        <f>IF(Setup!$M25=5, 5, IF(Setup!$M25&lt;2, 0, Setup!$M25-1))</f>
        <v>3</v>
      </c>
      <c r="K31" s="153">
        <f>IF(Setup!$N25=5, 5, IF(Setup!$N25&lt;2, 0, Setup!$N25-1))</f>
        <v>3</v>
      </c>
      <c r="L31" s="151">
        <f>IF(Setup!$M25=5, 5, IF(Setup!$M25&lt;2, 0, Setup!$M25-1))</f>
        <v>3</v>
      </c>
      <c r="M31" s="153">
        <f>IF(Setup!$N25=5, 5, IF(Setup!$N25&lt;2, 0, Setup!$N25-1))</f>
        <v>3</v>
      </c>
    </row>
    <row r="32" spans="1:13" x14ac:dyDescent="0.2">
      <c r="A32" s="141" t="s">
        <v>455</v>
      </c>
      <c r="B32" s="151">
        <f>IF(Setup!$F10=1, 1 + TRUNC($B$1/5), 0)</f>
        <v>0</v>
      </c>
      <c r="C32" s="153">
        <f>IF(Setup!$G10=1, 1 + TRUNC($B$1/5), 0)</f>
        <v>0</v>
      </c>
      <c r="D32" s="151">
        <f>IF(Setup!$F10=1, 1 + TRUNC($B$1/5), 0)</f>
        <v>0</v>
      </c>
      <c r="E32" s="153">
        <f>IF(Setup!$G10=1, 1 + TRUNC($B$1/5), 0)</f>
        <v>0</v>
      </c>
      <c r="F32" s="151">
        <f>IF(Setup!$F10=1, 1 + TRUNC($B$1/5), 0)</f>
        <v>0</v>
      </c>
      <c r="G32" s="153">
        <f>IF(Setup!$G10=1, 1 + TRUNC($B$1/5), 0)</f>
        <v>0</v>
      </c>
      <c r="H32" s="151">
        <f>IF(Setup!$F10=1, 1 + TRUNC($B$1/5), 0)</f>
        <v>0</v>
      </c>
      <c r="I32" s="153">
        <f>IF(Setup!$G10=1, 1 + TRUNC($B$1/5), 0)</f>
        <v>0</v>
      </c>
      <c r="J32" s="151">
        <f>IF(Setup!$F10=1, 1 + TRUNC($B$1/5), 0)</f>
        <v>0</v>
      </c>
      <c r="K32" s="153">
        <f>IF(Setup!$G10=1, 1 + TRUNC($B$1/5), 0)</f>
        <v>0</v>
      </c>
      <c r="L32" s="151">
        <f>IF(Setup!$F10=1, 1 + TRUNC($B$1/5), 0)</f>
        <v>0</v>
      </c>
      <c r="M32" s="153">
        <f>IF(Setup!$G10=1, 1 + TRUNC($B$1/5), 0)</f>
        <v>0</v>
      </c>
    </row>
    <row r="33" spans="1:16" x14ac:dyDescent="0.2">
      <c r="A33" s="141" t="s">
        <v>735</v>
      </c>
      <c r="B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C33" s="153">
        <f>TRUNC(VLOOKUP(Setup!$K$46,Geomancy,MATCH("Multiplier",GeomancyHeader,0),0)*
((1+TRUNC(MAX(0,MIN(900,Setup!$N$44))/37.5))+
MAX(0,MIN(10,Setup!$N$45))*VLOOKUP(Setup!$K$46,Geomancy,MATCH("GeoPlus",GeomancyHeader,0),0)*2))</f>
        <v>0</v>
      </c>
      <c r="D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E33" s="153">
        <f>TRUNC(VLOOKUP(Setup!$K$46,Geomancy,MATCH("Multiplier",GeomancyHeader,0),0)*
((1+TRUNC(MAX(0,MIN(900,Setup!$N$44))/37.5))+
MAX(0,MIN(10,Setup!$N$45))*VLOOKUP(Setup!$K$46,Geomancy,MATCH("GeoPlus",GeomancyHeader,0),0)*2))</f>
        <v>0</v>
      </c>
      <c r="F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G33" s="153">
        <f>TRUNC(VLOOKUP(Setup!$K$46,Geomancy,MATCH("Multiplier",GeomancyHeader,0),0)*
((1+TRUNC(MAX(0,MIN(900,Setup!$N$44))/37.5))+
MAX(0,MIN(10,Setup!$N$45))*VLOOKUP(Setup!$K$46,Geomancy,MATCH("GeoPlus",GeomancyHeader,0),0)*2))</f>
        <v>0</v>
      </c>
      <c r="H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I33" s="153">
        <f>TRUNC(VLOOKUP(Setup!$K$46,Geomancy,MATCH("Multiplier",GeomancyHeader,0),0)*
((1+TRUNC(MAX(0,MIN(900,Setup!$N$44))/37.5))+
MAX(0,MIN(10,Setup!$N$45))*VLOOKUP(Setup!$K$46,Geomancy,MATCH("GeoPlus",GeomancyHeader,0),0)*2))</f>
        <v>0</v>
      </c>
      <c r="J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K33" s="153">
        <f>TRUNC(VLOOKUP(Setup!$K$46,Geomancy,MATCH("Multiplier",GeomancyHeader,0),0)*
((1+TRUNC(MAX(0,MIN(900,Setup!$N$44))/37.5))+
MAX(0,MIN(10,Setup!$N$45))*VLOOKUP(Setup!$K$46,Geomancy,MATCH("GeoPlus",GeomancyHeader,0),0)*2))</f>
        <v>0</v>
      </c>
      <c r="L33" s="151">
        <f>TRUNC(VLOOKUP(Setup!$J$46,Geomancy,MATCH("Multiplier",GeomancyHeader,0),0)*
((1+TRUNC(MAX(0,MIN(900,Setup!$M$44))/37.5))+
MAX(0,MIN(10,Setup!$M$45))*VLOOKUP(Setup!$J$46,Geomancy,MATCH("GeoPlus",GeomancyHeader,0),0)*2))</f>
        <v>0</v>
      </c>
      <c r="M33" s="153">
        <f>TRUNC(VLOOKUP(Setup!$K$46,Geomancy,MATCH("Multiplier",GeomancyHeader,0),0)*
((1+TRUNC(MAX(0,MIN(900,Setup!$N$44))/37.5))+
MAX(0,MIN(10,Setup!$N$45))*VLOOKUP(Setup!$K$46,Geomancy,MATCH("GeoPlus",GeomancyHeader,0),0)*2))</f>
        <v>0</v>
      </c>
    </row>
    <row r="34" spans="1:16" x14ac:dyDescent="0.2">
      <c r="A34" s="141" t="s">
        <v>737</v>
      </c>
      <c r="B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C34" s="153">
        <f>TRUNC(VLOOKUP(Setup!$K$47,Geomancy,MATCH("Multiplier",GeomancyHeader,0),0)*
((1+TRUNC(MAX(0,MIN(900,Setup!$N$44))/37.5))+
MAX(0,MIN(10,Setup!$N$45))*VLOOKUP(Setup!$K$47,Geomancy,MATCH("GeoPlus",GeomancyHeader,0),0)*2))</f>
        <v>0</v>
      </c>
      <c r="D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E34" s="153">
        <f>TRUNC(VLOOKUP(Setup!$K$47,Geomancy,MATCH("Multiplier",GeomancyHeader,0),0)*
((1+TRUNC(MAX(0,MIN(900,Setup!$N$44))/37.5))+
MAX(0,MIN(10,Setup!$N$45))*VLOOKUP(Setup!$K$47,Geomancy,MATCH("GeoPlus",GeomancyHeader,0),0)*2))</f>
        <v>0</v>
      </c>
      <c r="F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G34" s="153">
        <f>TRUNC(VLOOKUP(Setup!$K$47,Geomancy,MATCH("Multiplier",GeomancyHeader,0),0)*
((1+TRUNC(MAX(0,MIN(900,Setup!$N$44))/37.5))+
MAX(0,MIN(10,Setup!$N$45))*VLOOKUP(Setup!$K$47,Geomancy,MATCH("GeoPlus",GeomancyHeader,0),0)*2))</f>
        <v>0</v>
      </c>
      <c r="H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I34" s="153">
        <f>TRUNC(VLOOKUP(Setup!$K$47,Geomancy,MATCH("Multiplier",GeomancyHeader,0),0)*
((1+TRUNC(MAX(0,MIN(900,Setup!$N$44))/37.5))+
MAX(0,MIN(10,Setup!$N$45))*VLOOKUP(Setup!$K$47,Geomancy,MATCH("GeoPlus",GeomancyHeader,0),0)*2))</f>
        <v>0</v>
      </c>
      <c r="J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K34" s="153">
        <f>TRUNC(VLOOKUP(Setup!$K$47,Geomancy,MATCH("Multiplier",GeomancyHeader,0),0)*
((1+TRUNC(MAX(0,MIN(900,Setup!$N$44))/37.5))+
MAX(0,MIN(10,Setup!$N$45))*VLOOKUP(Setup!$K$47,Geomancy,MATCH("GeoPlus",GeomancyHeader,0),0)*2))</f>
        <v>0</v>
      </c>
      <c r="L34" s="151">
        <f>TRUNC(VLOOKUP(Setup!$J$47,Geomancy,MATCH("Multiplier",GeomancyHeader,0),0)*
((1+TRUNC(MAX(0,MIN(900,Setup!$M$44))/37.5))+
MAX(0,MIN(10,Setup!$M$45))*VLOOKUP(Setup!$J$47,Geomancy,MATCH("GeoPlus",GeomancyHeader,0),0)*2))</f>
        <v>0</v>
      </c>
      <c r="M34" s="153">
        <f>TRUNC(VLOOKUP(Setup!$K$47,Geomancy,MATCH("Multiplier",GeomancyHeader,0),0)*
((1+TRUNC(MAX(0,MIN(900,Setup!$N$44))/37.5))+
MAX(0,MIN(10,Setup!$N$45))*VLOOKUP(Setup!$K$47,Geomancy,MATCH("GeoPlus",GeomancyHeader,0),0)*2))</f>
        <v>0</v>
      </c>
    </row>
    <row r="35" spans="1:16" x14ac:dyDescent="0.2">
      <c r="A35" t="s">
        <v>26</v>
      </c>
      <c r="B35" s="11">
        <f ca="1">$H3 + B32 + B33 + HLOOKUP($A35,INDIRECT(B$26),MATCH("Total",Slots,0)+1,0) + IF(AND($D$1="SAM",Setup!$F14=1),FLOOR($B$1/14,1),0) + IF(AND(Setup!$J8=1,Setup!$I$8="Boost-Str"), B$30, 0) + IF(Setup!$J30&lt;&gt;"Off", B$31, 0) + IF(Setup!$J29&lt;&gt;"Off", B$31, 0) + IF(Setup!$J28&lt;&gt;"Off", B$31, 0)</f>
        <v>349</v>
      </c>
      <c r="C35" s="123">
        <f ca="1">$I3 + C32 + C33 + HLOOKUP($A35,INDIRECT(C$26),MATCH("Total",Slots,0)+1,0) + IF(AND($D$1="SAM",Setup!$G14=1),FLOOR($B$1/14,1),0) + IF(AND(Setup!$K8=1,Setup!$I$8="Boost-Str"), C$30, 0) + IF(Setup!$K30&lt;&gt;"Off", C$31, 0) + IF(Setup!$K29&lt;&gt;"Off", C$31, 0) + IF(Setup!$K28&lt;&gt;"Off", C$31, 0)</f>
        <v>349</v>
      </c>
      <c r="D35" s="11">
        <f ca="1">$H3 + D32 + D33 + HLOOKUP($A35,INDIRECT(D$26),MATCH("Total",Slots,0)+1,0) + IF(AND($D$1="SAM",Setup!$F14=1),FLOOR($B$1/14,1),0) + IF(AND(Setup!$J8=1,Setup!$I$8="Boost-Str"), D$30, 0) + IF(Setup!$J30&lt;&gt;"Off", D$31, 0) + IF(Setup!$J29&lt;&gt;"Off", D$31, 0) + IF(Setup!$J28&lt;&gt;"Off", D$31, 0)</f>
        <v>354</v>
      </c>
      <c r="E35" s="123">
        <f ca="1">$I3 + E32 + E33 + HLOOKUP($A35,INDIRECT(E$26),MATCH("Total",Slots,0)+1,0) + IF(AND($D$1="SAM",Setup!$G14=1),FLOOR($B$1/14,1),0) + IF(AND(Setup!$K8=1,Setup!$I$8="Boost-Str"), E$30, 0) + IF(Setup!$K30&lt;&gt;"Off", E$31, 0) + IF(Setup!$K29&lt;&gt;"Off", E$31, 0) + IF(Setup!$K28&lt;&gt;"Off", E$31, 0)</f>
        <v>354</v>
      </c>
      <c r="F35" s="11">
        <f ca="1">$H3 + F32 + F33 + HLOOKUP($A35,INDIRECT(F$26),MATCH("Total",Slots,0)+1,0) + IF(AND($D$1="SAM",Setup!$F14=1),FLOOR($B$1/14,1),0) + IF(AND(Setup!$J8=1,Setup!$I$8="Boost-Str"), F$30, 0) + IF(Setup!$J30&lt;&gt;"Off", F$31, 0) + IF(Setup!$J29&lt;&gt;"Off", F$31, 0) + IF(Setup!$J28&lt;&gt;"Off", F$31, 0)</f>
        <v>263</v>
      </c>
      <c r="G35" s="123">
        <f ca="1">$I3 + G32 + G33 + HLOOKUP($A35,INDIRECT(G$26),MATCH("Total",Slots,0)+1,0) + IF(AND($D$1="SAM",Setup!$G14=1),FLOOR($B$1/14,1),0) + IF(AND(Setup!$K8=1,Setup!$I$8="Boost-Str"), G$30, 0) + IF(Setup!$K30&lt;&gt;"Off", G$31, 0) + IF(Setup!$K29&lt;&gt;"Off", G$31, 0) + IF(Setup!$K28&lt;&gt;"Off", G$31, 0)</f>
        <v>263</v>
      </c>
      <c r="H35" s="11">
        <f ca="1">$H3 + H32 + H33 + HLOOKUP($A35,INDIRECT(H$26),MATCH("Total",Slots,0)+1,0) + IF(AND($D$1="SAM",Setup!$F14=1),FLOOR($B$1/14,1),0) + IF(AND(Setup!$J8=1,Setup!$I$8="Boost-Str"), H$30, 0) + IF(Setup!$J30&lt;&gt;"Off", H$31, 0) + IF(Setup!$J29&lt;&gt;"Off", H$31, 0) + IF(Setup!$J28&lt;&gt;"Off", H$31, 0)</f>
        <v>262</v>
      </c>
      <c r="I35" s="123">
        <f ca="1">$I3 + I32 + I33 + HLOOKUP($A35,INDIRECT(I$26),MATCH("Total",Slots,0)+1,0) + IF(AND($D$1="SAM",Setup!$G14=1),FLOOR($B$1/14,1),0) + IF(AND(Setup!$K8=1,Setup!$I$8="Boost-Str"), I$30, 0) + IF(Setup!$K30&lt;&gt;"Off", I$31, 0) + IF(Setup!$K29&lt;&gt;"Off", I$31, 0) + IF(Setup!$K28&lt;&gt;"Off", I$31, 0)</f>
        <v>262</v>
      </c>
      <c r="J35" s="11">
        <f ca="1">$H3 + J32 + J33 + HLOOKUP($A35,INDIRECT(J$26),MATCH("Total",Slots,0)+1,0) + IF(AND($D$1="SAM",Setup!$F14=1),FLOOR($B$1/14,1),0) + IF(AND(Setup!$J8=1,Setup!$I$8="Boost-Str"), J$30, 0) + IF(Setup!$J30&lt;&gt;"Off", J$31, 0) + IF(Setup!$J29&lt;&gt;"Off", J$31, 0) + IF(Setup!$J28&lt;&gt;"Off", J$31, 0)</f>
        <v>263</v>
      </c>
      <c r="K35" s="123">
        <f ca="1">$I3 + K32 + K33 + HLOOKUP($A35,INDIRECT(K$26),MATCH("Total",Slots,0)+1,0) + IF(AND($D$1="SAM",Setup!$G14=1),FLOOR($B$1/14,1),0) + IF(AND(Setup!$K8=1,Setup!$I$8="Boost-Str"), K$30, 0) + IF(Setup!$K30&lt;&gt;"Off", K$31, 0) + IF(Setup!$K29&lt;&gt;"Off", K$31, 0) + IF(Setup!$K28&lt;&gt;"Off", K$31, 0)</f>
        <v>263</v>
      </c>
      <c r="L35" s="11">
        <f ca="1">$H3 + L32 + L33 + HLOOKUP($A35,INDIRECT(L$26),MATCH("Total",Slots,0)+1,0) + IF(AND($D$1="SAM",Setup!$F14=1),FLOOR($B$1/14,1),0) + IF(AND(Setup!$J8=1,Setup!$I$8="Boost-Str"), L$30, 0) + IF(Setup!$J30&lt;&gt;"Off", L$31, 0) + IF(Setup!$J29&lt;&gt;"Off", L$31, 0) + IF(Setup!$J28&lt;&gt;"Off", L$31, 0)</f>
        <v>263</v>
      </c>
      <c r="M35" s="123">
        <f ca="1">$I3 + M32 + M33 + HLOOKUP($A35,INDIRECT(M$26),MATCH("Total",Slots,0)+1,0) + IF(AND($D$1="SAM",Setup!$G14=1),FLOOR($B$1/14,1),0) + IF(AND(Setup!$K8=1,Setup!$I$8="Boost-Str"), M$30, 0) + IF(Setup!$K30&lt;&gt;"Off", M$31, 0) + IF(Setup!$K29&lt;&gt;"Off", M$31, 0) + IF(Setup!$K28&lt;&gt;"Off", M$31, 0)</f>
        <v>263</v>
      </c>
    </row>
    <row r="36" spans="1:16" x14ac:dyDescent="0.2">
      <c r="A36" t="s">
        <v>27</v>
      </c>
      <c r="B36" s="11">
        <f ca="1">$H4 + B34 + HLOOKUP($A36,INDIRECT(B$26),MATCH("Total",Slots,0)+1,0) + IF(AND(Setup!$J8=1,Setup!$I$8="Boost-Dex"), B$30, 0) + IF(Setup!$J26&lt;&gt;"Off", B$31, 0) + IF(Setup!$J25&lt;&gt;"Off", B$31, 0) + IF(Setup!$J32&lt;&gt;"Off", B$31, 0) + IF(Setup!$J31&lt;&gt;"Off", B$31, 0)</f>
        <v>281</v>
      </c>
      <c r="C36" s="123">
        <f ca="1">$I4 + C34 + HLOOKUP($A36,INDIRECT(C$26),MATCH("Total",Slots,0)+1,0) + IF(AND(Setup!$K8=1,Setup!$I$8="Boost-Dex"), C$30, 0) + IF(Setup!$K26&lt;&gt;"Off", C$31, 0) + IF(Setup!$K25&lt;&gt;"Off", C$31, 0) + IF(Setup!$K32&lt;&gt;"Off", C$31, 0) + IF(Setup!$K31&lt;&gt;"Off", C$31, 0)</f>
        <v>281</v>
      </c>
      <c r="D36" s="11">
        <f ca="1">$H4 + D34 + HLOOKUP($A36,INDIRECT(D$26),MATCH("Total",Slots,0)+1,0) + IF(AND(Setup!$J8=1,Setup!$I$8="Boost-Dex"), D$30, 0) + IF(Setup!$J26&lt;&gt;"Off", D$31, 0) + IF(Setup!$J25&lt;&gt;"Off", D$31, 0) + IF(Setup!$J32&lt;&gt;"Off", D$31, 0) + IF(Setup!$J31&lt;&gt;"Off", D$31, 0)</f>
        <v>270</v>
      </c>
      <c r="E36" s="123">
        <f ca="1">$I4 + E34 + HLOOKUP($A36,INDIRECT(E$26),MATCH("Total",Slots,0)+1,0) + IF(AND(Setup!$K8=1,Setup!$I$8="Boost-Dex"), E$30, 0) + IF(Setup!$K26&lt;&gt;"Off", E$31, 0) + IF(Setup!$K25&lt;&gt;"Off", E$31, 0) + IF(Setup!$K32&lt;&gt;"Off", E$31, 0) + IF(Setup!$K31&lt;&gt;"Off", E$31, 0)</f>
        <v>270</v>
      </c>
      <c r="F36" s="11">
        <f ca="1">$H4 + F34 + HLOOKUP($A36,INDIRECT(F$26),MATCH("Total",Slots,0)+1,0) + IF(AND(Setup!$J8=1,Setup!$I$8="Boost-Dex"), F$30, 0) + IF(Setup!$J26&lt;&gt;"Off", F$31, 0) + IF(Setup!$J25&lt;&gt;"Off", F$31, 0) + IF(Setup!$J32&lt;&gt;"Off", F$31, 0) + IF(Setup!$J31&lt;&gt;"Off", F$31, 0)</f>
        <v>297</v>
      </c>
      <c r="G36" s="123">
        <f ca="1">$I4 + G34 + HLOOKUP($A36,INDIRECT(G$26),MATCH("Total",Slots,0)+1,0) + IF(AND(Setup!$K8=1,Setup!$I$8="Boost-Dex"), G$30, 0) + IF(Setup!$K26&lt;&gt;"Off", G$31, 0) + IF(Setup!$K25&lt;&gt;"Off", G$31, 0) + IF(Setup!$K32&lt;&gt;"Off", G$31, 0) + IF(Setup!$K31&lt;&gt;"Off", G$31, 0)</f>
        <v>297</v>
      </c>
      <c r="H36" s="11">
        <f ca="1">$H4 + H34 + HLOOKUP($A36,INDIRECT(H$26),MATCH("Total",Slots,0)+1,0) + IF(AND(Setup!$J8=1,Setup!$I$8="Boost-Dex"), H$30, 0) + IF(Setup!$J26&lt;&gt;"Off", H$31, 0) + IF(Setup!$J25&lt;&gt;"Off", H$31, 0) + IF(Setup!$J32&lt;&gt;"Off", H$31, 0) + IF(Setup!$J31&lt;&gt;"Off", H$31, 0)</f>
        <v>296</v>
      </c>
      <c r="I36" s="123">
        <f ca="1">$I4 + I34 + HLOOKUP($A36,INDIRECT(I$26),MATCH("Total",Slots,0)+1,0) + IF(AND(Setup!$K8=1,Setup!$I$8="Boost-Dex"), I$30, 0) + IF(Setup!$K26&lt;&gt;"Off", I$31, 0) + IF(Setup!$K25&lt;&gt;"Off", I$31, 0) + IF(Setup!$K32&lt;&gt;"Off", I$31, 0) + IF(Setup!$K31&lt;&gt;"Off", I$31, 0)</f>
        <v>296</v>
      </c>
      <c r="J36" s="11">
        <f ca="1">$H4 + J34 + HLOOKUP($A36,INDIRECT(J$26),MATCH("Total",Slots,0)+1,0) + IF(AND(Setup!$J8=1,Setup!$I$8="Boost-Dex"), J$30, 0) + IF(Setup!$J26&lt;&gt;"Off", J$31, 0) + IF(Setup!$J25&lt;&gt;"Off", J$31, 0) + IF(Setup!$J32&lt;&gt;"Off", J$31, 0) + IF(Setup!$J31&lt;&gt;"Off", J$31, 0)</f>
        <v>297</v>
      </c>
      <c r="K36" s="123">
        <f ca="1">$I4 + K34 + HLOOKUP($A36,INDIRECT(K$26),MATCH("Total",Slots,0)+1,0) + IF(AND(Setup!$K8=1,Setup!$I$8="Boost-Dex"), K$30, 0) + IF(Setup!$K26&lt;&gt;"Off", K$31, 0) + IF(Setup!$K25&lt;&gt;"Off", K$31, 0) + IF(Setup!$K32&lt;&gt;"Off", K$31, 0) + IF(Setup!$K31&lt;&gt;"Off", K$31, 0)</f>
        <v>297</v>
      </c>
      <c r="L36" s="11">
        <f ca="1">$H4 + L34 + HLOOKUP($A36,INDIRECT(L$26),MATCH("Total",Slots,0)+1,0) + IF(AND(Setup!$J8=1,Setup!$I$8="Boost-Dex"), L$30, 0) + IF(Setup!$J26&lt;&gt;"Off", L$31, 0) + IF(Setup!$J25&lt;&gt;"Off", L$31, 0) + IF(Setup!$J32&lt;&gt;"Off", L$31, 0) + IF(Setup!$J31&lt;&gt;"Off", L$31, 0)</f>
        <v>297</v>
      </c>
      <c r="M36" s="123">
        <f ca="1">$I4 + M34 + HLOOKUP($A36,INDIRECT(M$26),MATCH("Total",Slots,0)+1,0) + IF(AND(Setup!$K8=1,Setup!$I$8="Boost-Dex"), M$30, 0) + IF(Setup!$K26&lt;&gt;"Off", M$31, 0) + IF(Setup!$K25&lt;&gt;"Off", M$31, 0) + IF(Setup!$K32&lt;&gt;"Off", M$31, 0) + IF(Setup!$K31&lt;&gt;"Off", M$31, 0)</f>
        <v>297</v>
      </c>
    </row>
    <row r="37" spans="1:16" x14ac:dyDescent="0.2">
      <c r="A37" t="s">
        <v>25</v>
      </c>
      <c r="B37" s="11">
        <f ca="1">$H5+HLOOKUP($A37,INDIRECT(B$26),MATCH("Total",Slots,0)+1,0)</f>
        <v>189</v>
      </c>
      <c r="C37" s="37">
        <f ca="1">$I5+HLOOKUP($A37,INDIRECT(C$26),MATCH("Total",Slots,0)+1,0)</f>
        <v>189</v>
      </c>
      <c r="D37" s="11">
        <f ca="1">$H5+HLOOKUP($A37,INDIRECT(D$26),MATCH("Total",Slots,0)+1,0)</f>
        <v>209</v>
      </c>
      <c r="E37" s="37">
        <f ca="1">$I5+HLOOKUP($A37,INDIRECT(E$26),MATCH("Total",Slots,0)+1,0)</f>
        <v>209</v>
      </c>
      <c r="F37" s="11">
        <f ca="1">$H5+HLOOKUP($A37,INDIRECT(F$26),MATCH("Total",Slots,0)+1,0)</f>
        <v>183</v>
      </c>
      <c r="G37" s="37">
        <f ca="1">$I5+HLOOKUP($A37,INDIRECT(G$26),MATCH("Total",Slots,0)+1,0)</f>
        <v>183</v>
      </c>
      <c r="H37" s="11">
        <f ca="1">$H5+HLOOKUP($A37,INDIRECT(H$26),MATCH("Total",Slots,0)+1,0)</f>
        <v>182</v>
      </c>
      <c r="I37" s="37">
        <f ca="1">$I5+HLOOKUP($A37,INDIRECT(I$26),MATCH("Total",Slots,0)+1,0)</f>
        <v>182</v>
      </c>
      <c r="J37" s="11">
        <f ca="1">$H5+HLOOKUP($A37,INDIRECT(J$26),MATCH("Total",Slots,0)+1,0)</f>
        <v>183</v>
      </c>
      <c r="K37" s="37">
        <f ca="1">$I5+HLOOKUP($A37,INDIRECT(K$26),MATCH("Total",Slots,0)+1,0)</f>
        <v>183</v>
      </c>
      <c r="L37" s="11">
        <f ca="1">$H5+HLOOKUP($A37,INDIRECT(L$26),MATCH("Total",Slots,0)+1,0)</f>
        <v>183</v>
      </c>
      <c r="M37" s="37">
        <f ca="1">$I5+HLOOKUP($A37,INDIRECT(M$26),MATCH("Total",Slots,0)+1,0)</f>
        <v>183</v>
      </c>
    </row>
    <row r="38" spans="1:16" x14ac:dyDescent="0.2">
      <c r="A38" s="35" t="s">
        <v>23</v>
      </c>
      <c r="B38" s="38">
        <f ca="1">$H6+HLOOKUP($A38,INDIRECT(B$26),MATCH("Total",Slots,0)+1,0)</f>
        <v>280</v>
      </c>
      <c r="C38" s="39">
        <f ca="1">$I6+HLOOKUP($A38,INDIRECT(C$26),MATCH("Total",Slots,0)+1,0)</f>
        <v>280</v>
      </c>
      <c r="D38" s="38">
        <f ca="1">$H6+HLOOKUP($A38,INDIRECT(D$26),MATCH("Total",Slots,0)+1,0)</f>
        <v>306</v>
      </c>
      <c r="E38" s="39">
        <f ca="1">$I6+HLOOKUP($A38,INDIRECT(E$26),MATCH("Total",Slots,0)+1,0)</f>
        <v>306</v>
      </c>
      <c r="F38" s="38">
        <f ca="1">$H6+HLOOKUP($A38,INDIRECT(F$26),MATCH("Total",Slots,0)+1,0)</f>
        <v>227</v>
      </c>
      <c r="G38" s="39">
        <f ca="1">$I6+HLOOKUP($A38,INDIRECT(G$26),MATCH("Total",Slots,0)+1,0)</f>
        <v>227</v>
      </c>
      <c r="H38" s="38">
        <f ca="1">$H6+HLOOKUP($A38,INDIRECT(H$26),MATCH("Total",Slots,0)+1,0)</f>
        <v>230</v>
      </c>
      <c r="I38" s="39">
        <f ca="1">$I6+HLOOKUP($A38,INDIRECT(I$26),MATCH("Total",Slots,0)+1,0)</f>
        <v>230</v>
      </c>
      <c r="J38" s="38">
        <f ca="1">$H6+HLOOKUP($A38,INDIRECT(J$26),MATCH("Total",Slots,0)+1,0)</f>
        <v>227</v>
      </c>
      <c r="K38" s="39">
        <f ca="1">$I6+HLOOKUP($A38,INDIRECT(K$26),MATCH("Total",Slots,0)+1,0)</f>
        <v>227</v>
      </c>
      <c r="L38" s="38">
        <f ca="1">$H6+HLOOKUP($A38,INDIRECT(L$26),MATCH("Total",Slots,0)+1,0)</f>
        <v>227</v>
      </c>
      <c r="M38" s="39">
        <f ca="1">$I6+HLOOKUP($A38,INDIRECT(M$26),MATCH("Total",Slots,0)+1,0)</f>
        <v>227</v>
      </c>
    </row>
    <row r="39" spans="1:16" x14ac:dyDescent="0.2">
      <c r="A39" s="141" t="s">
        <v>1810</v>
      </c>
      <c r="B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Sabots",INDIRECT(CONCATENATE(Data!B26,"Gear")),1,FALSE),"")&lt;&gt;"",SUM(VLOOKUP(Setup!$J30,BRDsongs,2,FALSE),VLOOKUP(Setup!$J29,BRDsongs,2,FALSE),VLOOKUP(Setup!$J28,BRDsongs,2,FALSE))&gt;0),20,0)
+IF(AND(IFERROR(VLOOKUP("Kuwunga Earring",INDIRECT(CONCATENATE(Data!B26,"Gear")),1,FALSE),"")&lt;&gt;"",SUM(VLOOKUP(Setup!$J32,BRDsongs,2,FALSE),VLOOKUP(Setup!$J31,BRDsongs,2,FALSE))&gt;0),17,0)</f>
        <v>0</v>
      </c>
      <c r="C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Sabots",INDIRECT(CONCATENATE(Data!C26,"Gear")),1,FALSE),"")&lt;&gt;"",SUM(VLOOKUP(Setup!$K30,BRDsongs,2,FALSE),VLOOKUP(Setup!$K29,BRDsongs,2,FALSE),VLOOKUP(Setup!$K28,BRDsongs,2,FALSE))&gt;0),20,0)
+IF(AND(IFERROR(VLOOKUP("Kuwunga Earring",INDIRECT(CONCATENATE(Data!C26,"Gear")),1,FALSE),"")&lt;&gt;"",SUM(VLOOKUP(Setup!$K32,BRDsongs,2,FALSE),VLOOKUP(Setup!$K31,BRDsongs,2,FALSE))&gt;0),17,0)</f>
        <v>0</v>
      </c>
      <c r="D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Sabots",INDIRECT(CONCATENATE(Data!D26,"Gear")),1,FALSE),"")&lt;&gt;"",SUM(VLOOKUP(Setup!$J30,BRDsongs,2,FALSE),VLOOKUP(Setup!$J29,BRDsongs,2,FALSE),VLOOKUP(Setup!$J28,BRDsongs,2,FALSE))&gt;0),20,0)
+IF(AND(IFERROR(VLOOKUP("Kuwunga Earring",INDIRECT(CONCATENATE(Data!D26,"Gear")),1,FALSE),"")&lt;&gt;"",SUM(VLOOKUP(Setup!$J32,BRDsongs,2,FALSE),VLOOKUP(Setup!$J31,BRDsongs,2,FALSE))&gt;0),17,0)</f>
        <v>0</v>
      </c>
      <c r="E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Sabots",INDIRECT(CONCATENATE(Data!E26,"Gear")),1,FALSE),"")&lt;&gt;"",SUM(VLOOKUP(Setup!$K30,BRDsongs,2,FALSE),VLOOKUP(Setup!$K29,BRDsongs,2,FALSE),VLOOKUP(Setup!$K28,BRDsongs,2,FALSE))&gt;0),20,0)
+IF(AND(IFERROR(VLOOKUP("Kuwunga Earring",INDIRECT(CONCATENATE(Data!E26,"Gear")),1,FALSE),"")&lt;&gt;"",SUM(VLOOKUP(Setup!$K32,BRDsongs,2,FALSE),VLOOKUP(Setup!$K31,BRDsongs,2,FALSE))&gt;0),17,0)</f>
        <v>0</v>
      </c>
      <c r="F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Sabots",INDIRECT(CONCATENATE(Data!F26,"Gear")),1,FALSE),"")&lt;&gt;"",SUM(VLOOKUP(Setup!$J30,BRDsongs,2,FALSE),VLOOKUP(Setup!$J29,BRDsongs,2,FALSE),VLOOKUP(Setup!$J28,BRDsongs,2,FALSE))&gt;0),20,0)
+IF(AND(IFERROR(VLOOKUP("Kuwunga Earring",INDIRECT(CONCATENATE(Data!F26,"Gear")),1,FALSE),"")&lt;&gt;"",SUM(VLOOKUP(Setup!$J32,BRDsongs,2,FALSE),VLOOKUP(Setup!$J31,BRDsongs,2,FALSE))&gt;0),17,0)</f>
        <v>0</v>
      </c>
      <c r="G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Sabots",INDIRECT(CONCATENATE(Data!G26,"Gear")),1,FALSE),"")&lt;&gt;"",SUM(VLOOKUP(Setup!$K30,BRDsongs,2,FALSE),VLOOKUP(Setup!$K29,BRDsongs,2,FALSE),VLOOKUP(Setup!$K28,BRDsongs,2,FALSE))&gt;0),20,0)
+IF(AND(IFERROR(VLOOKUP("Kuwunga Earring",INDIRECT(CONCATENATE(Data!G26,"Gear")),1,FALSE),"")&lt;&gt;"",SUM(VLOOKUP(Setup!$K32,BRDsongs,2,FALSE),VLOOKUP(Setup!$K31,BRDsongs,2,FALSE))&gt;0),17,0)</f>
        <v>0</v>
      </c>
      <c r="H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Sabots",INDIRECT(CONCATENATE(Data!H26,"Gear")),1,FALSE),"")&lt;&gt;"",SUM(VLOOKUP(Setup!$J30,BRDsongs,2,FALSE),VLOOKUP(Setup!$J29,BRDsongs,2,FALSE),VLOOKUP(Setup!$J28,BRDsongs,2,FALSE))&gt;0),20,0)
+IF(AND(IFERROR(VLOOKUP("Kuwunga Earring",INDIRECT(CONCATENATE(Data!H26,"Gear")),1,FALSE),"")&lt;&gt;"",SUM(VLOOKUP(Setup!$J32,BRDsongs,2,FALSE),VLOOKUP(Setup!$J31,BRDsongs,2,FALSE))&gt;0),17,0)</f>
        <v>0</v>
      </c>
      <c r="I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Sabots",INDIRECT(CONCATENATE(Data!I26,"Gear")),1,FALSE),"")&lt;&gt;"",SUM(VLOOKUP(Setup!$K30,BRDsongs,2,FALSE),VLOOKUP(Setup!$K29,BRDsongs,2,FALSE),VLOOKUP(Setup!$K28,BRDsongs,2,FALSE))&gt;0),20,0)
+IF(AND(IFERROR(VLOOKUP("Kuwunga Earring",INDIRECT(CONCATENATE(Data!I26,"Gear")),1,FALSE),"")&lt;&gt;"",SUM(VLOOKUP(Setup!$K32,BRDsongs,2,FALSE),VLOOKUP(Setup!$K31,BRDsongs,2,FALSE))&gt;0),17,0)</f>
        <v>0</v>
      </c>
      <c r="J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Sabots",INDIRECT(CONCATENATE(Data!J26,"Gear")),1,FALSE),"")&lt;&gt;"",SUM(VLOOKUP(Setup!$J30,BRDsongs,2,FALSE),VLOOKUP(Setup!$J29,BRDsongs,2,FALSE),VLOOKUP(Setup!$J28,BRDsongs,2,FALSE))&gt;0),20,0)
+IF(AND(IFERROR(VLOOKUP("Kuwunga Earring",INDIRECT(CONCATENATE(Data!J26,"Gear")),1,FALSE),"")&lt;&gt;"",SUM(VLOOKUP(Setup!$J32,BRDsongs,2,FALSE),VLOOKUP(Setup!$J31,BRDsongs,2,FALSE))&gt;0),17,0)</f>
        <v>0</v>
      </c>
      <c r="K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Sabots",INDIRECT(CONCATENATE(Data!K26,"Gear")),1,FALSE),"")&lt;&gt;"",SUM(VLOOKUP(Setup!$K30,BRDsongs,2,FALSE),VLOOKUP(Setup!$K29,BRDsongs,2,FALSE),VLOOKUP(Setup!$K28,BRDsongs,2,FALSE))&gt;0),20,0)
+IF(AND(IFERROR(VLOOKUP("Kuwunga Earring",INDIRECT(CONCATENATE(Data!K26,"Gear")),1,FALSE),"")&lt;&gt;"",SUM(VLOOKUP(Setup!$K32,BRDsongs,2,FALSE),VLOOKUP(Setup!$K31,BRDsongs,2,FALSE))&gt;0),17,0)</f>
        <v>0</v>
      </c>
      <c r="L39" s="40">
        <f ca="1">TRUNC((Setup!$M29+TRUNC(124*(1+(VLOOKUP(Setup!$J30,BRDsongs,3,FALSE)*Setup!$M28*0.1)),0))*VLOOKUP(Setup!$J30,BRDsongs,2,FALSE),0)
+TRUNC((Setup!$M29+TRUNC(112*(1+(VLOOKUP(Setup!$J29,BRDsongs,3,FALSE)*Setup!$M28*0.1)),0))*VLOOKUP(Setup!$J29,BRDsongs,2,FALSE),0)
+TRUNC((Setup!$M29+TRUNC(96*(1+(VLOOKUP(Setup!$J28,BRDsongs,3,FALSE)*Setup!$M28*0.1)),0))*VLOOKUP(Setup!$J28,BRDsongs,2,FALSE),0)
+TRUNC((TRUNC(168*(1+(VLOOKUP(Setup!$J27,BRDsongs,3,FALSE)*Setup!$M27*0.1)),0))*VLOOKUP(Setup!$J27,BRDsongs,2,FALSE),0)
+IF(AND(IFERROR(VLOOKUP("Composer's Sabots",INDIRECT(CONCATENATE(Data!L26,"Gear")),1,FALSE),"")&lt;&gt;"",SUM(VLOOKUP(Setup!$J30,BRDsongs,2,FALSE),VLOOKUP(Setup!$J29,BRDsongs,2,FALSE),VLOOKUP(Setup!$J28,BRDsongs,2,FALSE))&gt;0),20,0)
+IF(AND(IFERROR(VLOOKUP("Kuwunga Earring",INDIRECT(CONCATENATE(Data!L26,"Gear")),1,FALSE),"")&lt;&gt;"",SUM(VLOOKUP(Setup!$J32,BRDsongs,2,FALSE),VLOOKUP(Setup!$J31,BRDsongs,2,FALSE))&gt;0),17,0)</f>
        <v>0</v>
      </c>
      <c r="M39" s="155">
        <f ca="1">TRUNC((Setup!$N29+TRUNC(124*(1+(VLOOKUP(Setup!$K30,BRDsongs,3,FALSE)*Setup!$N28*0.1)),0))*VLOOKUP(Setup!$K30,BRDsongs,2,FALSE),0)
+TRUNC((Setup!$N29+TRUNC(112*(1+(VLOOKUP(Setup!$K29,BRDsongs,3,FALSE)*Setup!$N28*0.1)),0))*VLOOKUP(Setup!$K29,BRDsongs,2,FALSE),0)
+TRUNC((Setup!$N29+TRUNC(96*(1+(VLOOKUP(Setup!$K28,BRDsongs,3,FALSE)*Setup!$N28*0.1)),0))*VLOOKUP(Setup!$K28,BRDsongs,2,FALSE),0)
+TRUNC((TRUNC(168*(1+(VLOOKUP(Setup!$K27,BRDsongs,3,FALSE)*Setup!$N27*0.1)),0))*VLOOKUP(Setup!$K27,BRDsongs,2,FALSE),0)
+IF(AND(IFERROR(VLOOKUP("Composer's Sabots",INDIRECT(CONCATENATE(Data!M26,"Gear")),1,FALSE),"")&lt;&gt;"",SUM(VLOOKUP(Setup!$K30,BRDsongs,2,FALSE),VLOOKUP(Setup!$K29,BRDsongs,2,FALSE),VLOOKUP(Setup!$K28,BRDsongs,2,FALSE))&gt;0),20,0)
+IF(AND(IFERROR(VLOOKUP("Kuwunga Earring",INDIRECT(CONCATENATE(Data!M26,"Gear")),1,FALSE),"")&lt;&gt;"",SUM(VLOOKUP(Setup!$K32,BRDsongs,2,FALSE),VLOOKUP(Setup!$K31,BRDsongs,2,FALSE))&gt;0),17,0)</f>
        <v>0</v>
      </c>
    </row>
    <row r="40" spans="1:16" x14ac:dyDescent="0.2">
      <c r="A40" s="31" t="s">
        <v>497</v>
      </c>
      <c r="B40" s="40">
        <f>IF(Setup!$F$39=1, VLOOKUP("Att", Ionis, 2, 0), 0)</f>
        <v>0</v>
      </c>
      <c r="C40" s="123">
        <f>IF(Setup!$G$39=1, VLOOKUP("Att", Ionis, 2, 0), 0)</f>
        <v>0</v>
      </c>
      <c r="D40" s="40">
        <f>IF(Setup!$F$39=1, VLOOKUP("Att", Ionis, 2, 0), 0)</f>
        <v>0</v>
      </c>
      <c r="E40" s="123">
        <f>IF(Setup!$G$39=1, VLOOKUP("Att", Ionis, 2, 0), 0)</f>
        <v>0</v>
      </c>
      <c r="F40" s="40">
        <f>IF(Setup!$F$39=1, VLOOKUP("Att", Ionis, 2, 0), 0)</f>
        <v>0</v>
      </c>
      <c r="G40" s="123">
        <f>IF(Setup!$G$39=1, VLOOKUP("Att", Ionis, 2, 0), 0)</f>
        <v>0</v>
      </c>
      <c r="H40" s="40">
        <f>IF(Setup!$F$39=1, VLOOKUP("Att", Ionis, 2, 0), 0)</f>
        <v>0</v>
      </c>
      <c r="I40" s="123">
        <f>IF(Setup!$G$39=1, VLOOKUP("Att", Ionis, 2, 0), 0)</f>
        <v>0</v>
      </c>
      <c r="J40" s="40">
        <f>IF(Setup!$F$39=1, VLOOKUP("Att", Ionis, 2, 0), 0)</f>
        <v>0</v>
      </c>
      <c r="K40" s="123">
        <f>IF(Setup!$G$39=1, VLOOKUP("Att", Ionis, 2, 0), 0)</f>
        <v>0</v>
      </c>
      <c r="L40" s="40">
        <f>IF(Setup!$F$39=1, VLOOKUP("Att", Ionis, 2, 0), 0)</f>
        <v>0</v>
      </c>
      <c r="M40" s="123">
        <f>IF(Setup!$G$39=1, VLOOKUP("Att", Ionis, 2, 0), 0)</f>
        <v>0</v>
      </c>
    </row>
    <row r="41" spans="1:16" x14ac:dyDescent="0.2">
      <c r="A41" s="31" t="s">
        <v>655</v>
      </c>
      <c r="B41" s="40">
        <f>IF(Setup!$B$21&gt;=1360,70,IF(Setup!$B$21&gt;=660,45,IF(Setup!$B$21&gt;=210,25,IF(Setup!$B$21&gt;=10,10,0))))</f>
        <v>70</v>
      </c>
      <c r="C41" s="123">
        <f>IF(Setup!$C$21&gt;=1360,70,IF(Setup!$C$21&gt;=660,45,IF(Setup!$C$21&gt;=210,25,IF(Setup!$C$21&gt;=10,10,0))))</f>
        <v>70</v>
      </c>
      <c r="D41" s="40">
        <f>IF(Setup!$B$21&gt;=1360,70,IF(Setup!$B$21&gt;=660,45,IF(Setup!$B$21&gt;=210,25,IF(Setup!$B$21&gt;=10,10,0))))</f>
        <v>70</v>
      </c>
      <c r="E41" s="123">
        <f>IF(Setup!$C$21&gt;=1360,70,IF(Setup!$C$21&gt;=660,45,IF(Setup!$C$21&gt;=210,25,IF(Setup!$C$21&gt;=10,10,0))))</f>
        <v>70</v>
      </c>
      <c r="F41" s="40">
        <f>IF(Setup!$B$21&gt;=1360,70,IF(Setup!$B$21&gt;=660,45,IF(Setup!$B$21&gt;=210,25,IF(Setup!$B$21&gt;=10,10,0))))</f>
        <v>70</v>
      </c>
      <c r="G41" s="123">
        <f>IF(Setup!$C$21&gt;=1360,70,IF(Setup!$C$21&gt;=660,45,IF(Setup!$C$21&gt;=210,25,IF(Setup!$C$21&gt;=10,10,0))))</f>
        <v>70</v>
      </c>
      <c r="H41" s="40">
        <f>IF(Setup!$B$21&gt;=1360,70,IF(Setup!$B$21&gt;=660,45,IF(Setup!$B$21&gt;=210,25,IF(Setup!$B$21&gt;=10,10,0))))</f>
        <v>70</v>
      </c>
      <c r="I41" s="123">
        <f>IF(Setup!$C$21&gt;=1360,70,IF(Setup!$C$21&gt;=660,45,IF(Setup!$C$21&gt;=210,25,IF(Setup!$C$21&gt;=10,10,0))))</f>
        <v>70</v>
      </c>
      <c r="J41" s="40">
        <f>IF(Setup!$B$21&gt;=1360,70,IF(Setup!$B$21&gt;=660,45,IF(Setup!$B$21&gt;=210,25,IF(Setup!$B$21&gt;=10,10,0))))</f>
        <v>70</v>
      </c>
      <c r="K41" s="123">
        <f>IF(Setup!$C$21&gt;=1360,70,IF(Setup!$C$21&gt;=660,45,IF(Setup!$C$21&gt;=210,25,IF(Setup!$C$21&gt;=10,10,0))))</f>
        <v>70</v>
      </c>
      <c r="L41" s="40">
        <f>IF(Setup!$B$21&gt;=1360,70,IF(Setup!$B$21&gt;=660,45,IF(Setup!$B$21&gt;=210,25,IF(Setup!$B$21&gt;=10,10,0))))</f>
        <v>70</v>
      </c>
      <c r="M41" s="123">
        <f>IF(Setup!$C$21&gt;=1360,70,IF(Setup!$C$21&gt;=660,45,IF(Setup!$C$21&gt;=210,25,IF(Setup!$C$21&gt;=10,10,0))))</f>
        <v>70</v>
      </c>
    </row>
    <row r="42" spans="1:16" x14ac:dyDescent="0.2">
      <c r="A42" s="31" t="s">
        <v>657</v>
      </c>
      <c r="B42" s="40">
        <f>IF(AND(Setup!$F6=1,Setup!$F10=0), (2 * Setup!$B$26), 0)</f>
        <v>40</v>
      </c>
      <c r="C42" s="123">
        <f>IF(AND(Setup!$G6=1,Setup!$G10=0), (2 * Setup!$C$26), 0)</f>
        <v>40</v>
      </c>
      <c r="D42" s="40">
        <f>IF(AND(Setup!$F6=1,Setup!$F10=0), (2 * Setup!$B$26), 0)</f>
        <v>40</v>
      </c>
      <c r="E42" s="123">
        <f>IF(AND(Setup!$G6=1,Setup!$G10=0), (2 * Setup!$C$26), 0)</f>
        <v>40</v>
      </c>
      <c r="F42" s="40">
        <f>IF(AND(Setup!$F6=1,Setup!$F10=0), (2 * Setup!$B$26), 0)</f>
        <v>40</v>
      </c>
      <c r="G42" s="123">
        <f>IF(AND(Setup!$G6=1,Setup!$G10=0), (2 * Setup!$C$26), 0)</f>
        <v>40</v>
      </c>
      <c r="H42" s="40">
        <f>IF(AND(Setup!$F6=1,Setup!$F10=0), (2 * Setup!$B$26), 0)</f>
        <v>40</v>
      </c>
      <c r="I42" s="123">
        <f>IF(AND(Setup!$G6=1,Setup!$G10=0), (2 * Setup!$C$26), 0)</f>
        <v>40</v>
      </c>
      <c r="J42" s="40">
        <f>IF(AND(Setup!$F6=1,Setup!$F10=0), (2 * Setup!$B$26), 0)</f>
        <v>40</v>
      </c>
      <c r="K42" s="123">
        <f>IF(AND(Setup!$G6=1,Setup!$G10=0), (2 * Setup!$C$26), 0)</f>
        <v>40</v>
      </c>
      <c r="L42" s="40">
        <f>IF(AND(Setup!$F6=1,Setup!$F10=0), (2 * Setup!$B$26), 0)</f>
        <v>40</v>
      </c>
      <c r="M42" s="123">
        <f>IF(AND(Setup!$G6=1,Setup!$G10=0), (2 * Setup!$C$26), 0)</f>
        <v>40</v>
      </c>
    </row>
    <row r="43" spans="1:16" x14ac:dyDescent="0.2">
      <c r="A43" s="31" t="s">
        <v>666</v>
      </c>
      <c r="B43" s="40">
        <v>0</v>
      </c>
      <c r="C43" s="123">
        <v>0</v>
      </c>
      <c r="D43" s="40">
        <v>0</v>
      </c>
      <c r="E43" s="123">
        <v>0</v>
      </c>
      <c r="F43" s="40">
        <f>(Setup!F11*Setup!B22*5)+(Setup!B24*3)</f>
        <v>60</v>
      </c>
      <c r="G43" s="123">
        <f>(Setup!G11*Setup!C22*5)+(Setup!C24*3)</f>
        <v>60</v>
      </c>
      <c r="H43" s="40">
        <f>(Setup!F11*Setup!B22*5)+(Setup!B24*3)</f>
        <v>60</v>
      </c>
      <c r="I43" s="123">
        <f>(Setup!G11*Setup!C22*5)+(Setup!C24*3)</f>
        <v>60</v>
      </c>
      <c r="J43" s="40">
        <f>(Setup!F11*Setup!B22*5)+(Setup!B25*3)</f>
        <v>60</v>
      </c>
      <c r="K43" s="123">
        <f>(Setup!G11*Setup!C22*5)+(Setup!C25*3)</f>
        <v>60</v>
      </c>
      <c r="L43" s="40">
        <f>(Setup!F11*Setup!B22*5)+(Setup!B25*3)</f>
        <v>60</v>
      </c>
      <c r="M43" s="123">
        <f>(Setup!G11*Setup!C22*5)+(Setup!C25*3)</f>
        <v>60</v>
      </c>
    </row>
    <row r="44" spans="1:16" x14ac:dyDescent="0.2">
      <c r="A44" s="141" t="s">
        <v>1811</v>
      </c>
      <c r="B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Mitts",INDIRECT(CONCATENATE(Data!B26,"Gear")),1,FALSE),"")&lt;&gt;"",SUM(VLOOKUP(Setup!$J32,BRDsongs,2,FALSE),VLOOKUP(Setup!$J31,BRDsongs,2,FALSE))&gt;0),20,0)</f>
        <v>0</v>
      </c>
      <c r="C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Mitts",INDIRECT(CONCATENATE(Data!B26,"Gear")),1,FALSE),"")&lt;&gt;"",SUM(VLOOKUP(Setup!$K32,BRDsongs,2,FALSE),VLOOKUP(Setup!$K31,BRDsongs,2,FALSE))&gt;0),20,0)</f>
        <v>0</v>
      </c>
      <c r="D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Mitts",INDIRECT(CONCATENATE(Data!D26,"Gear")),1,FALSE),"")&lt;&gt;"",SUM(VLOOKUP(Setup!$J32,BRDsongs,2,FALSE),VLOOKUP(Setup!$J31,BRDsongs,2,FALSE))&gt;0),20,0)</f>
        <v>0</v>
      </c>
      <c r="E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Mitts",INDIRECT(CONCATENATE(Data!D26,"Gear")),1,FALSE),"")&lt;&gt;"",SUM(VLOOKUP(Setup!$K32,BRDsongs,2,FALSE),VLOOKUP(Setup!$K31,BRDsongs,2,FALSE))&gt;0),20,0)</f>
        <v>0</v>
      </c>
      <c r="F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Mitts",INDIRECT(CONCATENATE(Data!F26,"Gear")),1,FALSE),"")&lt;&gt;"",SUM(VLOOKUP(Setup!$J32,BRDsongs,2,FALSE),VLOOKUP(Setup!$J31,BRDsongs,2,FALSE))&gt;0),20,0)</f>
        <v>0</v>
      </c>
      <c r="G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Mitts",INDIRECT(CONCATENATE(Data!F26,"Gear")),1,FALSE),"")&lt;&gt;"",SUM(VLOOKUP(Setup!$K32,BRDsongs,2,FALSE),VLOOKUP(Setup!$K31,BRDsongs,2,FALSE))&gt;0),20,0)</f>
        <v>0</v>
      </c>
      <c r="H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Mitts",INDIRECT(CONCATENATE(Data!H26,"Gear")),1,FALSE),"")&lt;&gt;"",SUM(VLOOKUP(Setup!$J32,BRDsongs,2,FALSE),VLOOKUP(Setup!$J31,BRDsongs,2,FALSE))&gt;0),20,0)</f>
        <v>0</v>
      </c>
      <c r="I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Mitts",INDIRECT(CONCATENATE(Data!H26,"Gear")),1,FALSE),"")&lt;&gt;"",SUM(VLOOKUP(Setup!$K32,BRDsongs,2,FALSE),VLOOKUP(Setup!$K31,BRDsongs,2,FALSE))&gt;0),20,0)</f>
        <v>0</v>
      </c>
      <c r="J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Mitts",INDIRECT(CONCATENATE(Data!J26,"Gear")),1,FALSE),"")&lt;&gt;"",SUM(VLOOKUP(Setup!$J32,BRDsongs,2,FALSE),VLOOKUP(Setup!$J31,BRDsongs,2,FALSE))&gt;0),20,0)</f>
        <v>0</v>
      </c>
      <c r="K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Mitts",INDIRECT(CONCATENATE(Data!J26,"Gear")),1,FALSE),"")&lt;&gt;"",SUM(VLOOKUP(Setup!$K32,BRDsongs,2,FALSE),VLOOKUP(Setup!$K31,BRDsongs,2,FALSE))&gt;0),20,0)</f>
        <v>0</v>
      </c>
      <c r="L44" s="40">
        <f ca="1">TRUNC((Setup!$M32+TRUNC(60*(1+(VLOOKUP(Setup!$J32,BRDsongs,3,FALSE)*Setup!$M31*0.1)),0))*VLOOKUP(Setup!$J32,BRDsongs,2,FALSE),0)
+TRUNC((Setup!$M32+TRUNC(45*(1+(VLOOKUP(Setup!$J31,BRDsongs,3,FALSE)*Setup!$M31*0.1)),0))*VLOOKUP(Setup!$J31,BRDsongs,2,FALSE),0)
+TRUNC((TRUNC(42*(1+(VLOOKUP(Setup!$J27,BRDsongs,3,FALSE)*Setup!$M27*0.1)),0))*VLOOKUP(Setup!$J27,BRDsongs,2,FALSE),0)
+IF(AND(IFERROR(VLOOKUP("Composer's Mitts",INDIRECT(CONCATENATE(Data!L26,"Gear")),1,FALSE),"")&lt;&gt;"",SUM(VLOOKUP(Setup!$J32,BRDsongs,2,FALSE),VLOOKUP(Setup!$J31,BRDsongs,2,FALSE))&gt;0),20,0)</f>
        <v>0</v>
      </c>
      <c r="M44" s="123">
        <f ca="1">TRUNC((Setup!$N32+TRUNC(60*(1+(VLOOKUP(Setup!$K32,BRDsongs,3,FALSE)*Setup!$N31*0.1)),0))*VLOOKUP(Setup!$K32,BRDsongs,2,FALSE),0)
+TRUNC((Setup!$N32+TRUNC(45*(1+(VLOOKUP(Setup!$K31,BRDsongs,3,FALSE)*Setup!$N31*0.1)),0))*VLOOKUP(Setup!$K31,BRDsongs,2,FALSE),0)
+TRUNC((TRUNC(42*(1+(VLOOKUP(Setup!$K27,BRDsongs,3,FALSE)*Setup!$N27*0.1)),0))*VLOOKUP(Setup!$K27,BRDsongs,2,FALSE),0)
+IF(AND(IFERROR(VLOOKUP("Composer's Mitts",INDIRECT(CONCATENATE(Data!L26,"Gear")),1,FALSE),"")&lt;&gt;"",SUM(VLOOKUP(Setup!$K32,BRDsongs,2,FALSE),VLOOKUP(Setup!$K31,BRDsongs,2,FALSE))&gt;0),20,0)</f>
        <v>0</v>
      </c>
      <c r="P44" t="s">
        <v>1319</v>
      </c>
    </row>
    <row r="45" spans="1:16" x14ac:dyDescent="0.2">
      <c r="A45" s="31" t="s">
        <v>498</v>
      </c>
      <c r="B45" s="40">
        <f>IF(Setup!$F$39=1, VLOOKUP("Acc", Ionis, 2, 0), 0)</f>
        <v>0</v>
      </c>
      <c r="C45" s="123">
        <f>IF(Setup!$G$39=1, VLOOKUP("Acc", Ionis, 2, 0), 0)</f>
        <v>0</v>
      </c>
      <c r="D45" s="40">
        <f>IF(Setup!$F$39=1, VLOOKUP("Acc", Ionis, 2, 0), 0)</f>
        <v>0</v>
      </c>
      <c r="E45" s="123">
        <f>IF(Setup!$G$39=1, VLOOKUP("Acc", Ionis, 2, 0), 0)</f>
        <v>0</v>
      </c>
      <c r="F45" s="40">
        <f>IF(Setup!$F$39=1, VLOOKUP("Acc", Ionis, 2, 0), 0)</f>
        <v>0</v>
      </c>
      <c r="G45" s="123">
        <f>IF(Setup!$G$39=1, VLOOKUP("Acc", Ionis, 2, 0), 0)</f>
        <v>0</v>
      </c>
      <c r="H45" s="40">
        <f>IF(Setup!$F$39=1, VLOOKUP("Acc", Ionis, 2, 0), 0)</f>
        <v>0</v>
      </c>
      <c r="I45" s="123">
        <f>IF(Setup!$G$39=1, VLOOKUP("Acc", Ionis, 2, 0), 0)</f>
        <v>0</v>
      </c>
      <c r="J45" s="40">
        <f>IF(Setup!$F$39=1, VLOOKUP("Acc", Ionis, 2, 0), 0)</f>
        <v>0</v>
      </c>
      <c r="K45" s="123">
        <f>IF(Setup!$G$39=1, VLOOKUP("Acc", Ionis, 2, 0), 0)</f>
        <v>0</v>
      </c>
      <c r="L45" s="40">
        <f>IF(Setup!$F$39=1, VLOOKUP("Acc", Ionis, 2, 0), 0)</f>
        <v>0</v>
      </c>
      <c r="M45" s="123">
        <f>IF(Setup!$G$39=1, VLOOKUP("Acc", Ionis, 2, 0), 0)</f>
        <v>0</v>
      </c>
      <c r="P45" t="s">
        <v>1320</v>
      </c>
    </row>
    <row r="46" spans="1:16" x14ac:dyDescent="0.2">
      <c r="A46" s="31" t="s">
        <v>656</v>
      </c>
      <c r="B46" s="40">
        <f>IF(Setup!$B$21&gt;=1530,64,IF(Setup!$B$21&gt;=750,41,IF(Setup!$B$21&gt;=280,23,IF(Setup!$B$21&gt;=30,9,0))))</f>
        <v>64</v>
      </c>
      <c r="C46" s="123">
        <f>IF(Setup!$C$21&gt;=1530,64,IF(Setup!$C$21&gt;=750,41,IF(Setup!$C$21&gt;=280,23,IF(Setup!$C$21&gt;=30,9,0))))</f>
        <v>64</v>
      </c>
      <c r="D46" s="40">
        <f>IF(Setup!$B$21&gt;=1530,64,IF(Setup!$B$21&gt;=750,41,IF(Setup!$B$21&gt;=280,23,IF(Setup!$B$21&gt;=30,9,0))))</f>
        <v>64</v>
      </c>
      <c r="E46" s="123">
        <f>IF(Setup!$C$21&gt;=1530,64,IF(Setup!$C$21&gt;=750,41,IF(Setup!$C$21&gt;=280,23,IF(Setup!$C$21&gt;=30,9,0))))</f>
        <v>64</v>
      </c>
      <c r="F46" s="40">
        <f>IF(Setup!$B$21&gt;=1530,64,IF(Setup!$B$21&gt;=750,41,IF(Setup!$B$21&gt;=280,23,IF(Setup!$B$21&gt;=30,9,0))))</f>
        <v>64</v>
      </c>
      <c r="G46" s="123">
        <f>IF(Setup!$C$21&gt;=1530,64,IF(Setup!$C$21&gt;=750,41,IF(Setup!$C$21&gt;=280,23,IF(Setup!$C$21&gt;=30,9,0))))</f>
        <v>64</v>
      </c>
      <c r="H46" s="40">
        <f>IF(Setup!$B$21&gt;=1530,64,IF(Setup!$B$21&gt;=750,41,IF(Setup!$B$21&gt;=280,23,IF(Setup!$B$21&gt;=30,9,0))))</f>
        <v>64</v>
      </c>
      <c r="I46" s="123">
        <f>IF(Setup!$C$21&gt;=1530,64,IF(Setup!$C$21&gt;=750,41,IF(Setup!$C$21&gt;=280,23,IF(Setup!$C$21&gt;=30,9,0))))</f>
        <v>64</v>
      </c>
      <c r="J46" s="40">
        <f>IF(Setup!$B$21&gt;=1530,64,IF(Setup!$B$21&gt;=750,41,IF(Setup!$B$21&gt;=280,23,IF(Setup!$B$21&gt;=30,9,0))))</f>
        <v>64</v>
      </c>
      <c r="K46" s="123">
        <f>IF(Setup!$C$21&gt;=1530,64,IF(Setup!$C$21&gt;=750,41,IF(Setup!$C$21&gt;=280,23,IF(Setup!$C$21&gt;=30,9,0))))</f>
        <v>64</v>
      </c>
      <c r="L46" s="40">
        <f>IF(Setup!$B$21&gt;=1530,64,IF(Setup!$B$21&gt;=750,41,IF(Setup!$B$21&gt;=280,23,IF(Setup!$B$21&gt;=30,9,0))))</f>
        <v>64</v>
      </c>
      <c r="M46" s="123">
        <f>IF(Setup!$C$21&gt;=1530,64,IF(Setup!$C$21&gt;=750,41,IF(Setup!$C$21&gt;=280,23,IF(Setup!$C$21&gt;=30,9,0))))</f>
        <v>64</v>
      </c>
    </row>
    <row r="47" spans="1:16" x14ac:dyDescent="0.2">
      <c r="A47" s="31" t="s">
        <v>641</v>
      </c>
      <c r="B47" s="40">
        <f>Setup!$F$42*((Setup!$F$46*2)+(Setup!$F$47*5))</f>
        <v>0</v>
      </c>
      <c r="C47" s="123">
        <f>Setup!$G$42*((Setup!$G$46*2)+(Setup!$G$47*5))</f>
        <v>0</v>
      </c>
      <c r="D47" s="40">
        <f>Setup!$F$42*((Setup!$F$46*2)+(Setup!$F$47*5))</f>
        <v>0</v>
      </c>
      <c r="E47" s="123">
        <f>Setup!$G$42*((Setup!$G$46*2)+(Setup!$G$47*5))</f>
        <v>0</v>
      </c>
      <c r="F47" s="40">
        <f>Setup!$F$42*((Setup!$F$46*2)+(Setup!$F$47*5))</f>
        <v>0</v>
      </c>
      <c r="G47" s="123">
        <f>Setup!$G$42*((Setup!$G$46*2)+(Setup!$G$47*5))</f>
        <v>0</v>
      </c>
      <c r="H47" s="40">
        <f>Setup!$F$42*((Setup!$F$46*2)+(Setup!$F$47*5))</f>
        <v>0</v>
      </c>
      <c r="I47" s="123">
        <f>Setup!$G$42*((Setup!$G$46*2)+(Setup!$G$47*5))</f>
        <v>0</v>
      </c>
      <c r="J47" s="40">
        <f>Setup!$F$42*((Setup!$F$46*2)+(Setup!$F$47*5))</f>
        <v>0</v>
      </c>
      <c r="K47" s="123">
        <f>Setup!$G$42*((Setup!$G$46*2)+(Setup!$G$47*5))</f>
        <v>0</v>
      </c>
      <c r="L47" s="40">
        <f>Setup!$F$42*((Setup!$F$46*2)+(Setup!$F$47*5))</f>
        <v>0</v>
      </c>
      <c r="M47" s="123">
        <f>Setup!$G$42*((Setup!$G$46*2)+(Setup!$G$47*5))</f>
        <v>0</v>
      </c>
    </row>
    <row r="48" spans="1:16" x14ac:dyDescent="0.2">
      <c r="A48" s="31" t="s">
        <v>759</v>
      </c>
      <c r="B48" s="40">
        <v>0</v>
      </c>
      <c r="C48" s="123">
        <v>0</v>
      </c>
      <c r="D48" s="40">
        <v>0</v>
      </c>
      <c r="E48" s="123">
        <v>0</v>
      </c>
      <c r="F48" s="40">
        <f>IF(Jump!$B11="Iktomi Dastanas", 40, 0) + IF(Jump!$B17="Vishap Greaves +3",30,IF(Jump!$B17="Vishap Greaves +2",20,IF(Jump!$B17="Maenadic Gambieras", 35, 0)))</f>
        <v>0</v>
      </c>
      <c r="G48" s="123">
        <f>IF(Jump!$W11="Iktomi Dastanas", 40, 0) + IF(Jump!$W17="Vishap Greaves +3",30,IF(Jump!$W17="Vishap Greaves +2",20,IF(Jump!$W17="Maenadic Gambieras", 35, 0)))</f>
        <v>0</v>
      </c>
      <c r="H48" s="40">
        <f>IF(Jump!$B35="Iktomi Dastanas", 40, 0) + IF(Jump!$B41="Vishap Greaves +3",30,IF(Jump!$B41="Vishap Greaves +2",20,IF(Jump!$B41="Maenadic Gambieras", 35, 0)))</f>
        <v>0</v>
      </c>
      <c r="I48" s="123">
        <f>IF(Jump!$W35="Iktomi Dastanas", 40, 0) + IF(Jump!$W41="Vishap Greaves +3",30,IF(Jump!$W41="Vishap Greaves +2",20,IF(Jump!$W41="Maenadic Gambieras", 35, 0)))</f>
        <v>0</v>
      </c>
      <c r="J48" s="40">
        <f>IF(HJump!$B11="Iktomi Dastanas", 40, 0) + IF(HJump!$B17="Vishap Greaves +3",30,IF(HJump!$B17="Vishap Greaves +2",20,IF(HJump!$B17="Maenadic Gambieras", 35, 0)))</f>
        <v>0</v>
      </c>
      <c r="K48" s="123">
        <f>IF(HJump!$W11="Iktomi Dastanas", 40, 0) + IF(HJump!$W17="Vishap Greaves +3",30,IF(HJump!$W17="Vishap Greaves +2",20,IF(HJump!$W17="Maenadic Gambieras", 35, 0)))</f>
        <v>0</v>
      </c>
      <c r="L48" s="40">
        <f>IF(HJump!$B35="Iktomi Dastanas", 40, 0) + IF(HJump!$B41="Vishap Greaves +3",30,IF(HJump!$B41="Vishap Greaves +2",20,IF(HJump!$B41="Maenadic Gambieras", 35, 0)))</f>
        <v>0</v>
      </c>
      <c r="M48" s="123">
        <f>IF(HJump!$W35="Iktomi Dastanas", 40, 0) + IF(HJump!$W41="Vishap Greaves +3",30,IF(HJump!$W41="Vishap Greaves +2",20,IF(HJump!$W41="Maenadic Gambieras", 35, 0)))</f>
        <v>0</v>
      </c>
    </row>
    <row r="49" spans="1:18" x14ac:dyDescent="0.2">
      <c r="A49" s="31" t="s">
        <v>430</v>
      </c>
      <c r="B49" s="40">
        <f>IF(LEFT(Gear!$B3,9)="Ryunohige", 119, 0)</f>
        <v>0</v>
      </c>
      <c r="C49" s="123">
        <f>IF(LEFT(Gear!$X3,9)="Ryunohige", 119, 0)</f>
        <v>0</v>
      </c>
      <c r="D49" s="40">
        <f>IF(LEFT(Gear!$B3,9)="Ryunohige", 119, 0)</f>
        <v>0</v>
      </c>
      <c r="E49" s="123">
        <f>IF(LEFT(Gear!$X3,9)="Ryunohige", 119, 0)</f>
        <v>0</v>
      </c>
      <c r="F49" s="40">
        <f>IF(LEFT(Gear!$B3,9)="Ryunohige", 119, 0)</f>
        <v>0</v>
      </c>
      <c r="G49" s="123">
        <f>IF(LEFT(Gear!$X3,9)="Ryunohige", 119, 0)</f>
        <v>0</v>
      </c>
      <c r="H49" s="40">
        <f>IF(LEFT(Gear!$B3,9)="Ryunohige", 119, 0)</f>
        <v>0</v>
      </c>
      <c r="I49" s="123">
        <f>IF(LEFT(Gear!$X3,9)="Ryunohige", 119, 0)</f>
        <v>0</v>
      </c>
      <c r="J49" s="40">
        <f>IF(LEFT(Gear!$B3,9)="Ryunohige", 119, 0)</f>
        <v>0</v>
      </c>
      <c r="K49" s="123">
        <f>IF(LEFT(Gear!$X3,9)="Ryunohige", 119, 0)</f>
        <v>0</v>
      </c>
      <c r="L49" s="40">
        <f>IF(LEFT(Gear!$B3,9)="Ryunohige", 119, 0)</f>
        <v>0</v>
      </c>
      <c r="M49" s="123">
        <f>IF(LEFT(Gear!$X3,9)="Ryunohige", 119, 0)</f>
        <v>0</v>
      </c>
    </row>
    <row r="50" spans="1:18" x14ac:dyDescent="0.2">
      <c r="A50" s="31" t="s">
        <v>1318</v>
      </c>
      <c r="B50" s="40">
        <f>IF(LEFT(Setup!$B$36,4)="Lv.1",(TRUNC((Setup!$B$37-1000)/50)+30)*MIN(1,B49),0)</f>
        <v>0</v>
      </c>
      <c r="C50" s="123">
        <f>IF(LEFT(Setup!$C$36,4)="Lv.1",(TRUNC((Setup!$C$37-1000)/50)+30)*MIN(1,C49),0)</f>
        <v>0</v>
      </c>
      <c r="D50" s="40">
        <f>IF(LEFT(Setup!$B$36,4)="Lv.1",(TRUNC((Setup!$B$37-1000)/50)+30)*MIN(1,D49),0)</f>
        <v>0</v>
      </c>
      <c r="E50" s="123">
        <f>IF(LEFT(Setup!$C$36,4)="Lv.1",(TRUNC((Setup!$C$37-1000)/50)+30)*MIN(1,E49),0)</f>
        <v>0</v>
      </c>
      <c r="F50" s="40">
        <f>IF(LEFT(Setup!$B$36,4)="Lv.1",(TRUNC((Setup!$B$37-1000)/50)+30)*MIN(1,F49),0)</f>
        <v>0</v>
      </c>
      <c r="G50" s="123">
        <f>IF(LEFT(Setup!$C$36,4)="Lv.1",(TRUNC((Setup!$C$37-1000)/50)+30)*MIN(1,G49),0)</f>
        <v>0</v>
      </c>
      <c r="H50" s="40">
        <f>IF(LEFT(Setup!$B$36,4)="Lv.1",(TRUNC((Setup!$B$37-1000)/50)+30)*MIN(1,H49),0)</f>
        <v>0</v>
      </c>
      <c r="I50" s="123">
        <f>IF(LEFT(Setup!$C$36,4)="Lv.1",(TRUNC((Setup!$C$37-1000)/50)+30)*MIN(1,I49),0)</f>
        <v>0</v>
      </c>
      <c r="J50" s="40">
        <f>IF(LEFT(Setup!$B$36,4)="Lv.1",(TRUNC((Setup!$B$37-1000)/50)+30)*MIN(1,J49),0)</f>
        <v>0</v>
      </c>
      <c r="K50" s="123">
        <f>IF(LEFT(Setup!$C$36,4)="Lv.1",(TRUNC((Setup!$C$37-1000)/50)+30)*MIN(1,K49),0)</f>
        <v>0</v>
      </c>
      <c r="L50" s="40">
        <f>IF(LEFT(Setup!$B$36,4)="Lv.1",(TRUNC((Setup!$B$37-1000)/50)+30)*MIN(1,L49),0)</f>
        <v>0</v>
      </c>
      <c r="M50" s="123">
        <f>IF(LEFT(Setup!$C$36,4)="Lv.1",(TRUNC((Setup!$C$37-1000)/50)+30)*MIN(1,M49),0)</f>
        <v>0</v>
      </c>
      <c r="P50" s="90" t="s">
        <v>431</v>
      </c>
      <c r="Q50" s="90" t="s">
        <v>0</v>
      </c>
      <c r="R50" t="s">
        <v>1</v>
      </c>
    </row>
    <row r="51" spans="1:18" x14ac:dyDescent="0.2">
      <c r="A51" s="138" t="s">
        <v>1317</v>
      </c>
      <c r="B51" s="154">
        <f>IF(LEFT(Setup!$B$36,4)="Lv.2",(TRUNC((Setup!$B$38-2000)/(50/3))+40)*MIN(1,B49),0)</f>
        <v>0</v>
      </c>
      <c r="C51" s="157">
        <f>IF(LEFT(Setup!$C$36,4)="Lv.2",(TRUNC((Setup!$C$38-2000)/(50/3))+40)*MIN(1,C49),0)</f>
        <v>0</v>
      </c>
      <c r="D51" s="154">
        <f>IF(LEFT(Setup!$B$36,4)="Lv.2",(TRUNC((Setup!$B$38-2000)/(50/3))+40)*MIN(1,D49),0)</f>
        <v>0</v>
      </c>
      <c r="E51" s="157">
        <f>IF(LEFT(Setup!$C$36,4)="Lv.2",(TRUNC((Setup!$C$38-2000)/(50/3))+40)*MIN(1,E49),0)</f>
        <v>0</v>
      </c>
      <c r="F51" s="154">
        <f>IF(LEFT(Setup!$B$36,4)="Lv.2",(TRUNC((Setup!$B$38-2000)/(50/3))+40)*MIN(1,F49),0)</f>
        <v>0</v>
      </c>
      <c r="G51" s="157">
        <f>IF(LEFT(Setup!$C$36,4)="Lv.2",(TRUNC((Setup!$C$38-2000)/(50/3))+40)*MIN(1,G49),0)</f>
        <v>0</v>
      </c>
      <c r="H51" s="154">
        <f>IF(LEFT(Setup!$B$36,4)="Lv.2",(TRUNC((Setup!$B$38-2000)/(50/3))+40)*MIN(1,H49),0)</f>
        <v>0</v>
      </c>
      <c r="I51" s="157">
        <f>IF(LEFT(Setup!$C$36,4)="Lv.2",(TRUNC((Setup!$C$38-2000)/(50/3))+40)*MIN(1,I49),0)</f>
        <v>0</v>
      </c>
      <c r="J51" s="154">
        <f>IF(LEFT(Setup!$B$36,4)="Lv.2",(TRUNC((Setup!$B$38-2000)/(50/3))+40)*MIN(1,J49),0)</f>
        <v>0</v>
      </c>
      <c r="K51" s="157">
        <f>IF(LEFT(Setup!$C$36,4)="Lv.2",(TRUNC((Setup!$C$38-2000)/(50/3))+40)*MIN(1,K49),0)</f>
        <v>0</v>
      </c>
      <c r="L51" s="154">
        <f>IF(LEFT(Setup!$B$36,4)="Lv.2",(TRUNC((Setup!$B$38-2000)/(50/3))+40)*MIN(1,L49),0)</f>
        <v>0</v>
      </c>
      <c r="M51" s="157">
        <f>IF(LEFT(Setup!$C$36,4)="Lv.2",(TRUNC((Setup!$C$38-2000)/(50/3))+40)*MIN(1,M49),0)</f>
        <v>0</v>
      </c>
      <c r="P51" s="90"/>
      <c r="Q51" s="90"/>
    </row>
    <row r="52" spans="1:18" x14ac:dyDescent="0.2">
      <c r="A52" s="31" t="s">
        <v>146</v>
      </c>
      <c r="B52" s="40">
        <f t="shared" ref="B52:M52" ca="1" si="3">B28 + FLOOR(B35*3/4,1) + B39 + B40 + B41 + B42 + B43 + B51 + $E$9 + HLOOKUP("Att",INDIRECT(B$26),MATCH("Total",Slots,0)+1,0)</f>
        <v>1302</v>
      </c>
      <c r="C52" s="158">
        <f t="shared" ca="1" si="3"/>
        <v>1302</v>
      </c>
      <c r="D52" s="40">
        <f t="shared" ca="1" si="3"/>
        <v>1417</v>
      </c>
      <c r="E52" s="158">
        <f t="shared" ca="1" si="3"/>
        <v>1417</v>
      </c>
      <c r="F52" s="40">
        <f t="shared" ca="1" si="3"/>
        <v>1217</v>
      </c>
      <c r="G52" s="158">
        <f t="shared" ca="1" si="3"/>
        <v>1217</v>
      </c>
      <c r="H52" s="40">
        <f t="shared" ca="1" si="3"/>
        <v>1228</v>
      </c>
      <c r="I52" s="158">
        <f t="shared" ca="1" si="3"/>
        <v>1228</v>
      </c>
      <c r="J52" s="40">
        <f t="shared" ca="1" si="3"/>
        <v>1217</v>
      </c>
      <c r="K52" s="158">
        <f t="shared" ca="1" si="3"/>
        <v>1217</v>
      </c>
      <c r="L52" s="40">
        <f t="shared" ca="1" si="3"/>
        <v>1217</v>
      </c>
      <c r="M52" s="158">
        <f t="shared" ca="1" si="3"/>
        <v>1217</v>
      </c>
      <c r="P52" t="s">
        <v>224</v>
      </c>
      <c r="Q52" s="156">
        <f>Setup!B37</f>
        <v>1000</v>
      </c>
      <c r="R52" s="156">
        <f>Setup!C37</f>
        <v>1000</v>
      </c>
    </row>
    <row r="53" spans="1:18" x14ac:dyDescent="0.2">
      <c r="A53" s="35" t="s">
        <v>147</v>
      </c>
      <c r="B53" s="38">
        <f t="shared" ref="B53:M53" ca="1" si="4">B29+FLOOR(B36*3/4,1)+B44+B45+B46+B47+B48+B50+$E10+$H$10+HLOOKUP("Acc",INDIRECT(B$26),MATCH("Total",Slots,0)+1,0)</f>
        <v>1254</v>
      </c>
      <c r="C53" s="206">
        <f t="shared" ca="1" si="4"/>
        <v>1234</v>
      </c>
      <c r="D53" s="38">
        <f t="shared" ca="1" si="4"/>
        <v>1249</v>
      </c>
      <c r="E53" s="206">
        <f t="shared" ca="1" si="4"/>
        <v>1249</v>
      </c>
      <c r="F53" s="38">
        <f t="shared" ca="1" si="4"/>
        <v>1189</v>
      </c>
      <c r="G53" s="206">
        <f t="shared" ca="1" si="4"/>
        <v>1189</v>
      </c>
      <c r="H53" s="38">
        <f t="shared" ca="1" si="4"/>
        <v>1201</v>
      </c>
      <c r="I53" s="206">
        <f t="shared" ca="1" si="4"/>
        <v>1201</v>
      </c>
      <c r="J53" s="38">
        <f t="shared" ca="1" si="4"/>
        <v>1189</v>
      </c>
      <c r="K53" s="206">
        <f t="shared" ca="1" si="4"/>
        <v>1189</v>
      </c>
      <c r="L53" s="38">
        <f t="shared" ca="1" si="4"/>
        <v>1189</v>
      </c>
      <c r="M53" s="206">
        <f t="shared" ca="1" si="4"/>
        <v>1189</v>
      </c>
      <c r="P53" s="90">
        <v>75</v>
      </c>
      <c r="Q53" s="90">
        <f>MAX(TRUNC(2*Q$52/5-60), 0)</f>
        <v>340</v>
      </c>
      <c r="R53" s="90">
        <f>MAX(TRUNC(2*R$52/5-60), 0)</f>
        <v>340</v>
      </c>
    </row>
    <row r="54" spans="1:18" x14ac:dyDescent="0.2">
      <c r="A54" s="31" t="s">
        <v>148</v>
      </c>
      <c r="B54" s="40">
        <f t="shared" ref="B54:M54" ca="1" si="5">FLOOR(MIN(B52*$B$9,$C$9),1)+$D$9</f>
        <v>0</v>
      </c>
      <c r="C54" s="37">
        <f t="shared" ca="1" si="5"/>
        <v>0</v>
      </c>
      <c r="D54" s="40">
        <f t="shared" ca="1" si="5"/>
        <v>0</v>
      </c>
      <c r="E54" s="37">
        <f t="shared" ca="1" si="5"/>
        <v>0</v>
      </c>
      <c r="F54" s="40">
        <f t="shared" ca="1" si="5"/>
        <v>0</v>
      </c>
      <c r="G54" s="37">
        <f t="shared" ca="1" si="5"/>
        <v>0</v>
      </c>
      <c r="H54" s="40">
        <f t="shared" ca="1" si="5"/>
        <v>0</v>
      </c>
      <c r="I54" s="37">
        <f t="shared" ca="1" si="5"/>
        <v>0</v>
      </c>
      <c r="J54" s="40">
        <f t="shared" ca="1" si="5"/>
        <v>0</v>
      </c>
      <c r="K54" s="37">
        <f t="shared" ca="1" si="5"/>
        <v>0</v>
      </c>
      <c r="L54" s="40">
        <f t="shared" ca="1" si="5"/>
        <v>0</v>
      </c>
      <c r="M54" s="37">
        <f t="shared" ca="1" si="5"/>
        <v>0</v>
      </c>
      <c r="P54" s="90">
        <v>80</v>
      </c>
      <c r="Q54" s="90">
        <f t="shared" ref="Q54:R56" si="6">MAX(TRUNC(3*Q$52/5-90), 0)</f>
        <v>510</v>
      </c>
      <c r="R54" s="90">
        <f t="shared" si="6"/>
        <v>510</v>
      </c>
    </row>
    <row r="55" spans="1:18" x14ac:dyDescent="0.2">
      <c r="A55" s="35" t="s">
        <v>149</v>
      </c>
      <c r="B55" s="38">
        <f t="shared" ref="B55:M55" ca="1" si="7">FLOOR(MIN(B53*$B$10,$C$10),1)+$D$10</f>
        <v>100</v>
      </c>
      <c r="C55" s="39">
        <f t="shared" ca="1" si="7"/>
        <v>100</v>
      </c>
      <c r="D55" s="38">
        <f t="shared" ca="1" si="7"/>
        <v>100</v>
      </c>
      <c r="E55" s="39">
        <f t="shared" ca="1" si="7"/>
        <v>100</v>
      </c>
      <c r="F55" s="38">
        <f t="shared" ca="1" si="7"/>
        <v>100</v>
      </c>
      <c r="G55" s="39">
        <f t="shared" ca="1" si="7"/>
        <v>100</v>
      </c>
      <c r="H55" s="38">
        <f t="shared" ca="1" si="7"/>
        <v>100</v>
      </c>
      <c r="I55" s="39">
        <f t="shared" ca="1" si="7"/>
        <v>100</v>
      </c>
      <c r="J55" s="38">
        <f t="shared" ca="1" si="7"/>
        <v>100</v>
      </c>
      <c r="K55" s="39">
        <f t="shared" ca="1" si="7"/>
        <v>100</v>
      </c>
      <c r="L55" s="38">
        <f t="shared" ca="1" si="7"/>
        <v>100</v>
      </c>
      <c r="M55" s="39">
        <f t="shared" ca="1" si="7"/>
        <v>100</v>
      </c>
      <c r="P55">
        <v>85</v>
      </c>
      <c r="Q55" s="90">
        <f t="shared" si="6"/>
        <v>510</v>
      </c>
      <c r="R55" s="90">
        <f t="shared" si="6"/>
        <v>510</v>
      </c>
    </row>
    <row r="56" spans="1:18" x14ac:dyDescent="0.2">
      <c r="A56" s="31" t="s">
        <v>722</v>
      </c>
      <c r="B56" s="208">
        <f t="shared" ref="B56:M56" ca="1" si="8">TRUNC(IF(ISBLANK($F$1),0,VLOOKUP($F$1,Cheers,MATCH("Att%",CheersHeader,0),0))*B52)</f>
        <v>0</v>
      </c>
      <c r="C56" s="155">
        <f t="shared" ca="1" si="8"/>
        <v>0</v>
      </c>
      <c r="D56" s="208">
        <f t="shared" ca="1" si="8"/>
        <v>0</v>
      </c>
      <c r="E56" s="155">
        <f t="shared" ca="1" si="8"/>
        <v>0</v>
      </c>
      <c r="F56" s="208">
        <f t="shared" ca="1" si="8"/>
        <v>0</v>
      </c>
      <c r="G56" s="155">
        <f t="shared" ca="1" si="8"/>
        <v>0</v>
      </c>
      <c r="H56" s="208">
        <f t="shared" ca="1" si="8"/>
        <v>0</v>
      </c>
      <c r="I56" s="155">
        <f t="shared" ca="1" si="8"/>
        <v>0</v>
      </c>
      <c r="J56" s="208">
        <f t="shared" ca="1" si="8"/>
        <v>0</v>
      </c>
      <c r="K56" s="155">
        <f t="shared" ca="1" si="8"/>
        <v>0</v>
      </c>
      <c r="L56" s="208">
        <f t="shared" ca="1" si="8"/>
        <v>0</v>
      </c>
      <c r="M56" s="155">
        <f t="shared" ca="1" si="8"/>
        <v>0</v>
      </c>
      <c r="P56">
        <v>90</v>
      </c>
      <c r="Q56" s="90">
        <f t="shared" si="6"/>
        <v>510</v>
      </c>
      <c r="R56" s="90">
        <f t="shared" si="6"/>
        <v>510</v>
      </c>
    </row>
    <row r="57" spans="1:18" x14ac:dyDescent="0.2">
      <c r="A57" s="207" t="s">
        <v>723</v>
      </c>
      <c r="B57" s="154">
        <f t="shared" ref="B57:M57" si="9">IF(ISBLANK($F$1),0,VLOOKUP($F$1,Cheers,MATCH("Acc",CheersHeader,0),0))</f>
        <v>4</v>
      </c>
      <c r="C57" s="157">
        <f t="shared" si="9"/>
        <v>4</v>
      </c>
      <c r="D57" s="154">
        <f t="shared" si="9"/>
        <v>4</v>
      </c>
      <c r="E57" s="157">
        <f t="shared" si="9"/>
        <v>4</v>
      </c>
      <c r="F57" s="154">
        <f t="shared" si="9"/>
        <v>4</v>
      </c>
      <c r="G57" s="157">
        <f t="shared" si="9"/>
        <v>4</v>
      </c>
      <c r="H57" s="154">
        <f t="shared" si="9"/>
        <v>4</v>
      </c>
      <c r="I57" s="157">
        <f t="shared" si="9"/>
        <v>4</v>
      </c>
      <c r="J57" s="154">
        <f t="shared" si="9"/>
        <v>4</v>
      </c>
      <c r="K57" s="157">
        <f t="shared" si="9"/>
        <v>4</v>
      </c>
      <c r="L57" s="154">
        <f t="shared" si="9"/>
        <v>4</v>
      </c>
      <c r="M57" s="157">
        <f t="shared" si="9"/>
        <v>4</v>
      </c>
      <c r="Q57" s="90"/>
      <c r="R57" s="90"/>
    </row>
    <row r="58" spans="1:18" x14ac:dyDescent="0.2">
      <c r="A58" s="31" t="s">
        <v>150</v>
      </c>
      <c r="B58" s="42">
        <v>0</v>
      </c>
      <c r="C58" s="44">
        <v>0</v>
      </c>
      <c r="D58" s="42">
        <f>IF(Setup!B31=1,FLOOR(Setup!B32*D52,1),0)</f>
        <v>0</v>
      </c>
      <c r="E58" s="44">
        <f>IF(Setup!C31=1,FLOOR(Setup!C32*E52,1),0)</f>
        <v>0</v>
      </c>
      <c r="F58" s="42">
        <v>0</v>
      </c>
      <c r="G58" s="44">
        <v>0</v>
      </c>
      <c r="H58" s="42">
        <v>0</v>
      </c>
      <c r="I58" s="44">
        <v>0</v>
      </c>
      <c r="J58" s="42">
        <v>0</v>
      </c>
      <c r="K58" s="44">
        <v>0</v>
      </c>
      <c r="L58" s="42">
        <v>0</v>
      </c>
      <c r="M58" s="43">
        <v>0</v>
      </c>
      <c r="Q58" s="90"/>
      <c r="R58" s="90"/>
    </row>
    <row r="59" spans="1:18" x14ac:dyDescent="0.2">
      <c r="A59" s="31" t="s">
        <v>40</v>
      </c>
      <c r="B59" s="42">
        <f>IF(AND($D$1="War",Setup!$F$17=1),FLOOR(0.25*B52,1),0)</f>
        <v>0</v>
      </c>
      <c r="C59" s="44">
        <f>IF(AND($D$1="War",Setup!$G$17=1),FLOOR(0.25*C52,1),0)</f>
        <v>0</v>
      </c>
      <c r="D59" s="42">
        <f>IF(AND($D$1="War",Setup!$F$17=1),FLOOR(0.25*D52,1),0)</f>
        <v>0</v>
      </c>
      <c r="E59" s="44">
        <f>IF(AND($D$1="War",Setup!$G$17=1),FLOOR(0.25*E52,1),0)</f>
        <v>0</v>
      </c>
      <c r="F59" s="42">
        <f>IF(AND($D$1="War",Setup!$F$17=1),FLOOR(0.25*F52,1),0)</f>
        <v>0</v>
      </c>
      <c r="G59" s="44">
        <f>IF(AND($D$1="War",Setup!$G$17=1),FLOOR(0.25*G52,1),0)</f>
        <v>0</v>
      </c>
      <c r="H59" s="42">
        <f>IF(AND($D$1="War",Setup!$F$17=1),FLOOR(0.25*H52,1),0)</f>
        <v>0</v>
      </c>
      <c r="I59" s="44">
        <f>IF(AND($D$1="War",Setup!$G$17=1),FLOOR(0.25*I52,1),0)</f>
        <v>0</v>
      </c>
      <c r="J59" s="42">
        <f>IF(AND($D$1="War",Setup!$F$17=1),FLOOR(0.25*J52,1),0)</f>
        <v>0</v>
      </c>
      <c r="K59" s="44">
        <f>IF(AND($D$1="War",Setup!$G$17=1),FLOOR(0.25*K52,1),0)</f>
        <v>0</v>
      </c>
      <c r="L59" s="42">
        <f>IF(AND($D$1="War",Setup!$F$17=1),FLOOR(0.25*L52,1),0)</f>
        <v>0</v>
      </c>
      <c r="M59" s="44">
        <f>IF(AND($D$1="War",Setup!$G$17=1),FLOOR(0.25*M52,1),0)</f>
        <v>0</v>
      </c>
      <c r="P59">
        <v>95</v>
      </c>
      <c r="Q59" s="90">
        <f t="shared" ref="Q59:R61" si="10">MAX(TRUNC(Q$52/2-60), 0)</f>
        <v>440</v>
      </c>
      <c r="R59" s="90">
        <f t="shared" si="10"/>
        <v>440</v>
      </c>
    </row>
    <row r="60" spans="1:18" x14ac:dyDescent="0.2">
      <c r="A60" s="141" t="s">
        <v>44</v>
      </c>
      <c r="B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(B52 / 1024),0)</f>
        <v>0</v>
      </c>
      <c r="C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(C52 / 1024),0)</f>
        <v>0</v>
      </c>
      <c r="D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(D52 / 1024),0)</f>
        <v>0</v>
      </c>
      <c r="E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(E52 / 1024),0)</f>
        <v>0</v>
      </c>
      <c r="F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(F52 / 1024),0)</f>
        <v>0</v>
      </c>
      <c r="G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(G52 / 1024),0)</f>
        <v>0</v>
      </c>
      <c r="H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(H52 / 1024),0)</f>
        <v>0</v>
      </c>
      <c r="I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(I52 / 1024),0)</f>
        <v>0</v>
      </c>
      <c r="J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(J52 / 1024),0)</f>
        <v>0</v>
      </c>
      <c r="K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(K52 / 1024),0)</f>
        <v>0</v>
      </c>
      <c r="L60" s="42">
        <f ca="1">TRUNC((VLOOKUP(Setup!$M35,CORChaosRoll,2,FALSE)
+IF(IFERROR(FIND("DRK",Setup!$J35,1),0)=0,0,'Other Lists'!$B$346)
+IF(IFERROR(FIND("+",Setup!$J35,1),0)=0,0,MID(Setup!$J35,FIND("+",Setup!$J35,1)+1,1))*'Other Lists'!$B$347)
*VLOOKUP(LEFT(Setup!$J35,IFERROR(FIND("+",Setup!$J35,1)-1,IFERROR(FIND(" ",Setup!$J35,1)-1,LEN(Setup!$J35)))),CORRollStates,2,FALSE) * (L52 / 1024),0)</f>
        <v>0</v>
      </c>
      <c r="M60" s="93">
        <f ca="1">TRUNC((VLOOKUP(Setup!$N35,CORChaosRoll,2,FALSE)
+IF(IFERROR(FIND("DRK",Setup!$K35,1),0)=0,0,'Other Lists'!$B$346)
+IF(IFERROR(FIND("+",Setup!$K35,1),0)=0,0,MID(Setup!$K35,FIND("+",Setup!$K35,1)+1,1))*'Other Lists'!$B$347)
*VLOOKUP(LEFT(Setup!$K35,IFERROR(FIND("+",Setup!$K35,1)-1,IFERROR(FIND(" ",Setup!$K35,1)-1,LEN(Setup!$K35)))),CORRollStates,2,FALSE) * (M52 / 1024),0)</f>
        <v>0</v>
      </c>
      <c r="P60">
        <v>99</v>
      </c>
      <c r="Q60" s="90">
        <f t="shared" si="10"/>
        <v>440</v>
      </c>
      <c r="R60" s="90">
        <f t="shared" si="10"/>
        <v>440</v>
      </c>
    </row>
    <row r="61" spans="1:18" x14ac:dyDescent="0.2">
      <c r="A61" s="31" t="s">
        <v>642</v>
      </c>
      <c r="B61" s="42">
        <f ca="1">TRUNC(Setup!$F$42*Setup!$F$45*0.01*B52)</f>
        <v>0</v>
      </c>
      <c r="C61" s="93">
        <f ca="1">TRUNC(Setup!$G$42*Setup!$G$45*0.01*C52)</f>
        <v>0</v>
      </c>
      <c r="D61" s="42">
        <f ca="1">TRUNC(Setup!$F$42*Setup!$F$45*0.01*D52)</f>
        <v>0</v>
      </c>
      <c r="E61" s="93">
        <f ca="1">TRUNC(Setup!$G$42*Setup!$G$45*0.01*E52)</f>
        <v>0</v>
      </c>
      <c r="F61" s="42">
        <f ca="1">TRUNC(Setup!$F$42*Setup!$F$45*0.01*F52)</f>
        <v>0</v>
      </c>
      <c r="G61" s="93">
        <f ca="1">TRUNC(Setup!$G$42*Setup!$G$45*0.01*G52)</f>
        <v>0</v>
      </c>
      <c r="H61" s="42">
        <f ca="1">TRUNC(Setup!$F$42*Setup!$F$45*0.01*H52)</f>
        <v>0</v>
      </c>
      <c r="I61" s="93">
        <f ca="1">TRUNC(Setup!$G$42*Setup!$G$45*0.01*I52)</f>
        <v>0</v>
      </c>
      <c r="J61" s="42">
        <f ca="1">TRUNC(Setup!$F$42*Setup!$F$45*0.01*J52)</f>
        <v>0</v>
      </c>
      <c r="K61" s="93">
        <f ca="1">TRUNC(Setup!$G$42*Setup!$G$45*0.01*K52)</f>
        <v>0</v>
      </c>
      <c r="L61" s="42">
        <f ca="1">TRUNC(Setup!$F$42*Setup!$F$45*0.01*L52)</f>
        <v>0</v>
      </c>
      <c r="M61" s="93">
        <f ca="1">TRUNC(Setup!$G$42*Setup!$G$45*0.01*M52)</f>
        <v>0</v>
      </c>
      <c r="P61">
        <v>119</v>
      </c>
      <c r="Q61" s="90">
        <f t="shared" si="10"/>
        <v>440</v>
      </c>
      <c r="R61" s="90">
        <f t="shared" si="10"/>
        <v>440</v>
      </c>
    </row>
    <row r="62" spans="1:18" x14ac:dyDescent="0.2">
      <c r="A62" s="31" t="s">
        <v>724</v>
      </c>
      <c r="B62" s="42">
        <f ca="1">TRUNC(B52*VLOOKUP(Setup!$J$45,Geomancy,MATCH("Multiplier",GeomancyHeader,0),0)*
((0.047+TRUNC(MAX(0,MIN(900,Setup!$M$44))/3000,4))+
MAX(0,MIN(10,Setup!$M$45))*VLOOKUP(Setup!$J$45,Geomancy,MATCH("GeoPlus",GeomancyHeader,0),0)*0.027))</f>
        <v>0</v>
      </c>
      <c r="C62" s="93">
        <f ca="1">TRUNC(C52*VLOOKUP(Setup!$K$45,Geomancy,MATCH("Multiplier",GeomancyHeader,0),0)*
((0.047+TRUNC(MAX(0,MIN(900,Setup!$N$44))/3000,4))+
MAX(0,MIN(10,Setup!$N$45))*VLOOKUP(Setup!$K$45,Geomancy,MATCH("GeoPlus",GeomancyHeader,0),0)*0.027))</f>
        <v>0</v>
      </c>
      <c r="D62" s="42">
        <f ca="1">TRUNC(D52*VLOOKUP(Setup!$J$45,Geomancy,MATCH("Multiplier",GeomancyHeader,0),0)*
((0.047+TRUNC(MAX(0,MIN(900,Setup!$M$44))/3000,4))+
MAX(0,MIN(10,Setup!$M$45))*VLOOKUP(Setup!$J$45,Geomancy,MATCH("GeoPlus",GeomancyHeader,0),0)*0.027))</f>
        <v>0</v>
      </c>
      <c r="E62" s="93">
        <f ca="1">TRUNC(E52*VLOOKUP(Setup!$K$45,Geomancy,MATCH("Multiplier",GeomancyHeader,0),0)*
((0.047+TRUNC(MAX(0,MIN(900,Setup!$N$44))/3000,4))+
MAX(0,MIN(10,Setup!$N$45))*VLOOKUP(Setup!$K$45,Geomancy,MATCH("GeoPlus",GeomancyHeader,0),0)*0.027))</f>
        <v>0</v>
      </c>
      <c r="F62" s="42">
        <f ca="1">TRUNC(F52*VLOOKUP(Setup!$J$45,Geomancy,MATCH("Multiplier",GeomancyHeader,0),0)*
((0.047+TRUNC(MAX(0,MIN(900,Setup!$M$44))/3000,4))+
MAX(0,MIN(10,Setup!$M$45))*VLOOKUP(Setup!$J$45,Geomancy,MATCH("GeoPlus",GeomancyHeader,0),0)*0.027))</f>
        <v>0</v>
      </c>
      <c r="G62" s="93">
        <f ca="1">TRUNC(G52*VLOOKUP(Setup!$K$45,Geomancy,MATCH("Multiplier",GeomancyHeader,0),0)*
((0.047+TRUNC(MAX(0,MIN(900,Setup!$N$44))/3000,4))+
MAX(0,MIN(10,Setup!$N$45))*VLOOKUP(Setup!$K$45,Geomancy,MATCH("GeoPlus",GeomancyHeader,0),0)*0.027))</f>
        <v>0</v>
      </c>
      <c r="H62" s="42">
        <f ca="1">TRUNC(H52*VLOOKUP(Setup!$J$45,Geomancy,MATCH("Multiplier",GeomancyHeader,0),0)*
((0.047+TRUNC(MAX(0,MIN(900,Setup!$M$44))/3000,4))+
MAX(0,MIN(10,Setup!$M$45))*VLOOKUP(Setup!$J$45,Geomancy,MATCH("GeoPlus",GeomancyHeader,0),0)*0.027))</f>
        <v>0</v>
      </c>
      <c r="I62" s="93">
        <f ca="1">TRUNC(I52*VLOOKUP(Setup!$K$45,Geomancy,MATCH("Multiplier",GeomancyHeader,0),0)*
((0.047+TRUNC(MAX(0,MIN(900,Setup!$N$44))/3000,4))+
MAX(0,MIN(10,Setup!$N$45))*VLOOKUP(Setup!$K$45,Geomancy,MATCH("GeoPlus",GeomancyHeader,0),0)*0.027))</f>
        <v>0</v>
      </c>
      <c r="J62" s="42">
        <f ca="1">TRUNC(J52*VLOOKUP(Setup!$J$45,Geomancy,MATCH("Multiplier",GeomancyHeader,0),0)*
((0.047+TRUNC(MAX(0,MIN(900,Setup!$M$44))/3000,4))+
MAX(0,MIN(10,Setup!$M$45))*VLOOKUP(Setup!$J$45,Geomancy,MATCH("GeoPlus",GeomancyHeader,0),0)*0.027))</f>
        <v>0</v>
      </c>
      <c r="K62" s="93">
        <f ca="1">TRUNC(K52*VLOOKUP(Setup!$K$45,Geomancy,MATCH("Multiplier",GeomancyHeader,0),0)*
((0.047+TRUNC(MAX(0,MIN(900,Setup!$N$44))/3000,4))+
MAX(0,MIN(10,Setup!$N$45))*VLOOKUP(Setup!$K$45,Geomancy,MATCH("GeoPlus",GeomancyHeader,0),0)*0.027))</f>
        <v>0</v>
      </c>
      <c r="L62" s="42">
        <f ca="1">TRUNC(L52*VLOOKUP(Setup!$J$45,Geomancy,MATCH("Multiplier",GeomancyHeader,0),0)*
((0.047+TRUNC(MAX(0,MIN(900,Setup!$M$44))/3000,4))+
MAX(0,MIN(10,Setup!$M$45))*VLOOKUP(Setup!$J$45,Geomancy,MATCH("GeoPlus",GeomancyHeader,0),0)*0.027))</f>
        <v>0</v>
      </c>
      <c r="M62" s="93">
        <f ca="1">TRUNC(M52*VLOOKUP(Setup!$K$45,Geomancy,MATCH("Multiplier",GeomancyHeader,0),0)*
((0.047+TRUNC(MAX(0,MIN(900,Setup!$N$44))/3000,4))+
MAX(0,MIN(10,Setup!$N$45))*VLOOKUP(Setup!$K$45,Geomancy,MATCH("GeoPlus",GeomancyHeader,0),0)*0.027))</f>
        <v>0</v>
      </c>
      <c r="Q62" s="90"/>
      <c r="R62" s="90"/>
    </row>
    <row r="63" spans="1:18" x14ac:dyDescent="0.2">
      <c r="A63" s="31" t="s">
        <v>375</v>
      </c>
      <c r="B63" s="11">
        <f t="shared" ref="B63:M63" ca="1" si="11">TRUNC(HLOOKUP($A63,INDIRECT(B$26),MATCH("Total",Slots,0)+1,0) * B52)</f>
        <v>0</v>
      </c>
      <c r="C63" s="123">
        <f t="shared" ca="1" si="11"/>
        <v>0</v>
      </c>
      <c r="D63" s="11">
        <f t="shared" ca="1" si="11"/>
        <v>0</v>
      </c>
      <c r="E63" s="123">
        <f t="shared" ca="1" si="11"/>
        <v>0</v>
      </c>
      <c r="F63" s="11">
        <f t="shared" ca="1" si="11"/>
        <v>0</v>
      </c>
      <c r="G63" s="123">
        <f t="shared" ca="1" si="11"/>
        <v>0</v>
      </c>
      <c r="H63" s="11">
        <f t="shared" ca="1" si="11"/>
        <v>0</v>
      </c>
      <c r="I63" s="123">
        <f t="shared" ca="1" si="11"/>
        <v>0</v>
      </c>
      <c r="J63" s="11">
        <f t="shared" ca="1" si="11"/>
        <v>0</v>
      </c>
      <c r="K63" s="123">
        <f t="shared" ca="1" si="11"/>
        <v>0</v>
      </c>
      <c r="L63" s="11">
        <f t="shared" ca="1" si="11"/>
        <v>0</v>
      </c>
      <c r="M63" s="123">
        <f t="shared" ca="1" si="11"/>
        <v>0</v>
      </c>
      <c r="Q63" s="90"/>
      <c r="R63" s="90"/>
    </row>
    <row r="64" spans="1:18" x14ac:dyDescent="0.2">
      <c r="A64" s="31" t="s">
        <v>741</v>
      </c>
      <c r="B64" s="11">
        <f ca="1">TRUNC(38/256 * B52)</f>
        <v>193</v>
      </c>
      <c r="C64" s="123">
        <f ca="1">TRUNC(38/256 * C52)</f>
        <v>193</v>
      </c>
      <c r="D64" s="11">
        <f t="shared" ref="D64:M64" ca="1" si="12">TRUNC(38/256 * D52)</f>
        <v>210</v>
      </c>
      <c r="E64" s="123">
        <f t="shared" ca="1" si="12"/>
        <v>210</v>
      </c>
      <c r="F64" s="11">
        <f t="shared" ca="1" si="12"/>
        <v>180</v>
      </c>
      <c r="G64" s="123">
        <f t="shared" ca="1" si="12"/>
        <v>180</v>
      </c>
      <c r="H64" s="11">
        <f t="shared" ca="1" si="12"/>
        <v>182</v>
      </c>
      <c r="I64" s="123">
        <f t="shared" ca="1" si="12"/>
        <v>182</v>
      </c>
      <c r="J64" s="11">
        <f t="shared" ca="1" si="12"/>
        <v>180</v>
      </c>
      <c r="K64" s="123">
        <f t="shared" ca="1" si="12"/>
        <v>180</v>
      </c>
      <c r="L64" s="11">
        <f t="shared" ca="1" si="12"/>
        <v>180</v>
      </c>
      <c r="M64" s="123">
        <f t="shared" ca="1" si="12"/>
        <v>180</v>
      </c>
    </row>
    <row r="65" spans="1:13" x14ac:dyDescent="0.2">
      <c r="A65" s="31" t="s">
        <v>1352</v>
      </c>
      <c r="B65" s="11">
        <f>IF(Gear!$B$3="Gungnir AG",TRUNC(5%*B52*Setup!$B$34),0)</f>
        <v>0</v>
      </c>
      <c r="C65" s="123">
        <f>IF(Gear!$X$3="Gungnir AG",TRUNC(5%*C52*Setup!$C$34),0)</f>
        <v>0</v>
      </c>
      <c r="D65" s="11">
        <f>IF(Gear!$B$3="Gungnir AG",TRUNC(5%*D52*Setup!$B$34),0)</f>
        <v>0</v>
      </c>
      <c r="E65" s="123">
        <f>IF(Gear!$X$3="Gungnir AG",TRUNC(5%*E52*Setup!$C$34),0)</f>
        <v>0</v>
      </c>
      <c r="F65" s="11">
        <f>IF(Gear!$B$3="Gungnir AG",TRUNC(5%*F52*Setup!$B$34),0)</f>
        <v>0</v>
      </c>
      <c r="G65" s="123">
        <f>IF(Gear!$X$3="Gungnir AG",TRUNC(5%*G52*Setup!$C$34),0)</f>
        <v>0</v>
      </c>
      <c r="H65" s="11">
        <f>IF(Gear!$B$3="Gungnir AG",TRUNC(5%*H52*Setup!$B$34),0)</f>
        <v>0</v>
      </c>
      <c r="I65" s="123">
        <f>IF(Gear!$X$3="Gungnir AG",TRUNC(5%*I52*Setup!$C$34),0)</f>
        <v>0</v>
      </c>
      <c r="J65" s="11">
        <f>IF(Gear!$B$3="Gungnir AG",TRUNC(5%*J52*Setup!$B$34),0)</f>
        <v>0</v>
      </c>
      <c r="K65" s="123">
        <f>IF(Gear!$X$3="Gungnir AG",TRUNC(5%*K52*Setup!$C$34),0)</f>
        <v>0</v>
      </c>
      <c r="L65" s="11">
        <f>IF(Gear!$B$3="Gungnir AG",TRUNC(5%*L52*Setup!$B$34),0)</f>
        <v>0</v>
      </c>
      <c r="M65" s="123">
        <f>IF(Gear!$X$3="Gungnir AG",TRUNC(5%*M52*Setup!$C$34),0)</f>
        <v>0</v>
      </c>
    </row>
    <row r="66" spans="1:13" x14ac:dyDescent="0.2">
      <c r="A66" s="31" t="s">
        <v>565</v>
      </c>
      <c r="B66" s="11">
        <f>IF(Setup!$F10=1, TRUNC(25% * B52), 0)</f>
        <v>0</v>
      </c>
      <c r="C66" s="123">
        <f>IF(Setup!$G10=1, TRUNC(25% * C52), 0)</f>
        <v>0</v>
      </c>
      <c r="D66" s="11">
        <f>IF(Setup!$F10=1, TRUNC(25% * D52), 0)</f>
        <v>0</v>
      </c>
      <c r="E66" s="123">
        <f>IF(Setup!$G10=1, TRUNC(25% * E52), 0)</f>
        <v>0</v>
      </c>
      <c r="F66" s="11">
        <f>IF(Setup!$F10=1, TRUNC(25% * F52), 0)</f>
        <v>0</v>
      </c>
      <c r="G66" s="123">
        <f>IF(Setup!$G10=1, TRUNC(25% * G52), 0)</f>
        <v>0</v>
      </c>
      <c r="H66" s="11">
        <f>IF(Setup!$F10=1, TRUNC(25% * H52), 0)</f>
        <v>0</v>
      </c>
      <c r="I66" s="123">
        <f>IF(Setup!$G10=1, TRUNC(25% * I52), 0)</f>
        <v>0</v>
      </c>
      <c r="J66" s="11">
        <f>IF(Setup!$F10=1, TRUNC(25% * J52), 0)</f>
        <v>0</v>
      </c>
      <c r="K66" s="123">
        <f>IF(Setup!$G10=1, TRUNC(25% * K52), 0)</f>
        <v>0</v>
      </c>
      <c r="L66" s="11">
        <f>IF(Setup!$F10=1, TRUNC(25% * L52), 0)</f>
        <v>0</v>
      </c>
      <c r="M66" s="123">
        <f>IF(Setup!$G10=1, TRUNC(25% * M52), 0)</f>
        <v>0</v>
      </c>
    </row>
    <row r="67" spans="1:13" x14ac:dyDescent="0.2">
      <c r="A67" s="31" t="s">
        <v>564</v>
      </c>
      <c r="B67" s="11">
        <f ca="1">IF(AND(Setup!$F6=1,Setup!$F10=0), TRUNC((51/256) * B52), 0)</f>
        <v>259</v>
      </c>
      <c r="C67" s="123">
        <f ca="1">IF(AND(Setup!$G6=1,Setup!$G10=0), TRUNC((51/256) * C52), 0)</f>
        <v>259</v>
      </c>
      <c r="D67" s="11">
        <f ca="1">IF(AND(Setup!$F6=1,Setup!$F10=0), TRUNC((51/256) * D52), 0)</f>
        <v>282</v>
      </c>
      <c r="E67" s="123">
        <f ca="1">IF(AND(Setup!$G6=1,Setup!$G10=0), TRUNC((51/256) * E52), 0)</f>
        <v>282</v>
      </c>
      <c r="F67" s="11">
        <f ca="1">IF(AND(Setup!$F6=1,Setup!$F10=0), TRUNC((51/256) * F52), 0)</f>
        <v>242</v>
      </c>
      <c r="G67" s="123">
        <f ca="1">IF(AND(Setup!$G6=1,Setup!$G10=0), TRUNC((51/256) * G52), 0)</f>
        <v>242</v>
      </c>
      <c r="H67" s="11">
        <f ca="1">IF(AND(Setup!$F6=1,Setup!$F10=0), TRUNC((51/256) * H52), 0)</f>
        <v>244</v>
      </c>
      <c r="I67" s="123">
        <f ca="1">IF(AND(Setup!$G6=1,Setup!$G10=0), TRUNC((51/256) * I52), 0)</f>
        <v>244</v>
      </c>
      <c r="J67" s="11">
        <f ca="1">IF(AND(Setup!$F6=1,Setup!$F10=0), TRUNC((51/256) * J52), 0)</f>
        <v>242</v>
      </c>
      <c r="K67" s="123">
        <f ca="1">IF(AND(Setup!$G6=1,Setup!$G10=0), TRUNC((51/256) * K52), 0)</f>
        <v>242</v>
      </c>
      <c r="L67" s="11">
        <f ca="1">IF(AND(Setup!$F6=1,Setup!$F10=0), TRUNC((51/256) * L52), 0)</f>
        <v>242</v>
      </c>
      <c r="M67" s="123">
        <f ca="1">IF(AND(Setup!$G6=1,Setup!$G10=0), TRUNC((51/256) * M52), 0)</f>
        <v>242</v>
      </c>
    </row>
    <row r="68" spans="1:13" x14ac:dyDescent="0.2">
      <c r="A68" s="31" t="s">
        <v>341</v>
      </c>
      <c r="B68" s="42"/>
      <c r="C68" s="44"/>
      <c r="D68" s="42">
        <f ca="1">TRUNC(VLOOKUP(Setup!B$29, WeaponskillData, MATCH("Att Bonus", WeaponskillDataCols, 0), 0) * D52)</f>
        <v>0</v>
      </c>
      <c r="E68" s="93">
        <f ca="1">TRUNC(VLOOKUP(Setup!C$29, WeaponskillData, MATCH("Att Bonus", WeaponskillDataCols, 0), 0) * E52)</f>
        <v>0</v>
      </c>
      <c r="F68" s="42"/>
      <c r="G68" s="44"/>
      <c r="H68" s="42"/>
      <c r="I68" s="44"/>
      <c r="J68" s="42"/>
      <c r="K68" s="44"/>
      <c r="L68" s="42"/>
      <c r="M68" s="44"/>
    </row>
    <row r="69" spans="1:13" x14ac:dyDescent="0.2">
      <c r="A69" s="31" t="s">
        <v>665</v>
      </c>
      <c r="B69" s="42"/>
      <c r="C69" s="93"/>
      <c r="D69" s="42"/>
      <c r="E69" s="93"/>
      <c r="F69" s="42">
        <f ca="1">TRUNC(IF(Jump!$B17="Vishap Greaves +3",26%,IF(Jump!$B17="Vishap Greaves +2",24%,IF(LEFT(Jump!$B17,6)="Vishap", 15%, 0))) * F52) + TRUNC(IF(LEFT(Gear!$B3,9)="Ryunohige", 35%, 0%) * F52)</f>
        <v>0</v>
      </c>
      <c r="G69" s="93">
        <f ca="1">TRUNC(IF(Jump!$W17="Vishap Greaves +3",26%,IF(Jump!$W17="Vishap Greaves +2",24%,IF(LEFT(Jump!$W17,6)="Vishap", 15%, 0))) * G52) + TRUNC(IF(LEFT(Gear!$X3,9)="Ryunohige", 35%, 0%) * G52)</f>
        <v>0</v>
      </c>
      <c r="H69" s="42">
        <f ca="1">TRUNC(IF(AND(Setup!F6=1, Setup!F10=0),25%,0) * H52) + TRUNC(IF(Jump!B40="Peltast's Cuissots +1",15%,IF(Jump!B40="Peltast's Cuissots",13%,0)) * H52)</f>
        <v>307</v>
      </c>
      <c r="I69" s="93">
        <f ca="1">TRUNC(IF(AND(Setup!G6=1, Setup!G10=0),25%,0) * I52) + TRUNC(IF(Jump!W40="Peltast's Cuissots +1",15%,IF(Jump!W40="Peltast's Cuissots",13%,0)) * I52)</f>
        <v>307</v>
      </c>
      <c r="J69" s="42">
        <f ca="1">TRUNC(IF(HJump!$B16="Vishap Brais +3",29%,IF(HJump!$B16="Vishap Brais +2",27%,IF(LEFT(HJump!$B16,6)="Vishap", 25%, 0))) * J52)</f>
        <v>0</v>
      </c>
      <c r="K69" s="93">
        <f ca="1">TRUNC(IF(HJump!$W16="Vishap Brais +3",29%,IF(HJump!$W16="Vishap Brais +2",27%,IF(LEFT(HJump!$W16,6)="Vishap", 25%, 0))) * K52)</f>
        <v>0</v>
      </c>
      <c r="L69" s="42">
        <f ca="1">TRUNC(IF(AND(Setup!F6=1, Setup!F10=0),50%,0) * L52) + TRUNC(IF(HJump!B40="Peltast's Cuissots +1",15%,IF(HJump!B40="Peltast's Cuissots",13%,0)) * L52)</f>
        <v>608</v>
      </c>
      <c r="M69" s="93">
        <f ca="1">TRUNC(IF(AND(Setup!G6=1, Setup!G10=0),50%,0) * M52) + TRUNC(IF(HJump!W40="Peltast's Cuissots +1",15%,IF(HJump!W40="Peltast's Cuissots",13%,0)) * M52)</f>
        <v>608</v>
      </c>
    </row>
    <row r="70" spans="1:13" x14ac:dyDescent="0.2">
      <c r="A70" s="35" t="s">
        <v>151</v>
      </c>
      <c r="B70" s="28">
        <f>IF(AND(OR(Setup!$F25=1, Setup!$F31=1), Setup!$F36=1), FLOOR(0.25*B52,1), 0)</f>
        <v>0</v>
      </c>
      <c r="C70" s="95">
        <f>IF(AND(OR(Setup!$G25=1, Setup!$G31=1), Setup!$G36=1), FLOOR(0.25*C52,1), 0)</f>
        <v>0</v>
      </c>
      <c r="D70" s="28">
        <f>IF(AND(OR(Setup!$F25=1, Setup!$F31=1), Setup!$F36=1), FLOOR(0.25*D52,1), 0)</f>
        <v>0</v>
      </c>
      <c r="E70" s="95">
        <f>IF(AND(OR(Setup!$G25=1, Setup!$G31=1), Setup!$G36=1), FLOOR(0.25*E52,1), 0)</f>
        <v>0</v>
      </c>
      <c r="F70" s="28">
        <f>IF(AND(OR(Setup!$F25=1, Setup!$F31=1), Setup!$F36=1), FLOOR(0.25*F52,1), 0)</f>
        <v>0</v>
      </c>
      <c r="G70" s="95">
        <f>IF(AND(OR(Setup!$G25=1, Setup!$G31=1), Setup!$G36=1), FLOOR(0.25*G52,1), 0)</f>
        <v>0</v>
      </c>
      <c r="H70" s="28">
        <f>IF(AND(OR(Setup!$F25=1, Setup!$F31=1), Setup!$F36=1), FLOOR(0.25*H52,1), 0)</f>
        <v>0</v>
      </c>
      <c r="I70" s="95">
        <f>IF(AND(OR(Setup!$G25=1, Setup!$G31=1), Setup!$G36=1), FLOOR(0.25*I52,1), 0)</f>
        <v>0</v>
      </c>
      <c r="J70" s="28">
        <f>IF(AND(OR(Setup!$F25=1, Setup!$F31=1), Setup!$F36=1), FLOOR(0.25*J52,1), 0)</f>
        <v>0</v>
      </c>
      <c r="K70" s="95">
        <f>IF(AND(OR(Setup!$G25=1, Setup!$G31=1), Setup!$G36=1), FLOOR(0.25*K52,1), 0)</f>
        <v>0</v>
      </c>
      <c r="L70" s="28">
        <f>IF(AND(OR(Setup!$F25=1, Setup!$F31=1), Setup!$F36=1), FLOOR(0.25*L52,1), 0)</f>
        <v>0</v>
      </c>
      <c r="M70" s="95">
        <f>IF(AND(OR(Setup!$G25=1, Setup!$G31=1), Setup!$G36=1), FLOOR(0.25*M52,1), 0)</f>
        <v>0</v>
      </c>
    </row>
    <row r="71" spans="1:13" x14ac:dyDescent="0.2">
      <c r="A71" s="31" t="s">
        <v>42</v>
      </c>
      <c r="B71" s="42">
        <f>IF(AND($D$1="War",Setup!$F$18=1),25,0)</f>
        <v>0</v>
      </c>
      <c r="C71" s="43">
        <f>IF(AND($D$1="War",Setup!$G$18=1),25,0)</f>
        <v>0</v>
      </c>
      <c r="D71" s="42">
        <f>IF(AND($D$1="War",Setup!$F$18=1),25,0)</f>
        <v>0</v>
      </c>
      <c r="E71" s="44">
        <f>IF(AND($D$1="War",Setup!$G$18=1),25,0)</f>
        <v>0</v>
      </c>
      <c r="F71" s="42">
        <f>IF(AND($D$1="War",Setup!$F$18=1),25,0)</f>
        <v>0</v>
      </c>
      <c r="G71" s="43">
        <f>IF(AND($D$1="War",Setup!$G$18=1),25,0)</f>
        <v>0</v>
      </c>
      <c r="H71" s="42">
        <f>IF(AND($D$1="War",Setup!$F$18=1),25,0)</f>
        <v>0</v>
      </c>
      <c r="I71" s="44">
        <f>IF(AND($D$1="War",Setup!$G$18=1),25,0)</f>
        <v>0</v>
      </c>
      <c r="J71" s="42">
        <f>IF(AND($D$1="War",Setup!$F$18=1),25,0)</f>
        <v>0</v>
      </c>
      <c r="K71" s="43">
        <f>IF(AND($D$1="War",Setup!$G$18=1),25,0)</f>
        <v>0</v>
      </c>
      <c r="L71" s="42">
        <f>IF(AND($D$1="War",Setup!$F$18=1),25,0)</f>
        <v>0</v>
      </c>
      <c r="M71" s="44">
        <f>IF(AND($D$1="War",Setup!$G$18=1),25,0)</f>
        <v>0</v>
      </c>
    </row>
    <row r="72" spans="1:13" x14ac:dyDescent="0.2">
      <c r="A72" s="31" t="s">
        <v>487</v>
      </c>
      <c r="B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C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  <c r="D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E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  <c r="F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G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  <c r="H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I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  <c r="J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K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  <c r="L72" s="42">
        <f>TRUNC((VLOOKUP(Setup!$M36,CORHuntersRoll,2,FALSE)
+IF(IFERROR(FIND("RNG",Setup!$J36,1),0)=0,0,'Other Lists'!$D$346)
+IF(IFERROR(FIND("+",Setup!$J36,1),0)=0,0,MID(Setup!$J36,FIND("+",Setup!$J36,1)+1,1))*'Other Lists'!$D$347)
*VLOOKUP(LEFT(Setup!$J36,IFERROR(FIND("+",Setup!$J36,1)-1,IFERROR(FIND(" ",Setup!$J36,1)-1,LEN(Setup!$J36)))),CORRollStates,2,FALSE),0)</f>
        <v>0</v>
      </c>
      <c r="M72" s="93">
        <f>TRUNC((VLOOKUP(Setup!$N36,CORHuntersRoll,2,FALSE)
+IF(IFERROR(FIND("RNG",Setup!$K36,1),0)=0,0,'Other Lists'!$D$346)
+IF(IFERROR(FIND("+",Setup!$K36,1),0)=0,0,MID(Setup!$K36,FIND("+",Setup!$K36,1)+1,1))*'Other Lists'!$D$347)
*VLOOKUP(LEFT(Setup!$K36,IFERROR(FIND("+",Setup!$K36,1)-1,IFERROR(FIND(" ",Setup!$K36,1)-1,LEN(Setup!$K36)))),CORRollStates,2,FALSE),0)</f>
        <v>0</v>
      </c>
    </row>
    <row r="73" spans="1:13" x14ac:dyDescent="0.2">
      <c r="A73" s="31" t="s">
        <v>736</v>
      </c>
      <c r="B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C73" s="93">
        <f>VLOOKUP(Setup!$K$44,Geomancy,MATCH("Multiplier",GeomancyHeader,0),0)*
((1+TRUNC(MAX(0,MIN(900,Setup!$N$44))/(900/49)))+
MAX(0,MIN(10,Setup!$N$45))*VLOOKUP(Setup!$K$44,Geomancy,MATCH("GeoPlus",GeomancyHeader,0),0)*5)</f>
        <v>0</v>
      </c>
      <c r="D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E73" s="93">
        <f>VLOOKUP(Setup!$K$44,Geomancy,MATCH("Multiplier",GeomancyHeader,0),0)*
((1+TRUNC(MAX(0,MIN(900,Setup!$N$44))/(900/49)))+
MAX(0,MIN(10,Setup!$N$45))*VLOOKUP(Setup!$K$44,Geomancy,MATCH("GeoPlus",GeomancyHeader,0),0)*5)</f>
        <v>0</v>
      </c>
      <c r="F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G73" s="93">
        <f>VLOOKUP(Setup!$K$44,Geomancy,MATCH("Multiplier",GeomancyHeader,0),0)*
((1+TRUNC(MAX(0,MIN(900,Setup!$N$44))/(900/49)))+
MAX(0,MIN(10,Setup!$N$45))*VLOOKUP(Setup!$K$44,Geomancy,MATCH("GeoPlus",GeomancyHeader,0),0)*5)</f>
        <v>0</v>
      </c>
      <c r="H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I73" s="93">
        <f>VLOOKUP(Setup!$K$44,Geomancy,MATCH("Multiplier",GeomancyHeader,0),0)*
((1+TRUNC(MAX(0,MIN(900,Setup!$N$44))/(900/49)))+
MAX(0,MIN(10,Setup!$N$45))*VLOOKUP(Setup!$K$44,Geomancy,MATCH("GeoPlus",GeomancyHeader,0),0)*5)</f>
        <v>0</v>
      </c>
      <c r="J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K73" s="93">
        <f>VLOOKUP(Setup!$K$44,Geomancy,MATCH("Multiplier",GeomancyHeader,0),0)*
((1+TRUNC(MAX(0,MIN(900,Setup!$N$44))/(900/49)))+
MAX(0,MIN(10,Setup!$N$45))*VLOOKUP(Setup!$K$44,Geomancy,MATCH("GeoPlus",GeomancyHeader,0),0)*5)</f>
        <v>0</v>
      </c>
      <c r="L73" s="42">
        <f>VLOOKUP(Setup!$J$44,Geomancy,MATCH("Multiplier",GeomancyHeader,0),0)*
((1+TRUNC(MAX(0,MIN(900,Setup!$M$44))/(900/49)))+
MAX(0,MIN(10,Setup!$M$45))*VLOOKUP(Setup!$J$44,Geomancy,MATCH("GeoPlus",GeomancyHeader,0),0)*5)</f>
        <v>0</v>
      </c>
      <c r="M73" s="93">
        <f>VLOOKUP(Setup!$K$44,Geomancy,MATCH("Multiplier",GeomancyHeader,0),0)*
((1+TRUNC(MAX(0,MIN(900,Setup!$N$44))/(900/49)))+
MAX(0,MIN(10,Setup!$N$45))*VLOOKUP(Setup!$K$44,Geomancy,MATCH("GeoPlus",GeomancyHeader,0),0)*5)</f>
        <v>0</v>
      </c>
    </row>
    <row r="74" spans="1:13" x14ac:dyDescent="0.2">
      <c r="A74" s="141" t="s">
        <v>427</v>
      </c>
      <c r="B74" s="42">
        <f>IF(AND($D$1="SAM",Setup!$F$14=1),10,0)</f>
        <v>10</v>
      </c>
      <c r="C74" s="44">
        <f>IF(AND($D$1="SAM",Setup!$G$14=1),10,0)</f>
        <v>10</v>
      </c>
      <c r="D74" s="42">
        <f>IF(AND($D$1="SAM",Setup!$F$14=1),10,0)</f>
        <v>10</v>
      </c>
      <c r="E74" s="44">
        <f>IF(AND($D$1="SAM",Setup!$G$14=1),10,0)</f>
        <v>10</v>
      </c>
      <c r="F74" s="42">
        <f>IF(AND($D$1="SAM",Setup!$F$14=1),10,0)</f>
        <v>10</v>
      </c>
      <c r="G74" s="44">
        <f>IF(AND($D$1="SAM",Setup!$G$14=1),10,0)</f>
        <v>10</v>
      </c>
      <c r="H74" s="42">
        <f>IF(AND($D$1="SAM",Setup!$F$14=1),10,0)</f>
        <v>10</v>
      </c>
      <c r="I74" s="44">
        <f>IF(AND($D$1="SAM",Setup!$G$14=1),10,0)</f>
        <v>10</v>
      </c>
      <c r="J74" s="42">
        <f>IF(AND($D$1="SAM",Setup!$F$14=1),10,0)</f>
        <v>10</v>
      </c>
      <c r="K74" s="44">
        <f>IF(AND($D$1="SAM",Setup!$G$14=1),10,0)</f>
        <v>10</v>
      </c>
      <c r="L74" s="42">
        <f>IF(AND($D$1="SAM",Setup!$F$14=1),10,0)</f>
        <v>10</v>
      </c>
      <c r="M74" s="44">
        <f>IF(AND($D$1="SAM",Setup!$G$14=1),10,0)</f>
        <v>10</v>
      </c>
    </row>
    <row r="75" spans="1:13" x14ac:dyDescent="0.2">
      <c r="A75" s="141" t="s">
        <v>456</v>
      </c>
      <c r="B75" s="42">
        <f>IF(Setup!$F10=1, 50, 0)</f>
        <v>0</v>
      </c>
      <c r="C75" s="93">
        <f>IF(Setup!$G10=1, 50, 0)</f>
        <v>0</v>
      </c>
      <c r="D75" s="42">
        <f>IF(Setup!$F10=1, 50, 0)</f>
        <v>0</v>
      </c>
      <c r="E75" s="93">
        <f>IF(Setup!$G10=1, 50, 0)</f>
        <v>0</v>
      </c>
      <c r="F75" s="42">
        <f>IF(Setup!$F10=1, 50, 0)</f>
        <v>0</v>
      </c>
      <c r="G75" s="93">
        <f>IF(Setup!$G10=1, 50, 0)</f>
        <v>0</v>
      </c>
      <c r="H75" s="42">
        <f>IF(Setup!$F10=1, 50, 0)</f>
        <v>0</v>
      </c>
      <c r="I75" s="93">
        <f>IF(Setup!$G10=1, 50, 0)</f>
        <v>0</v>
      </c>
      <c r="J75" s="42">
        <f>IF(Setup!$F10=1, 50, 0)</f>
        <v>0</v>
      </c>
      <c r="K75" s="93">
        <f>IF(Setup!$G10=1, 50, 0)</f>
        <v>0</v>
      </c>
      <c r="L75" s="42">
        <f>IF(Setup!$F10=1, 50, 0)</f>
        <v>0</v>
      </c>
      <c r="M75" s="93">
        <f>IF(Setup!$G10=1, 50, 0)</f>
        <v>0</v>
      </c>
    </row>
    <row r="76" spans="1:13" x14ac:dyDescent="0.2">
      <c r="A76" s="35" t="s">
        <v>152</v>
      </c>
      <c r="B76" s="28">
        <f>IF(AND(OR(Setup!$F25=1, Setup!$F31=1), Setup!$F36=1), 50, 0)</f>
        <v>0</v>
      </c>
      <c r="C76" s="95">
        <f>IF(AND(OR(Setup!$G25=1, Setup!$G31=1), Setup!$G36=1), 50, 0)</f>
        <v>0</v>
      </c>
      <c r="D76" s="28">
        <f>IF(AND(OR(Setup!$F25=1, Setup!$F31=1), Setup!$F36=1), 50, 0)</f>
        <v>0</v>
      </c>
      <c r="E76" s="95">
        <f>IF(AND(OR(Setup!$G25=1, Setup!$G31=1), Setup!$G36=1), 50, 0)</f>
        <v>0</v>
      </c>
      <c r="F76" s="28">
        <f>IF(AND(OR(Setup!$F25=1, Setup!$F31=1), Setup!$F36=1), 50, 0)</f>
        <v>0</v>
      </c>
      <c r="G76" s="95">
        <f>IF(AND(OR(Setup!$G25=1, Setup!$G31=1), Setup!$G36=1), 50, 0)</f>
        <v>0</v>
      </c>
      <c r="H76" s="28">
        <f>IF(AND(OR(Setup!$F25=1, Setup!$F31=1), Setup!$F36=1), 50, 0)</f>
        <v>0</v>
      </c>
      <c r="I76" s="95">
        <f>IF(AND(OR(Setup!$G25=1, Setup!$G31=1), Setup!$G36=1), 50, 0)</f>
        <v>0</v>
      </c>
      <c r="J76" s="28">
        <f>IF(AND(OR(Setup!$F25=1, Setup!$F31=1), Setup!$F36=1), 50, 0)</f>
        <v>0</v>
      </c>
      <c r="K76" s="95">
        <f>IF(AND(OR(Setup!$G25=1, Setup!$G31=1), Setup!$G36=1), 50, 0)</f>
        <v>0</v>
      </c>
      <c r="L76" s="28">
        <f>IF(AND(OR(Setup!$F25=1, Setup!$F31=1), Setup!$F36=1), 50, 0)</f>
        <v>0</v>
      </c>
      <c r="M76" s="95">
        <f>IF(AND(OR(Setup!$G25=1, Setup!$G31=1), Setup!$G36=1), 50, 0)</f>
        <v>0</v>
      </c>
    </row>
    <row r="77" spans="1:13" x14ac:dyDescent="0.2">
      <c r="A77" s="1" t="s">
        <v>73</v>
      </c>
      <c r="B77" s="45">
        <f ca="1">B52+B54+B56+SUM(B58:B70)</f>
        <v>1754</v>
      </c>
      <c r="C77" s="122">
        <f t="shared" ref="C77:M77" ca="1" si="13">C52+C54+SUM(C58:C70)</f>
        <v>1754</v>
      </c>
      <c r="D77" s="45">
        <f t="shared" ca="1" si="13"/>
        <v>1909</v>
      </c>
      <c r="E77" s="122">
        <f t="shared" ca="1" si="13"/>
        <v>1909</v>
      </c>
      <c r="F77" s="45">
        <f t="shared" ca="1" si="13"/>
        <v>1639</v>
      </c>
      <c r="G77" s="122">
        <f t="shared" ca="1" si="13"/>
        <v>1639</v>
      </c>
      <c r="H77" s="45">
        <f t="shared" ca="1" si="13"/>
        <v>1961</v>
      </c>
      <c r="I77" s="122">
        <f t="shared" ca="1" si="13"/>
        <v>1961</v>
      </c>
      <c r="J77" s="45">
        <f t="shared" ca="1" si="13"/>
        <v>1639</v>
      </c>
      <c r="K77" s="122">
        <f t="shared" ca="1" si="13"/>
        <v>1639</v>
      </c>
      <c r="L77" s="45">
        <f t="shared" ca="1" si="13"/>
        <v>2247</v>
      </c>
      <c r="M77" s="122">
        <f t="shared" ca="1" si="13"/>
        <v>2247</v>
      </c>
    </row>
    <row r="78" spans="1:13" x14ac:dyDescent="0.2">
      <c r="A78" s="27" t="s">
        <v>74</v>
      </c>
      <c r="B78" s="46">
        <f ca="1">B53+B55+B57+SUM(B71:B76)</f>
        <v>1368</v>
      </c>
      <c r="C78" s="210">
        <f ca="1">C53+C55+C57+SUM(C71:C76)</f>
        <v>1348</v>
      </c>
      <c r="D78" s="46">
        <f t="shared" ref="D78:M78" ca="1" si="14">D53+D55+D57+SUM(D71:D76)</f>
        <v>1363</v>
      </c>
      <c r="E78" s="210">
        <f t="shared" ca="1" si="14"/>
        <v>1363</v>
      </c>
      <c r="F78" s="46">
        <f t="shared" ca="1" si="14"/>
        <v>1303</v>
      </c>
      <c r="G78" s="210">
        <f t="shared" ca="1" si="14"/>
        <v>1303</v>
      </c>
      <c r="H78" s="46">
        <f t="shared" ca="1" si="14"/>
        <v>1315</v>
      </c>
      <c r="I78" s="210">
        <f t="shared" ca="1" si="14"/>
        <v>1315</v>
      </c>
      <c r="J78" s="46">
        <f t="shared" ca="1" si="14"/>
        <v>1303</v>
      </c>
      <c r="K78" s="210">
        <f t="shared" ca="1" si="14"/>
        <v>1303</v>
      </c>
      <c r="L78" s="46">
        <f t="shared" ca="1" si="14"/>
        <v>1303</v>
      </c>
      <c r="M78" s="210">
        <f t="shared" ca="1" si="14"/>
        <v>1303</v>
      </c>
    </row>
    <row r="79" spans="1:13" x14ac:dyDescent="0.2">
      <c r="A79" t="s">
        <v>75</v>
      </c>
      <c r="B79" s="8">
        <f ca="1">MIN(MAX($B$13+$C$13+HLOOKUP($A79,INDIRECT(B$26),MATCH("Total",Slots,0)+1,0)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B82 + IF(AND(Gear!$B$3="Gungnir AG",Setup!$B$34=1),5%,0%), 0), 100%)</f>
        <v>0.51</v>
      </c>
      <c r="C79" s="212">
        <f ca="1">MIN(MAX($B$13+$C$13+HLOOKUP($A79,INDIRECT(C$26),MATCH("Total",Slots,0)+1,0)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C82 + IF(AND(Gear!$X$3="Gungnir AG",Setup!$C$34=1),5%,0%), 0), 100%)</f>
        <v>0.48</v>
      </c>
      <c r="D79" s="8">
        <f ca="1">MIN(MAX($B$13+$C$13+HLOOKUP($A79,INDIRECT(D$26),MATCH("Total",Slots,0)+1,0)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D82 + IF(AND(Gear!$B$3="Gungnir AG",Setup!$B$34=1),5%,0%), 0), 100%)</f>
        <v>0.36</v>
      </c>
      <c r="E79" s="212">
        <f ca="1">MIN(MAX($B$13+$C$13+HLOOKUP($A79,INDIRECT(E$26),MATCH("Total",Slots,0)+1,0)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E82 + IF(AND(Gear!$X$3="Gungnir AG",Setup!$C$34=1),5%,0%), 0), 100%)</f>
        <v>0.36</v>
      </c>
      <c r="F79" s="8">
        <f ca="1">MIN(MAX($B$13+$C$13+HLOOKUP($A79,INDIRECT(F$26),MATCH("Total",Slots,0)+1,0)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F82 + IF(AND(Gear!$B$3="Gungnir AG",Setup!$B$34=1),5%,0%), 0), 100%)</f>
        <v>0.39</v>
      </c>
      <c r="G79" s="212">
        <f ca="1">MIN(MAX($B$13+$C$13+HLOOKUP($A79,INDIRECT(G$26),MATCH("Total",Slots,0)+1,0)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G82 + IF(AND(Gear!$X$3="Gungnir AG",Setup!$C$34=1),5%,0%), 0), 100%)</f>
        <v>0.39</v>
      </c>
      <c r="H79" s="8">
        <f ca="1">MIN(MAX($B$13+$C$13+HLOOKUP($A79,INDIRECT(H$26),MATCH("Total",Slots,0)+1,0)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H82 + IF(AND(Gear!$B$3="Gungnir AG",Setup!$B$34=1),5%,0%), 0), 100%)</f>
        <v>0.39</v>
      </c>
      <c r="I79" s="212">
        <f ca="1">MIN(MAX($B$13+$C$13+HLOOKUP($A79,INDIRECT(I$26),MATCH("Total",Slots,0)+1,0)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I82 + IF(AND(Gear!$X$3="Gungnir AG",Setup!$C$34=1),5%,0%), 0), 100%)</f>
        <v>0.39</v>
      </c>
      <c r="J79" s="8">
        <f ca="1">MIN(MAX($B$13+$C$13+HLOOKUP($A79,INDIRECT(J$26),MATCH("Total",Slots,0)+1,0)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J82 + IF(AND(Gear!$B$3="Gungnir AG",Setup!$B$34=1),5%,0%), 0), 100%)</f>
        <v>0.39</v>
      </c>
      <c r="K79" s="212">
        <f ca="1">MIN(MAX($B$13+$C$13+HLOOKUP($A79,INDIRECT(K$26),MATCH("Total",Slots,0)+1,0)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K82 + IF(AND(Gear!$X$3="Gungnir AG",Setup!$C$34=1),5%,0%), 0), 100%)</f>
        <v>0.39</v>
      </c>
      <c r="L79" s="8">
        <f ca="1">MIN(MAX($B$13+$C$13+HLOOKUP($A79,INDIRECT(L$26),MATCH("Total",Slots,0)+1,0)
+TRUNC((VLOOKUP(Setup!$M37,CORFightersRoll,2,FALSE)
+IF(IFERROR(FIND("WAR",Setup!$J37,1),0)=0,0,'Other Lists'!$F$346)
+IF(IFERROR(FIND("+",Setup!$J37,1),0)=0,0,MID(Setup!$J37,FIND("+",Setup!$J37,1)+1,1))*'Other Lists'!$F$347)
*VLOOKUP(LEFT(Setup!$J37,IFERROR(FIND("+",Setup!$J37,1)-1,IFERROR(FIND(" ",Setup!$J37,1)-1,LEN(Setup!$J37)))),CORRollStates,2,FALSE),2)
+ L82 + IF(AND(Gear!$B$3="Gungnir AG",Setup!$B$34=1),5%,0%), 0), 100%)</f>
        <v>0.39</v>
      </c>
      <c r="M79" s="212">
        <f ca="1">MIN(MAX($B$13+$C$13+HLOOKUP($A79,INDIRECT(M$26),MATCH("Total",Slots,0)+1,0)
+TRUNC((VLOOKUP(Setup!$N37,CORFightersRoll,2,FALSE)
+IF(IFERROR(FIND("WAR",Setup!$K37,1),0)=0,0,'Other Lists'!$F$346)
+IF(IFERROR(FIND("+",Setup!$K37,1),0)=0,0,MID(Setup!$K37,FIND("+",Setup!$K37,1)+1,1))*'Other Lists'!$F$347)
*VLOOKUP(LEFT(Setup!$K37,IFERROR(FIND("+",Setup!$K37,1)-1,IFERROR(FIND(" ",Setup!$K37,1)-1,LEN(Setup!$K37)))),CORRollStates,2,FALSE),2)
+ M82 + IF(AND(Gear!$X$3="Gungnir AG",Setup!$C$34=1),5%,0%), 0), 100%)</f>
        <v>0.39</v>
      </c>
    </row>
    <row r="80" spans="1:13" x14ac:dyDescent="0.2">
      <c r="A80" s="32" t="s">
        <v>76</v>
      </c>
      <c r="B80" s="48">
        <f ca="1">MAX($B$14+$C$14+HLOOKUP($A80,INDIRECT(B$26),MATCH("Total",Slots,0)+1,0),0)</f>
        <v>0.11000000000000001</v>
      </c>
      <c r="C80" s="47">
        <f ca="1">MAX($B$14+$D$14+HLOOKUP($A80,INDIRECT(C$26),MATCH("Total",Slots,0)+1,0),0)</f>
        <v>0.11000000000000001</v>
      </c>
      <c r="D80" s="48">
        <f ca="1">MAX($B$14+$C$14+HLOOKUP($A80,INDIRECT(D$26),MATCH("Total",Slots,0)+1,0),0)</f>
        <v>0.09</v>
      </c>
      <c r="E80" s="47">
        <f ca="1">MAX($B$14+$D$14+HLOOKUP($A80,INDIRECT(E$26),MATCH("Total",Slots,0)+1,0),0)</f>
        <v>0.09</v>
      </c>
      <c r="F80" s="48">
        <f ca="1">MAX($B$14+$C$14+HLOOKUP($A80,INDIRECT(F$26),MATCH("Total",Slots,0)+1,0),0)</f>
        <v>0.06</v>
      </c>
      <c r="G80" s="47">
        <f ca="1">MAX($B$14+$D$14+HLOOKUP($A80,INDIRECT(G$26),MATCH("Total",Slots,0)+1,0),0)</f>
        <v>0.06</v>
      </c>
      <c r="H80" s="48">
        <f ca="1">MAX($B$14+$C$14+HLOOKUP($A80,INDIRECT(H$26),MATCH("Total",Slots,0)+1,0),0)</f>
        <v>0.06</v>
      </c>
      <c r="I80" s="47">
        <f ca="1">MAX($B$14+$D$14+HLOOKUP($A80,INDIRECT(I$26),MATCH("Total",Slots,0)+1,0),0)</f>
        <v>0.06</v>
      </c>
      <c r="J80" s="48">
        <f ca="1">MAX($B$14+$C$14+HLOOKUP($A80,INDIRECT(J$26),MATCH("Total",Slots,0)+1,0),0)</f>
        <v>0.06</v>
      </c>
      <c r="K80" s="47">
        <f ca="1">MAX($B$14+$D$14+HLOOKUP($A80,INDIRECT(K$26),MATCH("Total",Slots,0)+1,0),0)</f>
        <v>0.06</v>
      </c>
      <c r="L80" s="48">
        <f ca="1">MAX($B$14+$C$14+HLOOKUP($A80,INDIRECT(L$26),MATCH("Total",Slots,0)+1,0),0)</f>
        <v>0.06</v>
      </c>
      <c r="M80" s="47">
        <f ca="1">MAX($B$14+$D$14+HLOOKUP($A80,INDIRECT(M$26),MATCH("Total",Slots,0)+1,0),0)</f>
        <v>0.06</v>
      </c>
    </row>
    <row r="81" spans="1:13" x14ac:dyDescent="0.2">
      <c r="A81" s="31" t="s">
        <v>77</v>
      </c>
      <c r="B81" s="48">
        <f t="shared" ref="B81:M81" ca="1" si="15">HLOOKUP($A81,INDIRECT(B$26),MATCH("Total",Slots,0)+1,0)</f>
        <v>0.05</v>
      </c>
      <c r="C81" s="47">
        <f t="shared" ca="1" si="15"/>
        <v>0.05</v>
      </c>
      <c r="D81" s="48">
        <f t="shared" ca="1" si="15"/>
        <v>0.03</v>
      </c>
      <c r="E81" s="47">
        <f t="shared" ca="1" si="15"/>
        <v>0.03</v>
      </c>
      <c r="F81" s="48">
        <f t="shared" ca="1" si="15"/>
        <v>0.02</v>
      </c>
      <c r="G81" s="47">
        <f t="shared" ca="1" si="15"/>
        <v>0.02</v>
      </c>
      <c r="H81" s="48">
        <f t="shared" ca="1" si="15"/>
        <v>0.02</v>
      </c>
      <c r="I81" s="47">
        <f t="shared" ca="1" si="15"/>
        <v>0.02</v>
      </c>
      <c r="J81" s="48">
        <f t="shared" ca="1" si="15"/>
        <v>0.02</v>
      </c>
      <c r="K81" s="47">
        <f t="shared" ca="1" si="15"/>
        <v>0.02</v>
      </c>
      <c r="L81" s="48">
        <f t="shared" ca="1" si="15"/>
        <v>0.02</v>
      </c>
      <c r="M81" s="47">
        <f t="shared" ca="1" si="15"/>
        <v>0.02</v>
      </c>
    </row>
    <row r="82" spans="1:13" x14ac:dyDescent="0.2">
      <c r="A82" s="31" t="s">
        <v>643</v>
      </c>
      <c r="B82" s="48">
        <v>0</v>
      </c>
      <c r="C82" s="47">
        <v>0</v>
      </c>
      <c r="D82" s="48">
        <v>0</v>
      </c>
      <c r="E82" s="47">
        <v>0</v>
      </c>
      <c r="F82" s="48">
        <f xml:space="preserve"> IF(LEFT(Jump!B3,9)="Areadbhar", 3%, 0) + IF(LEFT(Jump!B3,9)="Rhomphaia", 7%, 0) + IF(LEFT(Jump!B14,9)="Brigantia", 20%, 0)
 + IF(LEFT(Jump!B17,5)="Cizin", 3%, 0) + IF(LEFT(Jump!B17,8)="Maenadic", 5%, 0)</f>
        <v>0.2</v>
      </c>
      <c r="G82" s="47">
        <f xml:space="preserve"> IF(LEFT(Jump!W3,9)="Areadbhar", 3%, 0) + IF(LEFT(Jump!W3,9)="Rhomphaia", 7%, 0) + IF(LEFT(Jump!W14,9)="Brigantia", 20%, 0)
 + IF(LEFT(Jump!W17,5)="Cizin", 3%, 0) + IF(LEFT(Jump!W17,8)="Maenadic", 5%, 0)</f>
        <v>0.2</v>
      </c>
      <c r="H82" s="48">
        <f xml:space="preserve"> IF(LEFT(Jump!B27,9)="Areadbhar", 3%, 0) + IF(LEFT(Jump!B27,9)="Rhomphaia", 7%, 0) + IF(LEFT(Jump!B38,9)="Brigantia", 20%, 0)
 + IF(LEFT(Jump!B41,5)="Cizin", 3%, 0) + IF(LEFT(Jump!B41,8)="Maenadic", 5%, 0)</f>
        <v>0.2</v>
      </c>
      <c r="I82" s="47">
        <f xml:space="preserve"> IF(LEFT(Jump!W27,9)="Areadbhar", 3%, 0) + IF(LEFT(Jump!W27,9)="Rhomphaia", 7%, 0) + IF(LEFT(Jump!W38,9)="Brigantia", 20%, 0)
 + IF(LEFT(Jump!W41,5)="Cizin", 3%, 0) + IF(LEFT(Jump!W41,8)="Maenadic", 5%, 0)</f>
        <v>0.2</v>
      </c>
      <c r="J82" s="48">
        <f xml:space="preserve"> IF(LEFT(HJump!B3,9)="Areadbhar", 3%, 0) + IF(LEFT(HJump!B3,9)="Rhomphaia", 7%, 0) + IF(LEFT(HJump!B14,9)="Brigantia", 20%, 0)
 + IF(LEFT(HJump!B17,5)="Cizin", 3%, 0) + IF(LEFT(HJump!B17,8)="Maenadic", 5%, 0)</f>
        <v>0.2</v>
      </c>
      <c r="K82" s="47">
        <f xml:space="preserve"> IF(LEFT(HJump!W3,9)="Areadbhar", 3%, 0) + IF(LEFT(HJump!W3,9)="Rhomphaia", 7%, 0) + IF(LEFT(HJump!W14,9)="Brigantia", 20%, 0)
 + IF(LEFT(HJump!W17,5)="Cizin", 3%, 0) + IF(LEFT(HJump!W17,8)="Maenadic", 5%, 0)</f>
        <v>0.2</v>
      </c>
      <c r="L82" s="48">
        <f xml:space="preserve"> IF(LEFT(HJump!B27,9)="Areadbhar", 3%, 0) + IF(LEFT(HJump!B27,9)="Rhomphaia", 7%, 0) + IF(LEFT(HJump!B38,9)="Brigantia", 20%, 0)
 + IF(LEFT(HJump!B41,5)="Cizin", 3%, 0) + IF(LEFT(HJump!B41,8)="Maenadic", 5%, 0)</f>
        <v>0.2</v>
      </c>
      <c r="M82" s="47">
        <f xml:space="preserve"> IF(LEFT(HJump!W27,9)="Areadbhar", 3%, 0) + IF(LEFT(HJump!W27,9)="Rhomphaia", 7%, 0) + IF(LEFT(HJump!W38,9)="Brigantia", 20%, 0)
 + IF(LEFT(HJump!W41,5)="Cizin", 3%, 0) + IF(LEFT(HJump!W41,8)="Maenadic", 5%, 0)</f>
        <v>0.2</v>
      </c>
    </row>
    <row r="83" spans="1:13" x14ac:dyDescent="0.2">
      <c r="A83" s="31" t="s">
        <v>80</v>
      </c>
      <c r="B83" s="48">
        <f ca="1">$B$15+HLOOKUP($A83,INDIRECT(B$26),MATCH("Total",Slots,0)+1,0)</f>
        <v>0.25</v>
      </c>
      <c r="C83" s="47">
        <f ca="1">$B$15+HLOOKUP($A83,INDIRECT(C$26),MATCH("Total",Slots,0)+1,0)</f>
        <v>0.25</v>
      </c>
      <c r="D83" s="48">
        <v>0</v>
      </c>
      <c r="E83" s="47">
        <v>0</v>
      </c>
      <c r="F83" s="48">
        <f t="shared" ref="F83:M83" ca="1" si="16">$B$15+HLOOKUP($A83,INDIRECT(F$26),MATCH("Total",Slots,0)+1,0)</f>
        <v>0.25</v>
      </c>
      <c r="G83" s="47">
        <f t="shared" ca="1" si="16"/>
        <v>0.25</v>
      </c>
      <c r="H83" s="48">
        <f t="shared" ca="1" si="16"/>
        <v>0.25</v>
      </c>
      <c r="I83" s="47">
        <f t="shared" ca="1" si="16"/>
        <v>0.25</v>
      </c>
      <c r="J83" s="48">
        <f t="shared" ca="1" si="16"/>
        <v>0.25</v>
      </c>
      <c r="K83" s="47">
        <f t="shared" ca="1" si="16"/>
        <v>0.25</v>
      </c>
      <c r="L83" s="48">
        <f t="shared" ca="1" si="16"/>
        <v>0.25</v>
      </c>
      <c r="M83" s="47">
        <f t="shared" ca="1" si="16"/>
        <v>0.25</v>
      </c>
    </row>
    <row r="84" spans="1:13" x14ac:dyDescent="0.2">
      <c r="A84" s="35" t="s">
        <v>1415</v>
      </c>
      <c r="B84" s="49">
        <f>MAX(IF(COUNTIF(Gear!$B5:$B17,"Peltast's*")=5,5,COUNTIF(Gear!$B5:$B17,"Peltast's*")-1),0)/100</f>
        <v>0</v>
      </c>
      <c r="C84" s="50">
        <f>MAX(IF(COUNTIF(Gear!$X5:$X17,"Peltast's*")=5,5,COUNTIF(Gear!$X5:$X17,"Peltast's*")-1),0)/100</f>
        <v>0</v>
      </c>
      <c r="D84" s="49">
        <v>0</v>
      </c>
      <c r="E84" s="50">
        <v>0</v>
      </c>
      <c r="F84" s="49">
        <v>0</v>
      </c>
      <c r="G84" s="50">
        <v>0</v>
      </c>
      <c r="H84" s="49">
        <v>0</v>
      </c>
      <c r="I84" s="50">
        <v>0</v>
      </c>
      <c r="J84" s="49">
        <v>0</v>
      </c>
      <c r="K84" s="50">
        <v>0</v>
      </c>
      <c r="L84" s="49">
        <v>0</v>
      </c>
      <c r="M84" s="50">
        <v>0</v>
      </c>
    </row>
    <row r="85" spans="1:13" x14ac:dyDescent="0.2">
      <c r="A85" s="31" t="s">
        <v>153</v>
      </c>
      <c r="B85" s="51">
        <f ca="1">TRUNC(VLOOKUP(Gear!$B$4,INDIRECT(Gear!$A$4),MATCH("2HDly",StatHeader,0),0) * $G$14)</f>
        <v>0</v>
      </c>
      <c r="C85" s="199">
        <f ca="1">TRUNC(VLOOKUP(Gear!$X$4,INDIRECT(Gear!$W$4),MATCH("2HDly",StatHeader,0),0) * $H$14)</f>
        <v>0</v>
      </c>
      <c r="D85" s="51">
        <f ca="1">TRUNC(VLOOKUP(Gear!$B$4,INDIRECT(Gear!$A$4),MATCH("2HDly",StatHeader,0),0) * $G$14)</f>
        <v>0</v>
      </c>
      <c r="E85" s="199">
        <f ca="1">TRUNC(VLOOKUP(Gear!$X$4,INDIRECT(Gear!$W$4),MATCH("2HDly",StatHeader,0),0) * $H$14)</f>
        <v>0</v>
      </c>
      <c r="F85" s="51">
        <f ca="1">TRUNC(VLOOKUP(Gear!$B$4,INDIRECT(Gear!$A$4),MATCH("2HDly",StatHeader,0),0) * $G$14)</f>
        <v>0</v>
      </c>
      <c r="G85" s="199">
        <f ca="1">TRUNC(VLOOKUP(Gear!$X$4,INDIRECT(Gear!$W$4),MATCH("2HDly",StatHeader,0),0) * $H$14)</f>
        <v>0</v>
      </c>
      <c r="H85" s="51">
        <f ca="1">TRUNC(VLOOKUP(Gear!$B$4,INDIRECT(Gear!$A$4),MATCH("2HDly",StatHeader,0),0) * $G$14)</f>
        <v>0</v>
      </c>
      <c r="I85" s="199">
        <f ca="1">TRUNC(VLOOKUP(Gear!$X$4,INDIRECT(Gear!$W$4),MATCH("2HDly",StatHeader,0),0) * $H$14)</f>
        <v>0</v>
      </c>
      <c r="J85" s="51">
        <f ca="1">TRUNC(VLOOKUP(Gear!$B$4,INDIRECT(Gear!$A$4),MATCH("2HDly",StatHeader,0),0) * $G$14)</f>
        <v>0</v>
      </c>
      <c r="K85" s="199">
        <f ca="1">TRUNC(VLOOKUP(Gear!$X$4,INDIRECT(Gear!$W$4),MATCH("2HDly",StatHeader,0),0) * $H$14)</f>
        <v>0</v>
      </c>
      <c r="L85" s="51">
        <f ca="1">TRUNC(VLOOKUP(Gear!$B$4,INDIRECT(Gear!$A$4),MATCH("2HDly",StatHeader,0),0) * $G$14)</f>
        <v>0</v>
      </c>
      <c r="M85" s="199">
        <f ca="1">TRUNC(VLOOKUP(Gear!$X$4,INDIRECT(Gear!$W$4),MATCH("2HDly",StatHeader,0),0) * $H$14)</f>
        <v>0</v>
      </c>
    </row>
    <row r="86" spans="1:13" x14ac:dyDescent="0.2">
      <c r="A86" s="31" t="s">
        <v>154</v>
      </c>
      <c r="B86" s="40">
        <f ca="1">$G14</f>
        <v>480</v>
      </c>
      <c r="C86" s="37">
        <f ca="1">$H14</f>
        <v>480</v>
      </c>
      <c r="D86" s="40">
        <f ca="1">$G14</f>
        <v>480</v>
      </c>
      <c r="E86" s="37">
        <f ca="1">$H14</f>
        <v>480</v>
      </c>
      <c r="F86" s="40">
        <f ca="1">$G14</f>
        <v>480</v>
      </c>
      <c r="G86" s="37">
        <f ca="1">$H14</f>
        <v>480</v>
      </c>
      <c r="H86" s="40">
        <f ca="1">$G14</f>
        <v>480</v>
      </c>
      <c r="I86" s="37">
        <f ca="1">$H14</f>
        <v>480</v>
      </c>
      <c r="J86" s="40">
        <f ca="1">$G14</f>
        <v>480</v>
      </c>
      <c r="K86" s="37">
        <f ca="1">$H14</f>
        <v>480</v>
      </c>
      <c r="L86" s="40">
        <f ca="1">$G14</f>
        <v>480</v>
      </c>
      <c r="M86" s="37">
        <f ca="1">$H14</f>
        <v>480</v>
      </c>
    </row>
    <row r="87" spans="1:13" x14ac:dyDescent="0.2">
      <c r="A87" s="31" t="s">
        <v>155</v>
      </c>
      <c r="B87" s="40">
        <f ca="1">B86-B85</f>
        <v>480</v>
      </c>
      <c r="C87" s="123">
        <f ca="1">C86-C85</f>
        <v>480</v>
      </c>
      <c r="D87" s="40">
        <f t="shared" ref="D87:M87" ca="1" si="17">D86-D85</f>
        <v>480</v>
      </c>
      <c r="E87" s="123">
        <f t="shared" ca="1" si="17"/>
        <v>480</v>
      </c>
      <c r="F87" s="40">
        <f t="shared" ca="1" si="17"/>
        <v>480</v>
      </c>
      <c r="G87" s="123">
        <f t="shared" ca="1" si="17"/>
        <v>480</v>
      </c>
      <c r="H87" s="40">
        <f t="shared" ca="1" si="17"/>
        <v>480</v>
      </c>
      <c r="I87" s="123">
        <f t="shared" ca="1" si="17"/>
        <v>480</v>
      </c>
      <c r="J87" s="40">
        <f t="shared" ca="1" si="17"/>
        <v>480</v>
      </c>
      <c r="K87" s="123">
        <f t="shared" ca="1" si="17"/>
        <v>480</v>
      </c>
      <c r="L87" s="40">
        <f t="shared" ca="1" si="17"/>
        <v>480</v>
      </c>
      <c r="M87" s="123">
        <f t="shared" ca="1" si="17"/>
        <v>480</v>
      </c>
    </row>
    <row r="88" spans="1:13" x14ac:dyDescent="0.2">
      <c r="A88" s="31" t="s">
        <v>156</v>
      </c>
      <c r="B88" s="51">
        <f ca="1">IF(B87&gt;175, TRUNC(B87*489/2000)+17, TRUNC((B87-12)*11/64)+32)</f>
        <v>134</v>
      </c>
      <c r="C88" s="196">
        <f t="shared" ref="C88:M88" ca="1" si="18">IF(C87&gt;175, TRUNC(C87*489/2000)+17, TRUNC((C87-12)*11/64)+32)</f>
        <v>134</v>
      </c>
      <c r="D88" s="51">
        <f t="shared" ca="1" si="18"/>
        <v>134</v>
      </c>
      <c r="E88" s="196">
        <f t="shared" ca="1" si="18"/>
        <v>134</v>
      </c>
      <c r="F88" s="51">
        <f t="shared" ca="1" si="18"/>
        <v>134</v>
      </c>
      <c r="G88" s="196">
        <f t="shared" ca="1" si="18"/>
        <v>134</v>
      </c>
      <c r="H88" s="51">
        <f t="shared" ca="1" si="18"/>
        <v>134</v>
      </c>
      <c r="I88" s="196">
        <f t="shared" ca="1" si="18"/>
        <v>134</v>
      </c>
      <c r="J88" s="51">
        <f t="shared" ca="1" si="18"/>
        <v>134</v>
      </c>
      <c r="K88" s="196">
        <f t="shared" ca="1" si="18"/>
        <v>134</v>
      </c>
      <c r="L88" s="51">
        <f t="shared" ca="1" si="18"/>
        <v>134</v>
      </c>
      <c r="M88" s="196">
        <f t="shared" ca="1" si="18"/>
        <v>134</v>
      </c>
    </row>
    <row r="89" spans="1:13" x14ac:dyDescent="0.2">
      <c r="A89" s="32" t="s">
        <v>82</v>
      </c>
      <c r="B89" s="51">
        <f ca="1">$B$18+$B$19+$C$18+HLOOKUP($A89,INDIRECT(B$26),MATCH("Total",Slots,0)+1,0) + TRUNC((VLOOKUP(Setup!$M39,CORSamuraiRoll,2,FALSE)
+IF(IFERROR(FIND("SAM",Setup!$J39,1),0)=0,0,'Other Lists'!$J$346)
+IF(IFERROR(FIND("+",Setup!$J39,1),0)=0,0,MID(Setup!$J39,FIND("+",Setup!$J39,1)+1,1))*'Other Lists'!$J$347)
*VLOOKUP(LEFT(Setup!$J39,IFERROR(FIND("+",Setup!$J39,1)-1,IFERROR(FIND(" ",Setup!$J39,1)-1,LEN(Setup!$J39)))),CORRollStates,2,FALSE),0)</f>
        <v>55</v>
      </c>
      <c r="C89" s="196">
        <f ca="1">$B$18+$B$19+$D$18+HLOOKUP($A89,INDIRECT(C$26),MATCH("Total",Slots,0)+1,0) + TRUNC((VLOOKUP(Setup!$N39,CORSamuraiRoll,2,FALSE)
+IF(IFERROR(FIND("SAM",Setup!$K39,1),0)=0,0,'Other Lists'!$J$346)
+IF(IFERROR(FIND("+",Setup!$K39,1),0)=0,0,MID(Setup!$K39,FIND("+",Setup!$K39,1)+1,1))*'Other Lists'!$J$347)
*VLOOKUP(LEFT(Setup!$K39,IFERROR(FIND("+",Setup!$K39,1)-1,IFERROR(FIND(" ",Setup!$K39,1)-1,LEN(Setup!$K39)))),CORRollStates,2,FALSE),0)</f>
        <v>62</v>
      </c>
      <c r="D89" s="51">
        <f ca="1">$B$18+$B$19+$C$18+HLOOKUP($A89,INDIRECT(D$26),MATCH("Total",Slots,0)+1,0) + IF(Setup!$J39=1,Setup!$M39,0)</f>
        <v>26</v>
      </c>
      <c r="E89" s="196">
        <f ca="1">$B$18+$B$19+$D$18+HLOOKUP($A89,INDIRECT(E$26),MATCH("Total",Slots,0)+1,0) + IF(Setup!$K39=1, Setup!$N39, 0)</f>
        <v>26</v>
      </c>
      <c r="F89" s="51">
        <f ca="1">$B$18+$B$19+$C$18+HLOOKUP($A89,INDIRECT(F$26),MATCH("Total",Slots,0)+1,0) + IF(Setup!$J39=1,Setup!$M39,0)</f>
        <v>92</v>
      </c>
      <c r="G89" s="196">
        <f ca="1">$B$18+$B$19+$D$18+HLOOKUP($A89,INDIRECT(G$26),MATCH("Total",Slots,0)+1,0) + IF(Setup!$K39=1, Setup!$N39, 0)</f>
        <v>92</v>
      </c>
      <c r="H89" s="51">
        <f ca="1">$B$18+$B$19+$C$18+HLOOKUP($A89,INDIRECT(H$26),MATCH("Total",Slots,0)+1,0) + IF(Setup!$J39=1,Setup!$M39,0)</f>
        <v>87</v>
      </c>
      <c r="I89" s="196">
        <f ca="1">$B$18+$B$19+$D$18+HLOOKUP($A89,INDIRECT(I$26),MATCH("Total",Slots,0)+1,0) + IF(Setup!$K39=1, Setup!$N39, 0)</f>
        <v>87</v>
      </c>
      <c r="J89" s="51">
        <f ca="1">$B$18+$B$19+$C$18+HLOOKUP($A89,INDIRECT(J$26),MATCH("Total",Slots,0)+1,0) + IF(Setup!$J39=1,Setup!$M39,0)</f>
        <v>92</v>
      </c>
      <c r="K89" s="196">
        <f ca="1">$B$18+$B$19+$D$18+HLOOKUP($A89,INDIRECT(K$26),MATCH("Total",Slots,0)+1,0) + IF(Setup!$K39=1, Setup!$N39, 0)</f>
        <v>92</v>
      </c>
      <c r="L89" s="51">
        <f ca="1">$B$18+$B$19+$C$18+HLOOKUP($A89,INDIRECT(L$26),MATCH("Total",Slots,0)+1,0) + IF(Setup!$J39=1,Setup!$M39,0)</f>
        <v>92</v>
      </c>
      <c r="M89" s="196">
        <f ca="1">$B$18+$B$19+$D$18+HLOOKUP($A89,INDIRECT(M$26),MATCH("Total",Slots,0)+1,0) + IF(Setup!$K39=1, Setup!$N39, 0)</f>
        <v>92</v>
      </c>
    </row>
    <row r="90" spans="1:13" x14ac:dyDescent="0.2">
      <c r="A90" s="28" t="s">
        <v>157</v>
      </c>
      <c r="B90" s="53">
        <f ca="1">TRUNC(B88*(1+B89/100))</f>
        <v>207</v>
      </c>
      <c r="C90" s="203">
        <f t="shared" ref="C90:M90" ca="1" si="19">TRUNC(C88*(1+C89/100))</f>
        <v>217</v>
      </c>
      <c r="D90" s="53">
        <f t="shared" ca="1" si="19"/>
        <v>168</v>
      </c>
      <c r="E90" s="203">
        <f t="shared" ca="1" si="19"/>
        <v>168</v>
      </c>
      <c r="F90" s="53">
        <f t="shared" ca="1" si="19"/>
        <v>257</v>
      </c>
      <c r="G90" s="203">
        <f t="shared" ca="1" si="19"/>
        <v>257</v>
      </c>
      <c r="H90" s="53">
        <f t="shared" ca="1" si="19"/>
        <v>250</v>
      </c>
      <c r="I90" s="203">
        <f t="shared" ca="1" si="19"/>
        <v>250</v>
      </c>
      <c r="J90" s="53">
        <f t="shared" ca="1" si="19"/>
        <v>257</v>
      </c>
      <c r="K90" s="203">
        <f t="shared" ca="1" si="19"/>
        <v>257</v>
      </c>
      <c r="L90" s="53">
        <f t="shared" ca="1" si="19"/>
        <v>257</v>
      </c>
      <c r="M90" s="203">
        <f t="shared" ca="1" si="19"/>
        <v>257</v>
      </c>
    </row>
    <row r="91" spans="1:13" x14ac:dyDescent="0.2">
      <c r="A91" s="31" t="s">
        <v>158</v>
      </c>
      <c r="B91" s="40">
        <f t="shared" ref="B91:M91" ca="1" si="20">B36-$L$5</f>
        <v>-22</v>
      </c>
      <c r="C91" s="41">
        <f t="shared" ca="1" si="20"/>
        <v>-22</v>
      </c>
      <c r="D91" s="40">
        <f t="shared" ca="1" si="20"/>
        <v>-33</v>
      </c>
      <c r="E91" s="41">
        <f t="shared" ca="1" si="20"/>
        <v>-33</v>
      </c>
      <c r="F91" s="40">
        <f t="shared" ca="1" si="20"/>
        <v>-6</v>
      </c>
      <c r="G91" s="41">
        <f t="shared" ca="1" si="20"/>
        <v>-6</v>
      </c>
      <c r="H91" s="40">
        <f t="shared" ca="1" si="20"/>
        <v>-7</v>
      </c>
      <c r="I91" s="41">
        <f t="shared" ca="1" si="20"/>
        <v>-7</v>
      </c>
      <c r="J91" s="40">
        <f t="shared" ca="1" si="20"/>
        <v>-6</v>
      </c>
      <c r="K91" s="41">
        <f t="shared" ca="1" si="20"/>
        <v>-6</v>
      </c>
      <c r="L91" s="40">
        <f t="shared" ca="1" si="20"/>
        <v>-6</v>
      </c>
      <c r="M91" s="41">
        <f t="shared" ca="1" si="20"/>
        <v>-6</v>
      </c>
    </row>
    <row r="92" spans="1:13" x14ac:dyDescent="0.2">
      <c r="A92" t="s">
        <v>159</v>
      </c>
      <c r="B92" s="25">
        <f t="shared" ref="B92:M92" ca="1" si="21">IF(B91&gt;50,0.15,IF(B91&gt;39,0.05+(B91-40)/100,IF(B91&gt;29,0.04,IF(B91&gt;19,0.03,IF(B91&gt;13,0.02,IF(B91&gt;6,0.01,0))))))+0.05</f>
        <v>0.05</v>
      </c>
      <c r="C92" s="54">
        <f t="shared" ca="1" si="21"/>
        <v>0.05</v>
      </c>
      <c r="D92" s="25">
        <f t="shared" ca="1" si="21"/>
        <v>0.05</v>
      </c>
      <c r="E92" s="54">
        <f t="shared" ca="1" si="21"/>
        <v>0.05</v>
      </c>
      <c r="F92" s="25">
        <f t="shared" ca="1" si="21"/>
        <v>0.05</v>
      </c>
      <c r="G92" s="54">
        <f t="shared" ca="1" si="21"/>
        <v>0.05</v>
      </c>
      <c r="H92" s="25">
        <f t="shared" ca="1" si="21"/>
        <v>0.05</v>
      </c>
      <c r="I92" s="54">
        <f t="shared" ca="1" si="21"/>
        <v>0.05</v>
      </c>
      <c r="J92" s="25">
        <f t="shared" ca="1" si="21"/>
        <v>0.05</v>
      </c>
      <c r="K92" s="54">
        <f t="shared" ca="1" si="21"/>
        <v>0.05</v>
      </c>
      <c r="L92" s="25">
        <f t="shared" ca="1" si="21"/>
        <v>0.05</v>
      </c>
      <c r="M92" s="54">
        <f t="shared" ca="1" si="21"/>
        <v>0.05</v>
      </c>
    </row>
    <row r="93" spans="1:13" x14ac:dyDescent="0.2">
      <c r="A93" t="s">
        <v>501</v>
      </c>
      <c r="B93" s="25">
        <f>IF(Setup!$F$39=1, VLOOKUP("C.Rate", Ionis, 2, 0), 0)</f>
        <v>0</v>
      </c>
      <c r="C93" s="181">
        <f>IF(Setup!$G$39=1, VLOOKUP("C.Rate", Ionis, 2, 0), 0)</f>
        <v>0</v>
      </c>
      <c r="D93" s="25">
        <f>IF(Setup!$F$39=1, VLOOKUP("C.Rate", Ionis, 2, 0), 0)</f>
        <v>0</v>
      </c>
      <c r="E93" s="181">
        <f>IF(Setup!$G$39=1, VLOOKUP("C.Rate", Ionis, 2, 0), 0)</f>
        <v>0</v>
      </c>
      <c r="F93" s="25">
        <f>IF(Setup!$F$39=1, VLOOKUP("C.Rate", Ionis, 2, 0), 0)</f>
        <v>0</v>
      </c>
      <c r="G93" s="181">
        <f>IF(Setup!$G$39=1, VLOOKUP("C.Rate", Ionis, 2, 0), 0)</f>
        <v>0</v>
      </c>
      <c r="H93" s="25">
        <f>IF(Setup!$F$39=1, VLOOKUP("C.Rate", Ionis, 2, 0), 0)</f>
        <v>0</v>
      </c>
      <c r="I93" s="181">
        <f>IF(Setup!$G$39=1, VLOOKUP("C.Rate", Ionis, 2, 0), 0)</f>
        <v>0</v>
      </c>
      <c r="J93" s="25">
        <f>IF(Setup!$F$39=1, VLOOKUP("C.Rate", Ionis, 2, 0), 0)</f>
        <v>0</v>
      </c>
      <c r="K93" s="181">
        <f>IF(Setup!$G$39=1, VLOOKUP("C.Rate", Ionis, 2, 0), 0)</f>
        <v>0</v>
      </c>
      <c r="L93" s="25">
        <f>IF(Setup!$F$39=1, VLOOKUP("C.Rate", Ionis, 2, 0), 0)</f>
        <v>0</v>
      </c>
      <c r="M93" s="181">
        <f>IF(Setup!$G$39=1, VLOOKUP("C.Rate", Ionis, 2, 0), 0)</f>
        <v>0</v>
      </c>
    </row>
    <row r="94" spans="1:13" x14ac:dyDescent="0.2">
      <c r="A94" t="s">
        <v>78</v>
      </c>
      <c r="B94" s="8">
        <f ca="1">MAX(MIN(B92+B93+Setup!$B$14+$B$16+$C$16+HLOOKUP($A94,INDIRECT(B$26),MATCH("Total",Slots,0)+1,0) 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 + $L$8, 100%), 0)</f>
        <v>0.1</v>
      </c>
      <c r="C94" s="47">
        <f ca="1">MAX(MIN(C92+C93+Setup!$B$14+$B$16+$D$16+HLOOKUP($A94,INDIRECT(C$26),MATCH("Total",Slots,0)+1,0)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</f>
        <v>0.1</v>
      </c>
      <c r="D94" s="8">
        <f ca="1">MAX(MIN(D92+D93+Setup!$B$14+$B$16+$C$16+HLOOKUP($A94,INDIRECT(D$26),MATCH("Total",Slots,0)+1,0) 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 + $L$8, 100%), 0)</f>
        <v>0.14000000000000001</v>
      </c>
      <c r="E94" s="47">
        <f ca="1">MAX(MIN(E92+E93+Setup!$B$14+$B$16+$D$16+HLOOKUP($A94,INDIRECT(E$26),MATCH("Total",Slots,0)+1,0)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</f>
        <v>0.14000000000000001</v>
      </c>
      <c r="F94" s="8">
        <f ca="1">IF(LEFT(Gear!B3,9)="Ryunohige",100%,MAX(MIN(F92+F93+Setup!$B$14+$B$16+$C$16+HLOOKUP($A94,INDIRECT(F$26),MATCH("Total",Slots,0)+1,0)+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",Setup!$J38,1)-1,LEN(Setup!$J38)))),CORRollStates,2,FALSE),2)+$L$8,100%),0))</f>
        <v>0.1</v>
      </c>
      <c r="G94" s="47">
        <f ca="1">IF(LEFT(Gear!X3, 9)="Ryunohige", 100%,MAX(MIN(G92+G93+Setup!$B$14+$B$16+$D$16+HLOOKUP($A94,INDIRECT(G$26),MATCH("Total",Slots,0)+1,0)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0))</f>
        <v>0.1</v>
      </c>
      <c r="H94" s="8">
        <f ca="1">IF(Setup!$F6=1, 100%,MAX(MIN(H92+H93+Setup!$B$14+$B$16+$C$16+HLOOKUP($A94,INDIRECT(H$26),MATCH("Total",Slots,0)+1,0) 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 + $L$8, 100%), 0))</f>
        <v>1</v>
      </c>
      <c r="I94" s="47">
        <f ca="1">IF(Setup!$G6=1, 100%,MAX(MIN(I92+I93+Setup!$B$14+$B$16+$D$16+HLOOKUP($A94,INDIRECT(I$26),MATCH("Total",Slots,0)+1,0)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0))</f>
        <v>1</v>
      </c>
      <c r="J94" s="8">
        <f ca="1">IF(LEFT(Gear!B3, 9)="Ryunohige", 100%,MAX(MIN(J92+J93+Setup!$B$14+$B$16+$C$16+HLOOKUP($A94,INDIRECT(J$26),MATCH("Total",Slots,0)+1,0) 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 + $L$8, 100%), 0))</f>
        <v>0.1</v>
      </c>
      <c r="K94" s="47">
        <f ca="1">IF(LEFT(Gear!X3, 9)="Ryunohige", 100%,MAX(MIN(K92+K93+Setup!$B$14+$B$16+$D$16+HLOOKUP($A94,INDIRECT(K$26),MATCH("Total",Slots,0)+1,0)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0))</f>
        <v>0.1</v>
      </c>
      <c r="L94" s="8">
        <f ca="1">IF(Setup!$F6=1, 100%,MAX(MIN(L92+L93+Setup!$B$14+$B$16+$C$16+HLOOKUP($A94,INDIRECT(L$26),MATCH("Total",Slots,0)+1,0) +
TRUNC((VLOOKUP(Setup!$M38,CORRoguesRoll,2,FALSE)
+IF(IFERROR(FIND("THF",Setup!$J38,1),0)=0,0,'Other Lists'!$F$346)
+IF(IFERROR(FIND("+",Setup!$J38,1),0)=0,0,MID(Setup!$J38,FIND("+",Setup!$J38,1)+1,1))*'Other Lists'!$F$347)
*VLOOKUP(LEFT(Setup!$J38,IFERROR(FIND("+",Setup!$J38,1)-1,IFERROR(FIND(" ",Setup!$J38,1)-1,LEN(Setup!$J38)))),CORRollStates,2,FALSE),2) + $L$8, 100%), 0))</f>
        <v>1</v>
      </c>
      <c r="M94" s="47">
        <f ca="1">IF(Setup!$G6=1, 100%,MAX(MIN(M92+M93+Setup!$B$14+$B$16+$D$16+HLOOKUP($A94,INDIRECT(M$26),MATCH("Total",Slots,0)+1,0) +
TRUNC((VLOOKUP(Setup!$N38,CORRoguesRoll,2,FALSE)
+IF(IFERROR(FIND("THF",Setup!$K38,1),0)=0,0,'Other Lists'!$F$346)
+IF(IFERROR(FIND("+",Setup!$K38,1),0)=0,0,MID(Setup!$K38,FIND("+",Setup!$K38,1)+1,1))*'Other Lists'!$F$347)
*VLOOKUP(LEFT(Setup!$K38,IFERROR(FIND("+",Setup!$K38,1)-1,IFERROR(FIND(" ",Setup!$K38,1)-1,LEN(Setup!$K38)))),CORRollStates,2,FALSE),2) + $L$8, 100%), 0))</f>
        <v>1</v>
      </c>
    </row>
    <row r="95" spans="1:13" x14ac:dyDescent="0.2">
      <c r="A95" s="32" t="s">
        <v>79</v>
      </c>
      <c r="B95" s="48">
        <f ca="1">MAX(MIN($B$17+$C$17+HLOOKUP($A95,INDIRECT(B$26),MATCH("Total",Slots,0)+1,0) - $L$7, 100%), 0)</f>
        <v>0.08</v>
      </c>
      <c r="C95" s="47">
        <f ca="1">MAX(MIN($B$17+$D$17+HLOOKUP($A95,INDIRECT(C$26),MATCH("Total",Slots,0)+1,0) - $L$7, 100%), 0)</f>
        <v>0.08</v>
      </c>
      <c r="D95" s="48">
        <f ca="1">MAX(MIN($B$17+$C$17+HLOOKUP($A95,INDIRECT(D$26),MATCH("Total",Slots,0)+1,0) - $L$7, 100%), 0)</f>
        <v>0.08</v>
      </c>
      <c r="E95" s="47">
        <f ca="1">MAX(MIN($B$17+$D$17+HLOOKUP($A95,INDIRECT(E$26),MATCH("Total",Slots,0)+1,0) - $L$7, 100%), 0)</f>
        <v>0.08</v>
      </c>
      <c r="F95" s="48">
        <f ca="1">MAX(MIN($B$17+$C$17+HLOOKUP($A95,INDIRECT(F$26),MATCH("Total",Slots,0)+1,0) - $L$7, 100%), 0)</f>
        <v>0.12</v>
      </c>
      <c r="G95" s="47">
        <f ca="1">MAX(MIN($B$17+$D$17+HLOOKUP($A95,INDIRECT(G$26),MATCH("Total",Slots,0)+1,0) - $L$7, 100%), 0)</f>
        <v>0.12</v>
      </c>
      <c r="H95" s="48">
        <f ca="1">MAX(MIN($B$17+$C$17+HLOOKUP($A95,INDIRECT(H$26),MATCH("Total",Slots,0)+1,0) - $L$7, 100%), 0)</f>
        <v>0.08</v>
      </c>
      <c r="I95" s="47">
        <f ca="1">MAX(MIN($B$17+$D$17+HLOOKUP($A95,INDIRECT(I$26),MATCH("Total",Slots,0)+1,0) - $L$7, 100%), 0)</f>
        <v>0.08</v>
      </c>
      <c r="J95" s="48">
        <f ca="1">MAX(MIN($B$17+$C$17+HLOOKUP($A95,INDIRECT(J$26),MATCH("Total",Slots,0)+1,0) - $L$7, 100%), 0)</f>
        <v>0.12</v>
      </c>
      <c r="K95" s="47">
        <f ca="1">MAX(MIN($B$17+$D$17+HLOOKUP($A95,INDIRECT(K$26),MATCH("Total",Slots,0)+1,0) - $L$7, 100%), 0)</f>
        <v>0.12</v>
      </c>
      <c r="L95" s="48">
        <f ca="1">MAX(MIN($B$17+$C$17+HLOOKUP($A95,INDIRECT(L$26),MATCH("Total",Slots,0)+1,0) - $L$7, 100%), 0)</f>
        <v>0.12</v>
      </c>
      <c r="M95" s="47">
        <f ca="1">MAX(MIN($B$17+$D$17+HLOOKUP($A95,INDIRECT(M$26),MATCH("Total",Slots,0)+1,0) - $L$7, 100%), 0)</f>
        <v>0.12</v>
      </c>
    </row>
    <row r="96" spans="1:13" x14ac:dyDescent="0.2">
      <c r="A96" s="35" t="s">
        <v>160</v>
      </c>
      <c r="B96" s="55">
        <f t="shared" ref="B96:M96" ca="1" si="22">1+B95</f>
        <v>1.08</v>
      </c>
      <c r="C96" s="56">
        <f t="shared" ca="1" si="22"/>
        <v>1.08</v>
      </c>
      <c r="D96" s="55">
        <f t="shared" ca="1" si="22"/>
        <v>1.08</v>
      </c>
      <c r="E96" s="56">
        <f t="shared" ca="1" si="22"/>
        <v>1.08</v>
      </c>
      <c r="F96" s="55">
        <f t="shared" ca="1" si="22"/>
        <v>1.1200000000000001</v>
      </c>
      <c r="G96" s="56">
        <f t="shared" ca="1" si="22"/>
        <v>1.1200000000000001</v>
      </c>
      <c r="H96" s="55">
        <f t="shared" ca="1" si="22"/>
        <v>1.08</v>
      </c>
      <c r="I96" s="56">
        <f t="shared" ca="1" si="22"/>
        <v>1.08</v>
      </c>
      <c r="J96" s="55">
        <f t="shared" ca="1" si="22"/>
        <v>1.1200000000000001</v>
      </c>
      <c r="K96" s="56">
        <f t="shared" ca="1" si="22"/>
        <v>1.1200000000000001</v>
      </c>
      <c r="L96" s="55">
        <f t="shared" ca="1" si="22"/>
        <v>1.1200000000000001</v>
      </c>
      <c r="M96" s="56">
        <f t="shared" ca="1" si="22"/>
        <v>1.1200000000000001</v>
      </c>
    </row>
    <row r="97" spans="1:13" x14ac:dyDescent="0.2">
      <c r="A97" t="s">
        <v>161</v>
      </c>
      <c r="B97" s="57">
        <f t="shared" ref="B97:M97" ca="1" si="23">((B78-($M$4+$N$4))/2)/100+0.75</f>
        <v>1.82</v>
      </c>
      <c r="C97" s="57">
        <f t="shared" ca="1" si="23"/>
        <v>1.72</v>
      </c>
      <c r="D97" s="58">
        <f t="shared" ca="1" si="23"/>
        <v>1.7949999999999999</v>
      </c>
      <c r="E97" s="59">
        <f t="shared" ca="1" si="23"/>
        <v>1.7949999999999999</v>
      </c>
      <c r="F97" s="57">
        <f t="shared" ca="1" si="23"/>
        <v>1.4950000000000001</v>
      </c>
      <c r="G97" s="57">
        <f t="shared" ca="1" si="23"/>
        <v>1.4950000000000001</v>
      </c>
      <c r="H97" s="58">
        <f t="shared" ca="1" si="23"/>
        <v>1.5550000000000002</v>
      </c>
      <c r="I97" s="59">
        <f t="shared" ca="1" si="23"/>
        <v>1.5550000000000002</v>
      </c>
      <c r="J97" s="57">
        <f t="shared" ca="1" si="23"/>
        <v>1.4950000000000001</v>
      </c>
      <c r="K97" s="57">
        <f t="shared" ca="1" si="23"/>
        <v>1.4950000000000001</v>
      </c>
      <c r="L97" s="58">
        <f t="shared" ca="1" si="23"/>
        <v>1.4950000000000001</v>
      </c>
      <c r="M97" s="59">
        <f t="shared" ca="1" si="23"/>
        <v>1.4950000000000001</v>
      </c>
    </row>
    <row r="98" spans="1:13" x14ac:dyDescent="0.2">
      <c r="A98" s="32" t="s">
        <v>162</v>
      </c>
      <c r="B98" s="60">
        <f t="shared" ref="B98:M98" ca="1" si="24">MAX(MIN(B97,0.95),0.2)</f>
        <v>0.95</v>
      </c>
      <c r="C98" s="59">
        <f t="shared" ca="1" si="24"/>
        <v>0.95</v>
      </c>
      <c r="D98" s="60">
        <f t="shared" ca="1" si="24"/>
        <v>0.95</v>
      </c>
      <c r="E98" s="59">
        <f t="shared" ca="1" si="24"/>
        <v>0.95</v>
      </c>
      <c r="F98" s="60">
        <f ca="1">IF(Setup!F10=1, 100%, MAX(MIN(F97,0.95),0.2))</f>
        <v>0.95</v>
      </c>
      <c r="G98" s="169">
        <f ca="1">IF(Setup!G10=1, 100%, MAX(MIN(G97,0.95),0.2))</f>
        <v>0.95</v>
      </c>
      <c r="H98" s="60">
        <f t="shared" ca="1" si="24"/>
        <v>0.95</v>
      </c>
      <c r="I98" s="59">
        <f t="shared" ca="1" si="24"/>
        <v>0.95</v>
      </c>
      <c r="J98" s="60">
        <f ca="1">IF(Setup!F10=1, 100%, MAX(MIN(J97,0.95),0.2))</f>
        <v>0.95</v>
      </c>
      <c r="K98" s="169">
        <f ca="1">IF(Setup!G10=1, 100%, MAX(MIN(K97,0.95),0.2))</f>
        <v>0.95</v>
      </c>
      <c r="L98" s="60">
        <f t="shared" ca="1" si="24"/>
        <v>0.95</v>
      </c>
      <c r="M98" s="59">
        <f t="shared" ca="1" si="24"/>
        <v>0.95</v>
      </c>
    </row>
    <row r="99" spans="1:13" x14ac:dyDescent="0.2">
      <c r="A99" s="35" t="s">
        <v>163</v>
      </c>
      <c r="B99" s="61">
        <f t="shared" ref="B99:M99" ca="1" si="25">MAX(MIN(B97+0.175,0.95),0.2)</f>
        <v>0.95</v>
      </c>
      <c r="C99" s="62">
        <f t="shared" ca="1" si="25"/>
        <v>0.95</v>
      </c>
      <c r="D99" s="61">
        <f t="shared" ca="1" si="25"/>
        <v>0.95</v>
      </c>
      <c r="E99" s="62">
        <f t="shared" ca="1" si="25"/>
        <v>0.95</v>
      </c>
      <c r="F99" s="61">
        <f ca="1">IF(Setup!F10=1, 100%, MAX(MIN(F97+0.175,0.95),0.2))</f>
        <v>0.95</v>
      </c>
      <c r="G99" s="170">
        <f ca="1">IF(Setup!G10=1, 100%, MAX(MIN(G97+0.175,0.95),0.2))</f>
        <v>0.95</v>
      </c>
      <c r="H99" s="61">
        <f t="shared" ca="1" si="25"/>
        <v>0.95</v>
      </c>
      <c r="I99" s="62">
        <f t="shared" ca="1" si="25"/>
        <v>0.95</v>
      </c>
      <c r="J99" s="61">
        <f ca="1">IF(Setup!F10=1, 100%, MAX(MIN(J97+0.175,0.95),0.2))</f>
        <v>0.95</v>
      </c>
      <c r="K99" s="170">
        <f ca="1">IF(Setup!G10=1, 100%, MAX(MIN(K97+0.175,0.95),0.2))</f>
        <v>0.95</v>
      </c>
      <c r="L99" s="61">
        <f t="shared" ca="1" si="25"/>
        <v>0.95</v>
      </c>
      <c r="M99" s="62">
        <f t="shared" ca="1" si="25"/>
        <v>0.95</v>
      </c>
    </row>
    <row r="100" spans="1:13" x14ac:dyDescent="0.2">
      <c r="A100" s="31" t="s">
        <v>558</v>
      </c>
      <c r="B100" s="60"/>
      <c r="C100" s="59"/>
      <c r="D100" s="60">
        <f ca="1">VLOOKUP(Setup!B$29, WeaponskillData, MATCH("DefIg0", WeaponskillDataCols, 0), 0) + VLOOKUP(Setup!B$29, WeaponskillData, MATCH("DefIg1", WeaponskillDataCols, 0), 0) * MAX(MIN(Weaponskill!J7-1000),0)/1000  + VLOOKUP(Setup!B$29, WeaponskillData, MATCH("DefIg2", WeaponskillDataCols, 0), 0) * MAX(MIN(Weaponskill!J7-2000),0)/1000</f>
        <v>0</v>
      </c>
      <c r="E100" s="59">
        <f ca="1">VLOOKUP(Setup!C$29, WeaponskillData, MATCH("DefIg0", WeaponskillDataCols, 0), 0) + VLOOKUP(Setup!C$29, WeaponskillData, MATCH("DefIg1", WeaponskillDataCols, 0), 0) * MAX(MIN(Weaponskill!J540-1000),0)/1000  + VLOOKUP(Setup!C$29, WeaponskillData, MATCH("DefIg2", WeaponskillDataCols, 0), 0) * MAX(MIN(Weaponskill!J540-2000),0)/1000</f>
        <v>0</v>
      </c>
      <c r="F100" s="60"/>
      <c r="G100" s="60"/>
      <c r="H100" s="60"/>
      <c r="I100" s="59"/>
      <c r="J100" s="60"/>
      <c r="K100" s="60"/>
      <c r="L100" s="60"/>
      <c r="M100" s="59"/>
    </row>
    <row r="101" spans="1:13" x14ac:dyDescent="0.2">
      <c r="A101" s="31" t="s">
        <v>560</v>
      </c>
      <c r="B101" s="60"/>
      <c r="C101" s="59"/>
      <c r="D101" s="60">
        <f ca="1">D100+Setup!$N6</f>
        <v>0.52</v>
      </c>
      <c r="E101" s="169">
        <f ca="1">E100+Setup!$N6</f>
        <v>0.52</v>
      </c>
      <c r="F101" s="60"/>
      <c r="G101" s="60"/>
      <c r="H101" s="60"/>
      <c r="I101" s="59"/>
      <c r="J101" s="60"/>
      <c r="K101" s="60"/>
      <c r="L101" s="60"/>
      <c r="M101" s="59"/>
    </row>
    <row r="102" spans="1:13" x14ac:dyDescent="0.2">
      <c r="A102" s="31" t="s">
        <v>559</v>
      </c>
      <c r="B102" s="60"/>
      <c r="C102" s="59"/>
      <c r="D102" s="51">
        <f ca="1">MAX($L3-TRUNC($L3*D101),1)</f>
        <v>691</v>
      </c>
      <c r="E102" s="203">
        <f ca="1">MAX($L3-TRUNC($L3*E101),1)</f>
        <v>691</v>
      </c>
      <c r="F102" s="60"/>
      <c r="G102" s="60"/>
      <c r="H102" s="60"/>
      <c r="I102" s="59"/>
      <c r="J102" s="60"/>
      <c r="K102" s="60"/>
      <c r="L102" s="60"/>
      <c r="M102" s="59"/>
    </row>
    <row r="103" spans="1:13" x14ac:dyDescent="0.2">
      <c r="A103" s="192" t="s">
        <v>164</v>
      </c>
      <c r="B103" s="193">
        <f ca="1">MAX(MIN(B77/$M$3,4.125)-$N$3, 0)</f>
        <v>2.5383502170767005</v>
      </c>
      <c r="C103" s="194">
        <f ca="1">MAX(MIN(C77/$M$3,4.125)-$N$3, 0)</f>
        <v>2.5383502170767005</v>
      </c>
      <c r="D103" s="193">
        <f ca="1">MAX(MIN(D77/D102,4.125)-$N$3, 0)</f>
        <v>2.7626628075253254</v>
      </c>
      <c r="E103" s="194">
        <f ca="1">MAX(MIN(E77/E102,4.125)-$N$3, 0)</f>
        <v>2.7626628075253254</v>
      </c>
      <c r="F103" s="193">
        <f t="shared" ref="F103:M103" ca="1" si="26">MAX(MIN(F77/$M$3,4.125)-$N$3, 0)</f>
        <v>2.3719247467438493</v>
      </c>
      <c r="G103" s="194">
        <f t="shared" ca="1" si="26"/>
        <v>2.3719247467438493</v>
      </c>
      <c r="H103" s="193">
        <f t="shared" ca="1" si="26"/>
        <v>2.837916063675832</v>
      </c>
      <c r="I103" s="194">
        <f t="shared" ca="1" si="26"/>
        <v>2.837916063675832</v>
      </c>
      <c r="J103" s="193">
        <f t="shared" ca="1" si="26"/>
        <v>2.3719247467438493</v>
      </c>
      <c r="K103" s="194">
        <f t="shared" ca="1" si="26"/>
        <v>2.3719247467438493</v>
      </c>
      <c r="L103" s="193">
        <f t="shared" ca="1" si="26"/>
        <v>3.2518089725036181</v>
      </c>
      <c r="M103" s="194">
        <f t="shared" ca="1" si="26"/>
        <v>3.2518089725036181</v>
      </c>
    </row>
    <row r="104" spans="1:13" x14ac:dyDescent="0.2">
      <c r="A104" s="1" t="s">
        <v>504</v>
      </c>
      <c r="B104" s="183"/>
      <c r="C104" s="184"/>
      <c r="D104" s="183"/>
      <c r="E104" s="197"/>
      <c r="F104" s="32"/>
      <c r="G104" s="195"/>
      <c r="I104" s="195"/>
      <c r="K104" s="195"/>
      <c r="M104" s="195"/>
    </row>
    <row r="105" spans="1:13" x14ac:dyDescent="0.2">
      <c r="A105" s="144" t="s">
        <v>505</v>
      </c>
      <c r="B105" s="183">
        <f ca="1">B103</f>
        <v>2.5383502170767005</v>
      </c>
      <c r="C105" s="185">
        <f ca="1">C103</f>
        <v>2.5383502170767005</v>
      </c>
      <c r="D105" s="183">
        <f ca="1">D103</f>
        <v>2.7626628075253254</v>
      </c>
      <c r="E105" s="185">
        <f ca="1">E103</f>
        <v>2.7626628075253254</v>
      </c>
      <c r="F105" s="183">
        <f t="shared" ref="F105:M105" ca="1" si="27">F103</f>
        <v>2.3719247467438493</v>
      </c>
      <c r="G105" s="185">
        <f t="shared" ca="1" si="27"/>
        <v>2.3719247467438493</v>
      </c>
      <c r="H105" s="183">
        <f t="shared" ca="1" si="27"/>
        <v>2.837916063675832</v>
      </c>
      <c r="I105" s="185">
        <f t="shared" ca="1" si="27"/>
        <v>2.837916063675832</v>
      </c>
      <c r="J105" s="183">
        <f t="shared" ca="1" si="27"/>
        <v>2.3719247467438493</v>
      </c>
      <c r="K105" s="185">
        <f t="shared" ca="1" si="27"/>
        <v>2.3719247467438493</v>
      </c>
      <c r="L105" s="183">
        <f t="shared" ca="1" si="27"/>
        <v>3.2518089725036181</v>
      </c>
      <c r="M105" s="185">
        <f t="shared" ca="1" si="27"/>
        <v>3.2518089725036181</v>
      </c>
    </row>
    <row r="106" spans="1:13" x14ac:dyDescent="0.2">
      <c r="A106" s="144" t="s">
        <v>506</v>
      </c>
      <c r="B106" s="183">
        <f ca="1">B105+MIN(B105*(152/1024) - (752/1024), -0.375)</f>
        <v>2.1633502170767005</v>
      </c>
      <c r="C106" s="185">
        <f ca="1">C105+MIN(C105*(152/1024) - (752/1024), -0.375)</f>
        <v>2.1633502170767005</v>
      </c>
      <c r="D106" s="183">
        <f ca="1">D105+MIN(D105*(152/1024) - (752/1024), -0.375)</f>
        <v>2.3876628075253254</v>
      </c>
      <c r="E106" s="185">
        <f ca="1">E105+MIN(E105*(152/1024) - (752/1024), -0.375)</f>
        <v>2.3876628075253254</v>
      </c>
      <c r="F106" s="183">
        <f t="shared" ref="F106:M106" ca="1" si="28">F105+MIN(F105*(152/1024) - (752/1024), -0.375)</f>
        <v>1.9896323263386395</v>
      </c>
      <c r="G106" s="185">
        <f t="shared" ca="1" si="28"/>
        <v>1.9896323263386395</v>
      </c>
      <c r="H106" s="183">
        <f t="shared" ca="1" si="28"/>
        <v>2.462916063675832</v>
      </c>
      <c r="I106" s="185">
        <f t="shared" ca="1" si="28"/>
        <v>2.462916063675832</v>
      </c>
      <c r="J106" s="183">
        <f t="shared" ca="1" si="28"/>
        <v>1.9896323263386395</v>
      </c>
      <c r="K106" s="185">
        <f t="shared" ca="1" si="28"/>
        <v>1.9896323263386395</v>
      </c>
      <c r="L106" s="183">
        <f t="shared" ca="1" si="28"/>
        <v>2.8768089725036181</v>
      </c>
      <c r="M106" s="185">
        <f t="shared" ca="1" si="28"/>
        <v>2.8768089725036181</v>
      </c>
    </row>
    <row r="107" spans="1:13" x14ac:dyDescent="0.2">
      <c r="A107" s="144" t="s">
        <v>507</v>
      </c>
      <c r="B107" s="183">
        <f ca="1">B105+MIN(1-B105, B105*152/1024 - 448/1024)</f>
        <v>1</v>
      </c>
      <c r="C107" s="185">
        <f ca="1">C105+MIN(1-C105, C105*152/1024 - 448/1024)</f>
        <v>1</v>
      </c>
      <c r="D107" s="183">
        <f ca="1">D105+MIN(1-D105, D105*152/1024 - 448/1024)</f>
        <v>1</v>
      </c>
      <c r="E107" s="185">
        <f ca="1">E105+MIN(1-E105, E105*152/1024 - 448/1024)</f>
        <v>1</v>
      </c>
      <c r="F107" s="183">
        <f t="shared" ref="F107:M107" ca="1" si="29">F105+MIN(1-F105, F105*152/1024 - 448/1024)</f>
        <v>1</v>
      </c>
      <c r="G107" s="185">
        <f t="shared" ca="1" si="29"/>
        <v>1</v>
      </c>
      <c r="H107" s="183">
        <f t="shared" ca="1" si="29"/>
        <v>1</v>
      </c>
      <c r="I107" s="185">
        <f t="shared" ca="1" si="29"/>
        <v>1</v>
      </c>
      <c r="J107" s="183">
        <f t="shared" ca="1" si="29"/>
        <v>1</v>
      </c>
      <c r="K107" s="185">
        <f t="shared" ca="1" si="29"/>
        <v>1</v>
      </c>
      <c r="L107" s="183">
        <f t="shared" ca="1" si="29"/>
        <v>1</v>
      </c>
      <c r="M107" s="185">
        <f t="shared" ca="1" si="29"/>
        <v>1</v>
      </c>
    </row>
    <row r="108" spans="1:13" x14ac:dyDescent="0.2">
      <c r="A108" s="144" t="s">
        <v>508</v>
      </c>
      <c r="B108" s="183">
        <f ca="1">MAX(B106,B107)</f>
        <v>2.1633502170767005</v>
      </c>
      <c r="C108" s="185">
        <f ca="1">MAX(C106,C107)</f>
        <v>2.1633502170767005</v>
      </c>
      <c r="D108" s="183">
        <f ca="1">MAX(D106,D107)</f>
        <v>2.3876628075253254</v>
      </c>
      <c r="E108" s="185">
        <f ca="1">MAX(E106,E107)</f>
        <v>2.3876628075253254</v>
      </c>
      <c r="F108" s="183">
        <f t="shared" ref="F108:M108" ca="1" si="30">MAX(F106,F107)</f>
        <v>1.9896323263386395</v>
      </c>
      <c r="G108" s="185">
        <f t="shared" ca="1" si="30"/>
        <v>1.9896323263386395</v>
      </c>
      <c r="H108" s="183">
        <f t="shared" ca="1" si="30"/>
        <v>2.462916063675832</v>
      </c>
      <c r="I108" s="185">
        <f t="shared" ca="1" si="30"/>
        <v>2.462916063675832</v>
      </c>
      <c r="J108" s="183">
        <f t="shared" ca="1" si="30"/>
        <v>1.9896323263386395</v>
      </c>
      <c r="K108" s="185">
        <f t="shared" ca="1" si="30"/>
        <v>1.9896323263386395</v>
      </c>
      <c r="L108" s="183">
        <f t="shared" ca="1" si="30"/>
        <v>2.8768089725036181</v>
      </c>
      <c r="M108" s="185">
        <f t="shared" ca="1" si="30"/>
        <v>2.8768089725036181</v>
      </c>
    </row>
    <row r="109" spans="1:13" x14ac:dyDescent="0.2">
      <c r="A109" s="144" t="s">
        <v>509</v>
      </c>
      <c r="B109" s="183">
        <f ca="1">MAX(MAX(B106,B107), 0)</f>
        <v>2.1633502170767005</v>
      </c>
      <c r="C109" s="185">
        <f ca="1">MAX(MAX(C106,C107), 0)</f>
        <v>2.1633502170767005</v>
      </c>
      <c r="D109" s="183">
        <f ca="1">MAX(MAX(D106,D107), 0)</f>
        <v>2.3876628075253254</v>
      </c>
      <c r="E109" s="185">
        <f ca="1">MAX(MAX(E106,E107), 0)</f>
        <v>2.3876628075253254</v>
      </c>
      <c r="F109" s="183">
        <f t="shared" ref="F109:M109" ca="1" si="31">MAX(MAX(F106,F107), 0)</f>
        <v>1.9896323263386395</v>
      </c>
      <c r="G109" s="185">
        <f t="shared" ca="1" si="31"/>
        <v>1.9896323263386395</v>
      </c>
      <c r="H109" s="183">
        <f t="shared" ca="1" si="31"/>
        <v>2.462916063675832</v>
      </c>
      <c r="I109" s="185">
        <f t="shared" ca="1" si="31"/>
        <v>2.462916063675832</v>
      </c>
      <c r="J109" s="183">
        <f t="shared" ca="1" si="31"/>
        <v>1.9896323263386395</v>
      </c>
      <c r="K109" s="185">
        <f t="shared" ca="1" si="31"/>
        <v>1.9896323263386395</v>
      </c>
      <c r="L109" s="183">
        <f t="shared" ca="1" si="31"/>
        <v>2.8768089725036181</v>
      </c>
      <c r="M109" s="185">
        <f t="shared" ca="1" si="31"/>
        <v>2.8768089725036181</v>
      </c>
    </row>
    <row r="110" spans="1:13" x14ac:dyDescent="0.2">
      <c r="A110" s="144" t="s">
        <v>510</v>
      </c>
      <c r="B110" s="183">
        <f ca="1">B105 + MAX(MIN(B105 * 0.25, 0.375), 0.25)</f>
        <v>2.9133502170767005</v>
      </c>
      <c r="C110" s="185">
        <f ca="1">C105 + MAX(MIN(C105 * 0.25, 0.375), 0.25)</f>
        <v>2.9133502170767005</v>
      </c>
      <c r="D110" s="183">
        <f ca="1">D105 + MAX(MIN(D105 * 0.25, 0.375), 0.25)</f>
        <v>3.1376628075253254</v>
      </c>
      <c r="E110" s="185">
        <f ca="1">E105 + MAX(MIN(E105 * 0.25, 0.375), 0.25)</f>
        <v>3.1376628075253254</v>
      </c>
      <c r="F110" s="183">
        <f t="shared" ref="F110:M110" ca="1" si="32">F105 + MAX(MIN(F105 * 0.25, 0.375), 0.25)</f>
        <v>2.7469247467438493</v>
      </c>
      <c r="G110" s="185">
        <f t="shared" ca="1" si="32"/>
        <v>2.7469247467438493</v>
      </c>
      <c r="H110" s="183">
        <f t="shared" ca="1" si="32"/>
        <v>3.212916063675832</v>
      </c>
      <c r="I110" s="185">
        <f t="shared" ca="1" si="32"/>
        <v>3.212916063675832</v>
      </c>
      <c r="J110" s="183">
        <f t="shared" ca="1" si="32"/>
        <v>2.7469247467438493</v>
      </c>
      <c r="K110" s="185">
        <f t="shared" ca="1" si="32"/>
        <v>2.7469247467438493</v>
      </c>
      <c r="L110" s="183">
        <f t="shared" ca="1" si="32"/>
        <v>3.6268089725036181</v>
      </c>
      <c r="M110" s="185">
        <f t="shared" ca="1" si="32"/>
        <v>3.6268089725036181</v>
      </c>
    </row>
    <row r="111" spans="1:13" x14ac:dyDescent="0.2">
      <c r="A111" s="144" t="s">
        <v>511</v>
      </c>
      <c r="B111" s="183">
        <f ca="1">B105 + MIN(B105*341/1024 + 358/1024, 1-B105)</f>
        <v>1</v>
      </c>
      <c r="C111" s="185">
        <f ca="1">C105 + MIN(C105*341/1024 + 358/1024, 1-C105)</f>
        <v>1</v>
      </c>
      <c r="D111" s="183">
        <f ca="1">D105 + MIN(D105*341/1024 + 358/1024, 1-D105)</f>
        <v>1</v>
      </c>
      <c r="E111" s="185">
        <f ca="1">E105 + MIN(E105*341/1024 + 358/1024, 1-E105)</f>
        <v>1</v>
      </c>
      <c r="F111" s="183">
        <f t="shared" ref="F111:M111" ca="1" si="33">F105 + MIN(F105*341/1024 + 358/1024, 1-F105)</f>
        <v>1</v>
      </c>
      <c r="G111" s="185">
        <f t="shared" ca="1" si="33"/>
        <v>1</v>
      </c>
      <c r="H111" s="183">
        <f t="shared" ca="1" si="33"/>
        <v>1</v>
      </c>
      <c r="I111" s="185">
        <f t="shared" ca="1" si="33"/>
        <v>1</v>
      </c>
      <c r="J111" s="183">
        <f t="shared" ca="1" si="33"/>
        <v>1</v>
      </c>
      <c r="K111" s="185">
        <f t="shared" ca="1" si="33"/>
        <v>1</v>
      </c>
      <c r="L111" s="183">
        <f t="shared" ca="1" si="33"/>
        <v>1</v>
      </c>
      <c r="M111" s="185">
        <f t="shared" ca="1" si="33"/>
        <v>1</v>
      </c>
    </row>
    <row r="112" spans="1:13" x14ac:dyDescent="0.2">
      <c r="A112" s="144" t="s">
        <v>512</v>
      </c>
      <c r="B112" s="183">
        <f ca="1">MAX(B110,B111)</f>
        <v>2.9133502170767005</v>
      </c>
      <c r="C112" s="185">
        <f ca="1">MAX(C110,C111)</f>
        <v>2.9133502170767005</v>
      </c>
      <c r="D112" s="183">
        <f ca="1">MAX(D110,D111)</f>
        <v>3.1376628075253254</v>
      </c>
      <c r="E112" s="185">
        <f ca="1">MAX(E110,E111)</f>
        <v>3.1376628075253254</v>
      </c>
      <c r="F112" s="183">
        <f t="shared" ref="F112:M112" ca="1" si="34">MAX(F110,F111)</f>
        <v>2.7469247467438493</v>
      </c>
      <c r="G112" s="185">
        <f t="shared" ca="1" si="34"/>
        <v>2.7469247467438493</v>
      </c>
      <c r="H112" s="183">
        <f t="shared" ca="1" si="34"/>
        <v>3.212916063675832</v>
      </c>
      <c r="I112" s="185">
        <f t="shared" ca="1" si="34"/>
        <v>3.212916063675832</v>
      </c>
      <c r="J112" s="183">
        <f t="shared" ca="1" si="34"/>
        <v>2.7469247467438493</v>
      </c>
      <c r="K112" s="185">
        <f t="shared" ca="1" si="34"/>
        <v>2.7469247467438493</v>
      </c>
      <c r="L112" s="183">
        <f t="shared" ca="1" si="34"/>
        <v>3.6268089725036181</v>
      </c>
      <c r="M112" s="185">
        <f t="shared" ca="1" si="34"/>
        <v>3.6268089725036181</v>
      </c>
    </row>
    <row r="113" spans="1:13" x14ac:dyDescent="0.2">
      <c r="A113" s="144" t="s">
        <v>513</v>
      </c>
      <c r="B113" s="183">
        <f ca="1">MIN(MAX(B110,B111), 3.75)</f>
        <v>2.9133502170767005</v>
      </c>
      <c r="C113" s="185">
        <f t="shared" ref="C113:M113" ca="1" si="35">MIN(MAX(C110,C111), 3.75)</f>
        <v>2.9133502170767005</v>
      </c>
      <c r="D113" s="183">
        <f t="shared" ca="1" si="35"/>
        <v>3.1376628075253254</v>
      </c>
      <c r="E113" s="185">
        <f t="shared" ca="1" si="35"/>
        <v>3.1376628075253254</v>
      </c>
      <c r="F113" s="183">
        <f t="shared" ca="1" si="35"/>
        <v>2.7469247467438493</v>
      </c>
      <c r="G113" s="185">
        <f t="shared" ca="1" si="35"/>
        <v>2.7469247467438493</v>
      </c>
      <c r="H113" s="183">
        <f t="shared" ca="1" si="35"/>
        <v>3.212916063675832</v>
      </c>
      <c r="I113" s="185">
        <f t="shared" ca="1" si="35"/>
        <v>3.212916063675832</v>
      </c>
      <c r="J113" s="183">
        <f t="shared" ca="1" si="35"/>
        <v>2.7469247467438493</v>
      </c>
      <c r="K113" s="185">
        <f t="shared" ca="1" si="35"/>
        <v>2.7469247467438493</v>
      </c>
      <c r="L113" s="183">
        <f t="shared" ca="1" si="35"/>
        <v>3.6268089725036181</v>
      </c>
      <c r="M113" s="185">
        <f t="shared" ca="1" si="35"/>
        <v>3.6268089725036181</v>
      </c>
    </row>
    <row r="114" spans="1:13" x14ac:dyDescent="0.2">
      <c r="A114" s="144" t="s">
        <v>514</v>
      </c>
      <c r="B114" s="183">
        <f t="shared" ref="B114:E115" ca="1" si="36">B112-B108</f>
        <v>0.75</v>
      </c>
      <c r="C114" s="185">
        <f t="shared" ca="1" si="36"/>
        <v>0.75</v>
      </c>
      <c r="D114" s="183">
        <f t="shared" ca="1" si="36"/>
        <v>0.75</v>
      </c>
      <c r="E114" s="185">
        <f t="shared" ca="1" si="36"/>
        <v>0.75</v>
      </c>
      <c r="F114" s="183">
        <f t="shared" ref="F114:M114" ca="1" si="37">F112-F108</f>
        <v>0.75729242040520983</v>
      </c>
      <c r="G114" s="185">
        <f t="shared" ca="1" si="37"/>
        <v>0.75729242040520983</v>
      </c>
      <c r="H114" s="183">
        <f t="shared" ca="1" si="37"/>
        <v>0.75</v>
      </c>
      <c r="I114" s="185">
        <f t="shared" ca="1" si="37"/>
        <v>0.75</v>
      </c>
      <c r="J114" s="183">
        <f t="shared" ca="1" si="37"/>
        <v>0.75729242040520983</v>
      </c>
      <c r="K114" s="185">
        <f t="shared" ca="1" si="37"/>
        <v>0.75729242040520983</v>
      </c>
      <c r="L114" s="183">
        <f t="shared" ca="1" si="37"/>
        <v>0.75</v>
      </c>
      <c r="M114" s="185">
        <f t="shared" ca="1" si="37"/>
        <v>0.75</v>
      </c>
    </row>
    <row r="115" spans="1:13" x14ac:dyDescent="0.2">
      <c r="A115" s="144" t="s">
        <v>515</v>
      </c>
      <c r="B115" s="183">
        <f t="shared" ca="1" si="36"/>
        <v>0.75</v>
      </c>
      <c r="C115" s="185">
        <f t="shared" ca="1" si="36"/>
        <v>0.75</v>
      </c>
      <c r="D115" s="183">
        <f t="shared" ca="1" si="36"/>
        <v>0.75</v>
      </c>
      <c r="E115" s="185">
        <f t="shared" ca="1" si="36"/>
        <v>0.75</v>
      </c>
      <c r="F115" s="183">
        <f t="shared" ref="F115:M115" ca="1" si="38">F113-F109</f>
        <v>0.75729242040520983</v>
      </c>
      <c r="G115" s="185">
        <f t="shared" ca="1" si="38"/>
        <v>0.75729242040520983</v>
      </c>
      <c r="H115" s="183">
        <f t="shared" ca="1" si="38"/>
        <v>0.75</v>
      </c>
      <c r="I115" s="185">
        <f t="shared" ca="1" si="38"/>
        <v>0.75</v>
      </c>
      <c r="J115" s="183">
        <f t="shared" ca="1" si="38"/>
        <v>0.75729242040520983</v>
      </c>
      <c r="K115" s="185">
        <f t="shared" ca="1" si="38"/>
        <v>0.75729242040520983</v>
      </c>
      <c r="L115" s="183">
        <f t="shared" ca="1" si="38"/>
        <v>0.75</v>
      </c>
      <c r="M115" s="185">
        <f t="shared" ca="1" si="38"/>
        <v>0.75</v>
      </c>
    </row>
    <row r="116" spans="1:13" x14ac:dyDescent="0.2">
      <c r="A116" s="144" t="s">
        <v>516</v>
      </c>
      <c r="B116" s="186">
        <f ca="1">IF(B108&lt;0, 1-(B115/B114), 0)</f>
        <v>0</v>
      </c>
      <c r="C116" s="187">
        <f ca="1">IF(C108&lt;0, 1-(C115/C114), 0)</f>
        <v>0</v>
      </c>
      <c r="D116" s="186">
        <f ca="1">IF(D108&lt;0, 1-(D115/D114), 0)</f>
        <v>0</v>
      </c>
      <c r="E116" s="187">
        <f ca="1">IF(E108&lt;0, 1-(E115/E114), 0)</f>
        <v>0</v>
      </c>
      <c r="F116" s="186">
        <f t="shared" ref="F116:M116" ca="1" si="39">IF(F108&lt;0, 1-(F115/F114), 0)</f>
        <v>0</v>
      </c>
      <c r="G116" s="187">
        <f t="shared" ca="1" si="39"/>
        <v>0</v>
      </c>
      <c r="H116" s="186">
        <f t="shared" ca="1" si="39"/>
        <v>0</v>
      </c>
      <c r="I116" s="187">
        <f t="shared" ca="1" si="39"/>
        <v>0</v>
      </c>
      <c r="J116" s="186">
        <f t="shared" ca="1" si="39"/>
        <v>0</v>
      </c>
      <c r="K116" s="187">
        <f t="shared" ca="1" si="39"/>
        <v>0</v>
      </c>
      <c r="L116" s="186">
        <f t="shared" ca="1" si="39"/>
        <v>0</v>
      </c>
      <c r="M116" s="187">
        <f t="shared" ca="1" si="39"/>
        <v>0</v>
      </c>
    </row>
    <row r="117" spans="1:13" x14ac:dyDescent="0.2">
      <c r="A117" s="144" t="s">
        <v>517</v>
      </c>
      <c r="B117" s="186">
        <f ca="1">IF(B112&gt;3.75, 1-(B115/B114), 0)</f>
        <v>0</v>
      </c>
      <c r="C117" s="187">
        <f t="shared" ref="C117:M117" ca="1" si="40">IF(C112&gt;3.75, 1-(C115/C114), 0)</f>
        <v>0</v>
      </c>
      <c r="D117" s="186">
        <f t="shared" ca="1" si="40"/>
        <v>0</v>
      </c>
      <c r="E117" s="187">
        <f t="shared" ca="1" si="40"/>
        <v>0</v>
      </c>
      <c r="F117" s="186">
        <f t="shared" ca="1" si="40"/>
        <v>0</v>
      </c>
      <c r="G117" s="187">
        <f t="shared" ca="1" si="40"/>
        <v>0</v>
      </c>
      <c r="H117" s="186">
        <f t="shared" ca="1" si="40"/>
        <v>0</v>
      </c>
      <c r="I117" s="187">
        <f t="shared" ca="1" si="40"/>
        <v>0</v>
      </c>
      <c r="J117" s="186">
        <f t="shared" ca="1" si="40"/>
        <v>0</v>
      </c>
      <c r="K117" s="187">
        <f t="shared" ca="1" si="40"/>
        <v>0</v>
      </c>
      <c r="L117" s="186">
        <f t="shared" ca="1" si="40"/>
        <v>0</v>
      </c>
      <c r="M117" s="187">
        <f t="shared" ca="1" si="40"/>
        <v>0</v>
      </c>
    </row>
    <row r="118" spans="1:13" x14ac:dyDescent="0.2">
      <c r="A118" s="144" t="s">
        <v>518</v>
      </c>
      <c r="B118" s="186">
        <f ca="1">MAX(0, MIN(1/3, (0.5 - ABS(B105-1)) * 1.2))</f>
        <v>0</v>
      </c>
      <c r="C118" s="187">
        <f ca="1">MAX(0, MIN(1/3, (0.5 - ABS(C105-1)) * 1.2))</f>
        <v>0</v>
      </c>
      <c r="D118" s="186">
        <f ca="1">MAX(0, MIN(1/3, (0.5 - ABS(D105-1)) * 1.2))</f>
        <v>0</v>
      </c>
      <c r="E118" s="187">
        <f ca="1">MAX(0, MIN(1/3, (0.5 - ABS(E105-1)) * 1.2))</f>
        <v>0</v>
      </c>
      <c r="F118" s="186">
        <f t="shared" ref="F118:M118" ca="1" si="41">MAX(0, MIN(1/3, (0.5 - ABS(F105-1)) * 1.2))</f>
        <v>0</v>
      </c>
      <c r="G118" s="187">
        <f t="shared" ca="1" si="41"/>
        <v>0</v>
      </c>
      <c r="H118" s="186">
        <f t="shared" ca="1" si="41"/>
        <v>0</v>
      </c>
      <c r="I118" s="187">
        <f t="shared" ca="1" si="41"/>
        <v>0</v>
      </c>
      <c r="J118" s="186">
        <f t="shared" ca="1" si="41"/>
        <v>0</v>
      </c>
      <c r="K118" s="187">
        <f t="shared" ca="1" si="41"/>
        <v>0</v>
      </c>
      <c r="L118" s="186">
        <f t="shared" ca="1" si="41"/>
        <v>0</v>
      </c>
      <c r="M118" s="187">
        <f t="shared" ca="1" si="41"/>
        <v>0</v>
      </c>
    </row>
    <row r="119" spans="1:13" x14ac:dyDescent="0.2">
      <c r="A119" s="144" t="s">
        <v>519</v>
      </c>
      <c r="B119" s="183">
        <f ca="1">((0 * B116) + (3.75 * B117) + (1 * B118) + (1 - B116 - B117 - B118) * ((B113 + B109) / 2)) * 1.025</f>
        <v>2.6018089725036178</v>
      </c>
      <c r="C119" s="185">
        <f t="shared" ref="C119:M119" ca="1" si="42">((0 * C116) + (3.75 * C117) + (1 * C118) + (1 - C116 - C117 - C118) * ((C113 + C109) / 2)) * 1.025</f>
        <v>2.6018089725036178</v>
      </c>
      <c r="D119" s="183">
        <f t="shared" ca="1" si="42"/>
        <v>2.8317293777134585</v>
      </c>
      <c r="E119" s="185">
        <f t="shared" ca="1" si="42"/>
        <v>2.8317293777134585</v>
      </c>
      <c r="F119" s="183">
        <f t="shared" ca="1" si="42"/>
        <v>2.4274854999547752</v>
      </c>
      <c r="G119" s="185">
        <f t="shared" ca="1" si="42"/>
        <v>2.4274854999547752</v>
      </c>
      <c r="H119" s="183">
        <f t="shared" ca="1" si="42"/>
        <v>2.9088639652677277</v>
      </c>
      <c r="I119" s="185">
        <f t="shared" ca="1" si="42"/>
        <v>2.9088639652677277</v>
      </c>
      <c r="J119" s="183">
        <f t="shared" ca="1" si="42"/>
        <v>2.4274854999547752</v>
      </c>
      <c r="K119" s="185">
        <f t="shared" ca="1" si="42"/>
        <v>2.4274854999547752</v>
      </c>
      <c r="L119" s="183">
        <f t="shared" ca="1" si="42"/>
        <v>3.3331041968162083</v>
      </c>
      <c r="M119" s="185">
        <f t="shared" ca="1" si="42"/>
        <v>3.3331041968162083</v>
      </c>
    </row>
    <row r="120" spans="1:13" x14ac:dyDescent="0.2">
      <c r="A120" s="1" t="s">
        <v>520</v>
      </c>
      <c r="B120" s="183"/>
      <c r="C120" s="185"/>
      <c r="D120" s="183"/>
      <c r="E120" s="185"/>
      <c r="F120" s="183"/>
      <c r="G120" s="185"/>
      <c r="H120" s="183"/>
      <c r="I120" s="185"/>
      <c r="J120" s="183"/>
      <c r="K120" s="185"/>
      <c r="L120" s="183"/>
      <c r="M120" s="185"/>
    </row>
    <row r="121" spans="1:13" x14ac:dyDescent="0.2">
      <c r="A121" s="144" t="s">
        <v>505</v>
      </c>
      <c r="B121" s="183">
        <f ca="1">B103+1</f>
        <v>3.5383502170767005</v>
      </c>
      <c r="C121" s="185">
        <f ca="1">C103+1</f>
        <v>3.5383502170767005</v>
      </c>
      <c r="D121" s="183">
        <f ca="1">D103+1</f>
        <v>3.7626628075253254</v>
      </c>
      <c r="E121" s="185">
        <f ca="1">E103+1</f>
        <v>3.7626628075253254</v>
      </c>
      <c r="F121" s="183">
        <f t="shared" ref="F121:M121" ca="1" si="43">F103+1</f>
        <v>3.3719247467438493</v>
      </c>
      <c r="G121" s="185">
        <f t="shared" ca="1" si="43"/>
        <v>3.3719247467438493</v>
      </c>
      <c r="H121" s="183">
        <f t="shared" ca="1" si="43"/>
        <v>3.837916063675832</v>
      </c>
      <c r="I121" s="185">
        <f t="shared" ca="1" si="43"/>
        <v>3.837916063675832</v>
      </c>
      <c r="J121" s="183">
        <f t="shared" ca="1" si="43"/>
        <v>3.3719247467438493</v>
      </c>
      <c r="K121" s="185">
        <f t="shared" ca="1" si="43"/>
        <v>3.3719247467438493</v>
      </c>
      <c r="L121" s="183">
        <f t="shared" ca="1" si="43"/>
        <v>4.2518089725036177</v>
      </c>
      <c r="M121" s="185">
        <f t="shared" ca="1" si="43"/>
        <v>4.2518089725036177</v>
      </c>
    </row>
    <row r="122" spans="1:13" x14ac:dyDescent="0.2">
      <c r="A122" s="144" t="s">
        <v>506</v>
      </c>
      <c r="B122" s="183">
        <f ca="1">B121+MIN(B121*(152/1024) - (752/1024), -0.375)</f>
        <v>3.1633502170767005</v>
      </c>
      <c r="C122" s="185">
        <f ca="1">C121+MIN(C121*(152/1024) - (752/1024), -0.375)</f>
        <v>3.1633502170767005</v>
      </c>
      <c r="D122" s="183">
        <f ca="1">D121+MIN(D121*(152/1024) - (752/1024), -0.375)</f>
        <v>3.3876628075253254</v>
      </c>
      <c r="E122" s="185">
        <f ca="1">E121+MIN(E121*(152/1024) - (752/1024), -0.375)</f>
        <v>3.3876628075253254</v>
      </c>
      <c r="F122" s="183">
        <f t="shared" ref="F122:M122" ca="1" si="44">F121+MIN(F121*(152/1024) - (752/1024), -0.375)</f>
        <v>2.9969247467438493</v>
      </c>
      <c r="G122" s="185">
        <f t="shared" ca="1" si="44"/>
        <v>2.9969247467438493</v>
      </c>
      <c r="H122" s="183">
        <f t="shared" ca="1" si="44"/>
        <v>3.462916063675832</v>
      </c>
      <c r="I122" s="185">
        <f t="shared" ca="1" si="44"/>
        <v>3.462916063675832</v>
      </c>
      <c r="J122" s="183">
        <f t="shared" ca="1" si="44"/>
        <v>2.9969247467438493</v>
      </c>
      <c r="K122" s="185">
        <f t="shared" ca="1" si="44"/>
        <v>2.9969247467438493</v>
      </c>
      <c r="L122" s="183">
        <f t="shared" ca="1" si="44"/>
        <v>3.8768089725036177</v>
      </c>
      <c r="M122" s="185">
        <f t="shared" ca="1" si="44"/>
        <v>3.8768089725036177</v>
      </c>
    </row>
    <row r="123" spans="1:13" x14ac:dyDescent="0.2">
      <c r="A123" s="144" t="s">
        <v>507</v>
      </c>
      <c r="B123" s="183">
        <f ca="1">B121+MIN(1-B121, B121*152/1024 - 448/1024)</f>
        <v>1</v>
      </c>
      <c r="C123" s="185">
        <f ca="1">C121+MIN(1-C121, C121*152/1024 - 448/1024)</f>
        <v>1</v>
      </c>
      <c r="D123" s="183">
        <f ca="1">D121+MIN(1-D121, D121*152/1024 - 448/1024)</f>
        <v>1</v>
      </c>
      <c r="E123" s="185">
        <f ca="1">E121+MIN(1-E121, E121*152/1024 - 448/1024)</f>
        <v>1</v>
      </c>
      <c r="F123" s="183">
        <f t="shared" ref="F123:M123" ca="1" si="45">F121+MIN(1-F121, F121*152/1024 - 448/1024)</f>
        <v>1</v>
      </c>
      <c r="G123" s="185">
        <f t="shared" ca="1" si="45"/>
        <v>1</v>
      </c>
      <c r="H123" s="183">
        <f t="shared" ca="1" si="45"/>
        <v>1</v>
      </c>
      <c r="I123" s="185">
        <f t="shared" ca="1" si="45"/>
        <v>1</v>
      </c>
      <c r="J123" s="183">
        <f t="shared" ca="1" si="45"/>
        <v>1</v>
      </c>
      <c r="K123" s="185">
        <f t="shared" ca="1" si="45"/>
        <v>1</v>
      </c>
      <c r="L123" s="183">
        <f t="shared" ca="1" si="45"/>
        <v>1</v>
      </c>
      <c r="M123" s="185">
        <f t="shared" ca="1" si="45"/>
        <v>1</v>
      </c>
    </row>
    <row r="124" spans="1:13" x14ac:dyDescent="0.2">
      <c r="A124" s="144" t="s">
        <v>508</v>
      </c>
      <c r="B124" s="183">
        <f ca="1">MAX(B122,B123)</f>
        <v>3.1633502170767005</v>
      </c>
      <c r="C124" s="185">
        <f ca="1">MAX(C122,C123)</f>
        <v>3.1633502170767005</v>
      </c>
      <c r="D124" s="183">
        <f ca="1">MAX(D122,D123)</f>
        <v>3.3876628075253254</v>
      </c>
      <c r="E124" s="185">
        <f ca="1">MAX(E122,E123)</f>
        <v>3.3876628075253254</v>
      </c>
      <c r="F124" s="183">
        <f t="shared" ref="F124:M124" ca="1" si="46">MAX(F122,F123)</f>
        <v>2.9969247467438493</v>
      </c>
      <c r="G124" s="185">
        <f t="shared" ca="1" si="46"/>
        <v>2.9969247467438493</v>
      </c>
      <c r="H124" s="183">
        <f t="shared" ca="1" si="46"/>
        <v>3.462916063675832</v>
      </c>
      <c r="I124" s="185">
        <f t="shared" ca="1" si="46"/>
        <v>3.462916063675832</v>
      </c>
      <c r="J124" s="183">
        <f t="shared" ca="1" si="46"/>
        <v>2.9969247467438493</v>
      </c>
      <c r="K124" s="185">
        <f t="shared" ca="1" si="46"/>
        <v>2.9969247467438493</v>
      </c>
      <c r="L124" s="183">
        <f t="shared" ca="1" si="46"/>
        <v>3.8768089725036177</v>
      </c>
      <c r="M124" s="185">
        <f t="shared" ca="1" si="46"/>
        <v>3.8768089725036177</v>
      </c>
    </row>
    <row r="125" spans="1:13" x14ac:dyDescent="0.2">
      <c r="A125" s="144" t="s">
        <v>509</v>
      </c>
      <c r="B125" s="183">
        <f ca="1">MAX(MAX(B122,B123), 0)</f>
        <v>3.1633502170767005</v>
      </c>
      <c r="C125" s="185">
        <f ca="1">MAX(MAX(C122,C123), 0)</f>
        <v>3.1633502170767005</v>
      </c>
      <c r="D125" s="183">
        <f ca="1">MAX(MAX(D122,D123), 0)</f>
        <v>3.3876628075253254</v>
      </c>
      <c r="E125" s="185">
        <f ca="1">MAX(MAX(E122,E123), 0)</f>
        <v>3.3876628075253254</v>
      </c>
      <c r="F125" s="183">
        <f t="shared" ref="F125:M125" ca="1" si="47">MAX(MAX(F122,F123), 0)</f>
        <v>2.9969247467438493</v>
      </c>
      <c r="G125" s="185">
        <f t="shared" ca="1" si="47"/>
        <v>2.9969247467438493</v>
      </c>
      <c r="H125" s="183">
        <f t="shared" ca="1" si="47"/>
        <v>3.462916063675832</v>
      </c>
      <c r="I125" s="185">
        <f t="shared" ca="1" si="47"/>
        <v>3.462916063675832</v>
      </c>
      <c r="J125" s="183">
        <f t="shared" ca="1" si="47"/>
        <v>2.9969247467438493</v>
      </c>
      <c r="K125" s="185">
        <f t="shared" ca="1" si="47"/>
        <v>2.9969247467438493</v>
      </c>
      <c r="L125" s="183">
        <f t="shared" ca="1" si="47"/>
        <v>3.8768089725036177</v>
      </c>
      <c r="M125" s="185">
        <f t="shared" ca="1" si="47"/>
        <v>3.8768089725036177</v>
      </c>
    </row>
    <row r="126" spans="1:13" x14ac:dyDescent="0.2">
      <c r="A126" s="144" t="s">
        <v>510</v>
      </c>
      <c r="B126" s="183">
        <f ca="1">B121 + MAX(MIN(B121 * 0.25, 0.375), 0.25)</f>
        <v>3.9133502170767005</v>
      </c>
      <c r="C126" s="185">
        <f ca="1">C121 + MAX(MIN(C121 * 0.25, 0.375), 0.25)</f>
        <v>3.9133502170767005</v>
      </c>
      <c r="D126" s="183">
        <f ca="1">D121 + MAX(MIN(D121 * 0.25, 0.375), 0.25)</f>
        <v>4.1376628075253254</v>
      </c>
      <c r="E126" s="185">
        <f ca="1">E121 + MAX(MIN(E121 * 0.25, 0.375), 0.25)</f>
        <v>4.1376628075253254</v>
      </c>
      <c r="F126" s="183">
        <f t="shared" ref="F126:M126" ca="1" si="48">F121 + MAX(MIN(F121 * 0.25, 0.375), 0.25)</f>
        <v>3.7469247467438493</v>
      </c>
      <c r="G126" s="185">
        <f t="shared" ca="1" si="48"/>
        <v>3.7469247467438493</v>
      </c>
      <c r="H126" s="183">
        <f t="shared" ca="1" si="48"/>
        <v>4.2129160636758325</v>
      </c>
      <c r="I126" s="185">
        <f t="shared" ca="1" si="48"/>
        <v>4.2129160636758325</v>
      </c>
      <c r="J126" s="183">
        <f t="shared" ca="1" si="48"/>
        <v>3.7469247467438493</v>
      </c>
      <c r="K126" s="185">
        <f t="shared" ca="1" si="48"/>
        <v>3.7469247467438493</v>
      </c>
      <c r="L126" s="183">
        <f t="shared" ca="1" si="48"/>
        <v>4.6268089725036177</v>
      </c>
      <c r="M126" s="185">
        <f t="shared" ca="1" si="48"/>
        <v>4.6268089725036177</v>
      </c>
    </row>
    <row r="127" spans="1:13" x14ac:dyDescent="0.2">
      <c r="A127" s="144" t="s">
        <v>511</v>
      </c>
      <c r="B127" s="183">
        <f ca="1">B121 + MIN(B121*341/1024 + 358/1024, 1-B121)</f>
        <v>1</v>
      </c>
      <c r="C127" s="185">
        <f ca="1">C121 + MIN(C121*341/1024 + 358/1024, 1-C121)</f>
        <v>1</v>
      </c>
      <c r="D127" s="183">
        <f ca="1">D121 + MIN(D121*341/1024 + 358/1024, 1-D121)</f>
        <v>1</v>
      </c>
      <c r="E127" s="185">
        <f ca="1">E121 + MIN(E121*341/1024 + 358/1024, 1-E121)</f>
        <v>1</v>
      </c>
      <c r="F127" s="183">
        <f t="shared" ref="F127:M127" ca="1" si="49">F121 + MIN(F121*341/1024 + 358/1024, 1-F121)</f>
        <v>1</v>
      </c>
      <c r="G127" s="185">
        <f t="shared" ca="1" si="49"/>
        <v>1</v>
      </c>
      <c r="H127" s="183">
        <f t="shared" ca="1" si="49"/>
        <v>1</v>
      </c>
      <c r="I127" s="185">
        <f t="shared" ca="1" si="49"/>
        <v>1</v>
      </c>
      <c r="J127" s="183">
        <f t="shared" ca="1" si="49"/>
        <v>1</v>
      </c>
      <c r="K127" s="185">
        <f t="shared" ca="1" si="49"/>
        <v>1</v>
      </c>
      <c r="L127" s="183">
        <f t="shared" ca="1" si="49"/>
        <v>1</v>
      </c>
      <c r="M127" s="185">
        <f t="shared" ca="1" si="49"/>
        <v>1</v>
      </c>
    </row>
    <row r="128" spans="1:13" x14ac:dyDescent="0.2">
      <c r="A128" s="144" t="s">
        <v>512</v>
      </c>
      <c r="B128" s="183">
        <f ca="1">MAX(B126,B127)</f>
        <v>3.9133502170767005</v>
      </c>
      <c r="C128" s="185">
        <f ca="1">MAX(C126,C127)</f>
        <v>3.9133502170767005</v>
      </c>
      <c r="D128" s="183">
        <f ca="1">MAX(D126,D127)</f>
        <v>4.1376628075253254</v>
      </c>
      <c r="E128" s="185">
        <f ca="1">MAX(E126,E127)</f>
        <v>4.1376628075253254</v>
      </c>
      <c r="F128" s="183">
        <f t="shared" ref="F128:M128" ca="1" si="50">MAX(F126,F127)</f>
        <v>3.7469247467438493</v>
      </c>
      <c r="G128" s="185">
        <f t="shared" ca="1" si="50"/>
        <v>3.7469247467438493</v>
      </c>
      <c r="H128" s="183">
        <f t="shared" ca="1" si="50"/>
        <v>4.2129160636758325</v>
      </c>
      <c r="I128" s="185">
        <f t="shared" ca="1" si="50"/>
        <v>4.2129160636758325</v>
      </c>
      <c r="J128" s="183">
        <f t="shared" ca="1" si="50"/>
        <v>3.7469247467438493</v>
      </c>
      <c r="K128" s="185">
        <f t="shared" ca="1" si="50"/>
        <v>3.7469247467438493</v>
      </c>
      <c r="L128" s="183">
        <f t="shared" ca="1" si="50"/>
        <v>4.6268089725036177</v>
      </c>
      <c r="M128" s="185">
        <f t="shared" ca="1" si="50"/>
        <v>4.6268089725036177</v>
      </c>
    </row>
    <row r="129" spans="1:13" x14ac:dyDescent="0.2">
      <c r="A129" s="144" t="s">
        <v>513</v>
      </c>
      <c r="B129" s="183">
        <f ca="1">MIN(MAX(B126,B127), 4.75)</f>
        <v>3.9133502170767005</v>
      </c>
      <c r="C129" s="185">
        <f t="shared" ref="C129:M129" ca="1" si="51">MIN(MAX(C126,C127), 4.75)</f>
        <v>3.9133502170767005</v>
      </c>
      <c r="D129" s="183">
        <f t="shared" ca="1" si="51"/>
        <v>4.1376628075253254</v>
      </c>
      <c r="E129" s="185">
        <f t="shared" ca="1" si="51"/>
        <v>4.1376628075253254</v>
      </c>
      <c r="F129" s="183">
        <f t="shared" ca="1" si="51"/>
        <v>3.7469247467438493</v>
      </c>
      <c r="G129" s="185">
        <f t="shared" ca="1" si="51"/>
        <v>3.7469247467438493</v>
      </c>
      <c r="H129" s="183">
        <f t="shared" ca="1" si="51"/>
        <v>4.2129160636758325</v>
      </c>
      <c r="I129" s="185">
        <f t="shared" ca="1" si="51"/>
        <v>4.2129160636758325</v>
      </c>
      <c r="J129" s="183">
        <f t="shared" ca="1" si="51"/>
        <v>3.7469247467438493</v>
      </c>
      <c r="K129" s="185">
        <f t="shared" ca="1" si="51"/>
        <v>3.7469247467438493</v>
      </c>
      <c r="L129" s="183">
        <f t="shared" ca="1" si="51"/>
        <v>4.6268089725036177</v>
      </c>
      <c r="M129" s="185">
        <f t="shared" ca="1" si="51"/>
        <v>4.6268089725036177</v>
      </c>
    </row>
    <row r="130" spans="1:13" x14ac:dyDescent="0.2">
      <c r="A130" s="144" t="s">
        <v>514</v>
      </c>
      <c r="B130" s="183">
        <f t="shared" ref="B130:E131" ca="1" si="52">B128-B124</f>
        <v>0.75</v>
      </c>
      <c r="C130" s="185">
        <f t="shared" ca="1" si="52"/>
        <v>0.75</v>
      </c>
      <c r="D130" s="183">
        <f t="shared" ca="1" si="52"/>
        <v>0.75</v>
      </c>
      <c r="E130" s="185">
        <f t="shared" ca="1" si="52"/>
        <v>0.75</v>
      </c>
      <c r="F130" s="183">
        <f t="shared" ref="F130:M130" ca="1" si="53">F128-F124</f>
        <v>0.75</v>
      </c>
      <c r="G130" s="185">
        <f t="shared" ca="1" si="53"/>
        <v>0.75</v>
      </c>
      <c r="H130" s="183">
        <f t="shared" ca="1" si="53"/>
        <v>0.75000000000000044</v>
      </c>
      <c r="I130" s="185">
        <f t="shared" ca="1" si="53"/>
        <v>0.75000000000000044</v>
      </c>
      <c r="J130" s="183">
        <f t="shared" ca="1" si="53"/>
        <v>0.75</v>
      </c>
      <c r="K130" s="185">
        <f t="shared" ca="1" si="53"/>
        <v>0.75</v>
      </c>
      <c r="L130" s="183">
        <f t="shared" ca="1" si="53"/>
        <v>0.75</v>
      </c>
      <c r="M130" s="185">
        <f t="shared" ca="1" si="53"/>
        <v>0.75</v>
      </c>
    </row>
    <row r="131" spans="1:13" x14ac:dyDescent="0.2">
      <c r="A131" s="144" t="s">
        <v>515</v>
      </c>
      <c r="B131" s="183">
        <f t="shared" ca="1" si="52"/>
        <v>0.75</v>
      </c>
      <c r="C131" s="185">
        <f t="shared" ca="1" si="52"/>
        <v>0.75</v>
      </c>
      <c r="D131" s="183">
        <f t="shared" ca="1" si="52"/>
        <v>0.75</v>
      </c>
      <c r="E131" s="185">
        <f t="shared" ca="1" si="52"/>
        <v>0.75</v>
      </c>
      <c r="F131" s="183">
        <f t="shared" ref="F131:M131" ca="1" si="54">F129-F125</f>
        <v>0.75</v>
      </c>
      <c r="G131" s="185">
        <f t="shared" ca="1" si="54"/>
        <v>0.75</v>
      </c>
      <c r="H131" s="183">
        <f t="shared" ca="1" si="54"/>
        <v>0.75000000000000044</v>
      </c>
      <c r="I131" s="185">
        <f t="shared" ca="1" si="54"/>
        <v>0.75000000000000044</v>
      </c>
      <c r="J131" s="183">
        <f t="shared" ca="1" si="54"/>
        <v>0.75</v>
      </c>
      <c r="K131" s="185">
        <f t="shared" ca="1" si="54"/>
        <v>0.75</v>
      </c>
      <c r="L131" s="183">
        <f t="shared" ca="1" si="54"/>
        <v>0.75</v>
      </c>
      <c r="M131" s="185">
        <f t="shared" ca="1" si="54"/>
        <v>0.75</v>
      </c>
    </row>
    <row r="132" spans="1:13" x14ac:dyDescent="0.2">
      <c r="A132" s="144" t="s">
        <v>516</v>
      </c>
      <c r="B132" s="188">
        <f ca="1">IF(B124&lt;0, 1-(B131/B130), 0)</f>
        <v>0</v>
      </c>
      <c r="C132" s="189">
        <f ca="1">IF(C124&lt;0, 1-(C131/C130), 0)</f>
        <v>0</v>
      </c>
      <c r="D132" s="188">
        <f ca="1">IF(D124&lt;0, 1-(D131/D130), 0)</f>
        <v>0</v>
      </c>
      <c r="E132" s="189">
        <f ca="1">IF(E124&lt;0, 1-(E131/E130), 0)</f>
        <v>0</v>
      </c>
      <c r="F132" s="188">
        <f t="shared" ref="F132:M132" ca="1" si="55">IF(F124&lt;0, 1-(F131/F130), 0)</f>
        <v>0</v>
      </c>
      <c r="G132" s="189">
        <f t="shared" ca="1" si="55"/>
        <v>0</v>
      </c>
      <c r="H132" s="188">
        <f t="shared" ca="1" si="55"/>
        <v>0</v>
      </c>
      <c r="I132" s="189">
        <f t="shared" ca="1" si="55"/>
        <v>0</v>
      </c>
      <c r="J132" s="188">
        <f t="shared" ca="1" si="55"/>
        <v>0</v>
      </c>
      <c r="K132" s="189">
        <f t="shared" ca="1" si="55"/>
        <v>0</v>
      </c>
      <c r="L132" s="188">
        <f t="shared" ca="1" si="55"/>
        <v>0</v>
      </c>
      <c r="M132" s="189">
        <f t="shared" ca="1" si="55"/>
        <v>0</v>
      </c>
    </row>
    <row r="133" spans="1:13" x14ac:dyDescent="0.2">
      <c r="A133" s="144" t="s">
        <v>517</v>
      </c>
      <c r="B133" s="188">
        <f ca="1">IF(B128&gt;4.75, 1-(B131/B130), 0)</f>
        <v>0</v>
      </c>
      <c r="C133" s="189">
        <f t="shared" ref="C133:M133" ca="1" si="56">IF(C128&gt;4.75, 1-(C131/C130), 0)</f>
        <v>0</v>
      </c>
      <c r="D133" s="188">
        <f t="shared" ca="1" si="56"/>
        <v>0</v>
      </c>
      <c r="E133" s="189">
        <f t="shared" ca="1" si="56"/>
        <v>0</v>
      </c>
      <c r="F133" s="188">
        <f t="shared" ca="1" si="56"/>
        <v>0</v>
      </c>
      <c r="G133" s="189">
        <f t="shared" ca="1" si="56"/>
        <v>0</v>
      </c>
      <c r="H133" s="188">
        <f t="shared" ca="1" si="56"/>
        <v>0</v>
      </c>
      <c r="I133" s="189">
        <f t="shared" ca="1" si="56"/>
        <v>0</v>
      </c>
      <c r="J133" s="188">
        <f t="shared" ca="1" si="56"/>
        <v>0</v>
      </c>
      <c r="K133" s="189">
        <f t="shared" ca="1" si="56"/>
        <v>0</v>
      </c>
      <c r="L133" s="188">
        <f t="shared" ca="1" si="56"/>
        <v>0</v>
      </c>
      <c r="M133" s="189">
        <f t="shared" ca="1" si="56"/>
        <v>0</v>
      </c>
    </row>
    <row r="134" spans="1:13" x14ac:dyDescent="0.2">
      <c r="A134" s="144" t="s">
        <v>518</v>
      </c>
      <c r="B134" s="188">
        <f ca="1">MAX(0, MIN(1/3, (0.5 - ABS(B121-1)) * 1.2))</f>
        <v>0</v>
      </c>
      <c r="C134" s="189">
        <f ca="1">MAX(0, MIN(1/3, (0.5 - ABS(C121-1)) * 1.2))</f>
        <v>0</v>
      </c>
      <c r="D134" s="188">
        <f ca="1">MAX(0, MIN(1/3, (0.5 - ABS(D121-1)) * 1.2))</f>
        <v>0</v>
      </c>
      <c r="E134" s="189">
        <f ca="1">MAX(0, MIN(1/3, (0.5 - ABS(E121-1)) * 1.2))</f>
        <v>0</v>
      </c>
      <c r="F134" s="188">
        <f t="shared" ref="F134:M134" ca="1" si="57">MAX(0, MIN(1/3, (0.5 - ABS(F121-1)) * 1.2))</f>
        <v>0</v>
      </c>
      <c r="G134" s="189">
        <f t="shared" ca="1" si="57"/>
        <v>0</v>
      </c>
      <c r="H134" s="188">
        <f t="shared" ca="1" si="57"/>
        <v>0</v>
      </c>
      <c r="I134" s="189">
        <f t="shared" ca="1" si="57"/>
        <v>0</v>
      </c>
      <c r="J134" s="188">
        <f t="shared" ca="1" si="57"/>
        <v>0</v>
      </c>
      <c r="K134" s="189">
        <f t="shared" ca="1" si="57"/>
        <v>0</v>
      </c>
      <c r="L134" s="188">
        <f t="shared" ca="1" si="57"/>
        <v>0</v>
      </c>
      <c r="M134" s="189">
        <f t="shared" ca="1" si="57"/>
        <v>0</v>
      </c>
    </row>
    <row r="135" spans="1:13" x14ac:dyDescent="0.2">
      <c r="A135" s="179" t="s">
        <v>521</v>
      </c>
      <c r="B135" s="190">
        <f ca="1">((0 * B132) + (4.75 * B133) + (1 * B134) + (1 - B132 - B133 - B134) * ((B129 + B125) / 2)) * 1.025</f>
        <v>3.6268089725036177</v>
      </c>
      <c r="C135" s="191">
        <f t="shared" ref="C135:M135" ca="1" si="58">((0 * C132) + (4.75 * C133) + (1 * C134) + (1 - C132 - C133 - C134) * ((C129 + C125) / 2)) * 1.025</f>
        <v>3.6268089725036177</v>
      </c>
      <c r="D135" s="190">
        <f t="shared" ca="1" si="58"/>
        <v>3.8567293777134584</v>
      </c>
      <c r="E135" s="191">
        <f t="shared" ca="1" si="58"/>
        <v>3.8567293777134584</v>
      </c>
      <c r="F135" s="190">
        <f t="shared" ca="1" si="58"/>
        <v>3.4562228654124452</v>
      </c>
      <c r="G135" s="191">
        <f t="shared" ca="1" si="58"/>
        <v>3.4562228654124452</v>
      </c>
      <c r="H135" s="190">
        <f t="shared" ca="1" si="58"/>
        <v>3.9338639652677281</v>
      </c>
      <c r="I135" s="191">
        <f t="shared" ca="1" si="58"/>
        <v>3.9338639652677281</v>
      </c>
      <c r="J135" s="190">
        <f t="shared" ca="1" si="58"/>
        <v>3.4562228654124452</v>
      </c>
      <c r="K135" s="191">
        <f t="shared" ca="1" si="58"/>
        <v>3.4562228654124452</v>
      </c>
      <c r="L135" s="190">
        <f t="shared" ca="1" si="58"/>
        <v>4.3581041968162078</v>
      </c>
      <c r="M135" s="191">
        <f t="shared" ca="1" si="58"/>
        <v>4.3581041968162078</v>
      </c>
    </row>
    <row r="136" spans="1:13" x14ac:dyDescent="0.2">
      <c r="A136" t="s">
        <v>127</v>
      </c>
      <c r="B136" s="4">
        <f ca="1">$G13</f>
        <v>333</v>
      </c>
      <c r="C136" s="52">
        <f ca="1">$H13</f>
        <v>333</v>
      </c>
      <c r="D136" s="4">
        <f ca="1">$G13</f>
        <v>333</v>
      </c>
      <c r="E136" s="52">
        <f ca="1">$H13</f>
        <v>333</v>
      </c>
      <c r="F136" s="4">
        <f ca="1">$G13</f>
        <v>333</v>
      </c>
      <c r="G136" s="52">
        <f ca="1">$H13</f>
        <v>333</v>
      </c>
      <c r="H136" s="4">
        <f ca="1">$G13</f>
        <v>333</v>
      </c>
      <c r="I136" s="52">
        <f ca="1">$H13</f>
        <v>333</v>
      </c>
      <c r="J136" s="4">
        <f ca="1">$G13</f>
        <v>333</v>
      </c>
      <c r="K136" s="52">
        <f ca="1">$H13</f>
        <v>333</v>
      </c>
      <c r="L136" s="4">
        <f ca="1">$G13</f>
        <v>333</v>
      </c>
      <c r="M136" s="196">
        <f ca="1">$H13</f>
        <v>333</v>
      </c>
    </row>
    <row r="137" spans="1:13" x14ac:dyDescent="0.2">
      <c r="A137" t="s">
        <v>165</v>
      </c>
      <c r="B137" s="4">
        <f t="shared" ref="B137:M137" ca="1" si="59">FLOOR(B136/9,1)</f>
        <v>37</v>
      </c>
      <c r="C137" s="52">
        <f t="shared" ca="1" si="59"/>
        <v>37</v>
      </c>
      <c r="D137" s="4">
        <f t="shared" ca="1" si="59"/>
        <v>37</v>
      </c>
      <c r="E137" s="52">
        <f t="shared" ca="1" si="59"/>
        <v>37</v>
      </c>
      <c r="F137" s="4">
        <f t="shared" ca="1" si="59"/>
        <v>37</v>
      </c>
      <c r="G137" s="52">
        <f t="shared" ca="1" si="59"/>
        <v>37</v>
      </c>
      <c r="H137" s="4">
        <f t="shared" ca="1" si="59"/>
        <v>37</v>
      </c>
      <c r="I137" s="52">
        <f t="shared" ca="1" si="59"/>
        <v>37</v>
      </c>
      <c r="J137" s="4">
        <f t="shared" ca="1" si="59"/>
        <v>37</v>
      </c>
      <c r="K137" s="52">
        <f t="shared" ca="1" si="59"/>
        <v>37</v>
      </c>
      <c r="L137" s="4">
        <f t="shared" ca="1" si="59"/>
        <v>37</v>
      </c>
      <c r="M137" s="52">
        <f t="shared" ca="1" si="59"/>
        <v>37</v>
      </c>
    </row>
    <row r="138" spans="1:13" x14ac:dyDescent="0.2">
      <c r="A138" t="s">
        <v>490</v>
      </c>
      <c r="B138" s="11">
        <f t="shared" ref="B138:M138" ca="1" si="60">B35-$L$6</f>
        <v>49</v>
      </c>
      <c r="C138" s="123">
        <f t="shared" ca="1" si="60"/>
        <v>49</v>
      </c>
      <c r="D138" s="11">
        <f t="shared" ca="1" si="60"/>
        <v>54</v>
      </c>
      <c r="E138" s="123">
        <f t="shared" ca="1" si="60"/>
        <v>54</v>
      </c>
      <c r="F138" s="11">
        <f t="shared" ca="1" si="60"/>
        <v>-37</v>
      </c>
      <c r="G138" s="123">
        <f t="shared" ca="1" si="60"/>
        <v>-37</v>
      </c>
      <c r="H138" s="11">
        <f t="shared" ca="1" si="60"/>
        <v>-38</v>
      </c>
      <c r="I138" s="123">
        <f t="shared" ca="1" si="60"/>
        <v>-38</v>
      </c>
      <c r="J138" s="11">
        <f t="shared" ca="1" si="60"/>
        <v>-37</v>
      </c>
      <c r="K138" s="123">
        <f t="shared" ca="1" si="60"/>
        <v>-37</v>
      </c>
      <c r="L138" s="11">
        <f t="shared" ca="1" si="60"/>
        <v>-37</v>
      </c>
      <c r="M138" s="123">
        <f t="shared" ca="1" si="60"/>
        <v>-37</v>
      </c>
    </row>
    <row r="139" spans="1:13" x14ac:dyDescent="0.2">
      <c r="A139" t="s">
        <v>491</v>
      </c>
      <c r="B139" s="11">
        <f ca="1">IF(B138&lt;20, TRUNC(8 - B138/5), 4)</f>
        <v>4</v>
      </c>
      <c r="C139" s="123">
        <f t="shared" ref="C139:M139" ca="1" si="61">IF(C138&lt;20, TRUNC(8 - C138/5), 4)</f>
        <v>4</v>
      </c>
      <c r="D139" s="11">
        <f t="shared" ca="1" si="61"/>
        <v>4</v>
      </c>
      <c r="E139" s="123">
        <f t="shared" ca="1" si="61"/>
        <v>4</v>
      </c>
      <c r="F139" s="11">
        <f t="shared" ca="1" si="61"/>
        <v>15</v>
      </c>
      <c r="G139" s="123">
        <f t="shared" ca="1" si="61"/>
        <v>15</v>
      </c>
      <c r="H139" s="11">
        <f t="shared" ca="1" si="61"/>
        <v>15</v>
      </c>
      <c r="I139" s="123">
        <f t="shared" ca="1" si="61"/>
        <v>15</v>
      </c>
      <c r="J139" s="11">
        <f t="shared" ca="1" si="61"/>
        <v>15</v>
      </c>
      <c r="K139" s="123">
        <f t="shared" ca="1" si="61"/>
        <v>15</v>
      </c>
      <c r="L139" s="11">
        <f t="shared" ca="1" si="61"/>
        <v>15</v>
      </c>
      <c r="M139" s="123">
        <f t="shared" ca="1" si="61"/>
        <v>15</v>
      </c>
    </row>
    <row r="140" spans="1:13" x14ac:dyDescent="0.2">
      <c r="A140" t="s">
        <v>166</v>
      </c>
      <c r="B140" s="144">
        <f ca="1">TRUNC(MAX(MIN(TRUNC((B138+B139)/2), (8+B137)*2), (0-B137)*2)/2)</f>
        <v>13</v>
      </c>
      <c r="C140" s="176">
        <f t="shared" ref="C140:M140" ca="1" si="62">TRUNC(MAX(MIN(TRUNC((C138+C139)/2), (8+C137)*2), (0-C137)*2)/2)</f>
        <v>13</v>
      </c>
      <c r="D140" s="144">
        <f t="shared" ca="1" si="62"/>
        <v>14</v>
      </c>
      <c r="E140" s="176">
        <f t="shared" ca="1" si="62"/>
        <v>14</v>
      </c>
      <c r="F140" s="144">
        <f t="shared" ca="1" si="62"/>
        <v>-5</v>
      </c>
      <c r="G140" s="176">
        <f t="shared" ca="1" si="62"/>
        <v>-5</v>
      </c>
      <c r="H140" s="144">
        <f t="shared" ca="1" si="62"/>
        <v>-5</v>
      </c>
      <c r="I140" s="176">
        <f t="shared" ca="1" si="62"/>
        <v>-5</v>
      </c>
      <c r="J140" s="144">
        <f t="shared" ca="1" si="62"/>
        <v>-5</v>
      </c>
      <c r="K140" s="176">
        <f t="shared" ca="1" si="62"/>
        <v>-5</v>
      </c>
      <c r="L140" s="144">
        <f t="shared" ca="1" si="62"/>
        <v>-5</v>
      </c>
      <c r="M140" s="176">
        <f t="shared" ca="1" si="62"/>
        <v>-5</v>
      </c>
    </row>
    <row r="141" spans="1:13" x14ac:dyDescent="0.2">
      <c r="A141" t="s">
        <v>777</v>
      </c>
      <c r="B141" s="144">
        <f>IF(Setup!$F$10=1,Setup!$B$22,0)</f>
        <v>0</v>
      </c>
      <c r="C141" s="176">
        <f>IF(Setup!$G$10=1,Setup!$C$22,0)</f>
        <v>0</v>
      </c>
      <c r="D141" s="144">
        <f>IF(Setup!$F$10=1,Setup!$B$22,0)</f>
        <v>0</v>
      </c>
      <c r="E141" s="176">
        <f>IF(Setup!$G$10=1,Setup!$C$22,0)</f>
        <v>0</v>
      </c>
      <c r="F141" s="144">
        <f>IF(Setup!$F$10=1,Setup!$B$22,0)</f>
        <v>0</v>
      </c>
      <c r="G141" s="176">
        <f>IF(Setup!$G$10=1,Setup!$C$22,0)</f>
        <v>0</v>
      </c>
      <c r="H141" s="144">
        <f>IF(Setup!$F$10=1,Setup!$B$22,0)</f>
        <v>0</v>
      </c>
      <c r="I141" s="176">
        <f>IF(Setup!$G$10=1,Setup!$C$22,0)</f>
        <v>0</v>
      </c>
      <c r="J141" s="144">
        <f>IF(Setup!$F$10=1,Setup!$B$22,0)</f>
        <v>0</v>
      </c>
      <c r="K141" s="176">
        <f>IF(Setup!$G$10=1,Setup!$C$22,0)</f>
        <v>0</v>
      </c>
      <c r="L141" s="144">
        <f>IF(Setup!$F$10=1,Setup!$B$22,0)</f>
        <v>0</v>
      </c>
      <c r="M141" s="176">
        <f>IF(Setup!$G$10=1,Setup!$C$22,0)</f>
        <v>0</v>
      </c>
    </row>
    <row r="142" spans="1:13" x14ac:dyDescent="0.2">
      <c r="A142" s="28" t="s">
        <v>167</v>
      </c>
      <c r="B142" s="28">
        <f ca="1">B136+B140+B141</f>
        <v>346</v>
      </c>
      <c r="C142" s="95">
        <f t="shared" ref="C142:M142" ca="1" si="63">C136+C140+C141</f>
        <v>346</v>
      </c>
      <c r="D142" s="28">
        <f t="shared" ca="1" si="63"/>
        <v>347</v>
      </c>
      <c r="E142" s="95">
        <f t="shared" ca="1" si="63"/>
        <v>347</v>
      </c>
      <c r="F142" s="28">
        <f t="shared" ca="1" si="63"/>
        <v>328</v>
      </c>
      <c r="G142" s="95">
        <f t="shared" ca="1" si="63"/>
        <v>328</v>
      </c>
      <c r="H142" s="28">
        <f t="shared" ca="1" si="63"/>
        <v>328</v>
      </c>
      <c r="I142" s="95">
        <f t="shared" ca="1" si="63"/>
        <v>328</v>
      </c>
      <c r="J142" s="28">
        <f t="shared" ca="1" si="63"/>
        <v>328</v>
      </c>
      <c r="K142" s="95">
        <f t="shared" ca="1" si="63"/>
        <v>328</v>
      </c>
      <c r="L142" s="28">
        <f t="shared" ca="1" si="63"/>
        <v>328</v>
      </c>
      <c r="M142" s="95">
        <f t="shared" ca="1" si="63"/>
        <v>328</v>
      </c>
    </row>
    <row r="143" spans="1:13" x14ac:dyDescent="0.2">
      <c r="A143" s="28" t="s">
        <v>133</v>
      </c>
      <c r="B143" s="27" t="s">
        <v>68</v>
      </c>
      <c r="C143" s="27" t="s">
        <v>69</v>
      </c>
      <c r="D143" s="29" t="s">
        <v>100</v>
      </c>
      <c r="E143" s="30" t="s">
        <v>101</v>
      </c>
      <c r="F143" s="27" t="s">
        <v>138</v>
      </c>
      <c r="G143" s="27" t="s">
        <v>139</v>
      </c>
      <c r="H143" s="29" t="s">
        <v>140</v>
      </c>
      <c r="I143" s="30" t="s">
        <v>141</v>
      </c>
      <c r="J143" s="27" t="s">
        <v>142</v>
      </c>
      <c r="K143" s="27" t="s">
        <v>143</v>
      </c>
      <c r="L143" s="29" t="s">
        <v>144</v>
      </c>
      <c r="M143" s="30" t="s">
        <v>145</v>
      </c>
    </row>
    <row r="144" spans="1:13" x14ac:dyDescent="0.2">
      <c r="A144" s="141" t="s">
        <v>433</v>
      </c>
      <c r="B144" s="159">
        <f>TRUNC(MAX(0, Setup!J11-300)/10) + 20</f>
        <v>40</v>
      </c>
      <c r="C144" s="159">
        <f>TRUNC(MAX(0, Setup!K11-300)/10) + 20</f>
        <v>40</v>
      </c>
      <c r="D144" s="160"/>
      <c r="E144" s="161"/>
      <c r="F144" s="159"/>
      <c r="G144" s="198"/>
      <c r="H144" s="159"/>
      <c r="I144" s="161"/>
      <c r="J144" s="159"/>
      <c r="K144" s="198"/>
      <c r="L144" s="159"/>
      <c r="M144" s="161"/>
    </row>
    <row r="145" spans="1:13" x14ac:dyDescent="0.2">
      <c r="A145" s="141" t="s">
        <v>434</v>
      </c>
      <c r="B145" s="159">
        <f>IF(Setup!J16&lt;150, MAX(1, TRUNC(SQRT(Setup!J16))-1), TRUNC(Setup!J16/20)+5)</f>
        <v>30</v>
      </c>
      <c r="C145" s="159">
        <f>IF(Setup!K16&lt;150, MAX(1, TRUNC(SQRT(Setup!K16))-1), TRUNC(Setup!K16/20)+5)</f>
        <v>30</v>
      </c>
      <c r="D145" s="160"/>
      <c r="E145" s="161"/>
      <c r="F145" s="159"/>
      <c r="G145" s="198"/>
      <c r="H145" s="159"/>
      <c r="I145" s="161"/>
      <c r="J145" s="159"/>
      <c r="K145" s="198"/>
      <c r="L145" s="159"/>
      <c r="M145" s="161"/>
    </row>
    <row r="146" spans="1:13" x14ac:dyDescent="0.2">
      <c r="A146" s="91" t="s">
        <v>435</v>
      </c>
      <c r="B146" s="162">
        <f>IF(Setup!J12=1, B144, IF(Setup!J18=1, B145, 0))</f>
        <v>0</v>
      </c>
      <c r="C146" s="164">
        <f>IF(Setup!K12=1, C144, IF(Setup!K18=1, C145, 0))</f>
        <v>0</v>
      </c>
      <c r="D146" s="162"/>
      <c r="E146" s="163"/>
      <c r="F146" s="162"/>
      <c r="G146" s="164"/>
      <c r="H146" s="162"/>
      <c r="I146" s="163"/>
      <c r="J146" s="162"/>
      <c r="K146" s="164"/>
      <c r="L146" s="162"/>
      <c r="M146" s="163"/>
    </row>
    <row r="147" spans="1:13" x14ac:dyDescent="0.2">
      <c r="A147" s="141" t="s">
        <v>1498</v>
      </c>
      <c r="B147" s="233">
        <f>$B$24+$C$24+(Setup!$F$48*(MIN(1,Setup!$F$42)))</f>
        <v>0</v>
      </c>
      <c r="C147" s="234">
        <f>$B$24+$D$24+(Setup!$G$48*(MIN(1,Setup!$G$42)))</f>
        <v>0</v>
      </c>
      <c r="D147" s="233">
        <f>$B$24+$C$24+(Setup!$F$48*(MIN(1,Setup!$F$42)))</f>
        <v>0</v>
      </c>
      <c r="E147" s="234">
        <f>$B$24+$D$24+(Setup!$G$48*(MIN(1,Setup!$G$42)))</f>
        <v>0</v>
      </c>
      <c r="F147" s="233">
        <f>$B$24+$C$24+(Setup!$F$48*(MIN(1,Setup!$F$42)))</f>
        <v>0</v>
      </c>
      <c r="G147" s="234">
        <f>$B$24+$D$24+(Setup!$G$48*(MIN(1,Setup!$G$42)))</f>
        <v>0</v>
      </c>
      <c r="H147" s="233">
        <f>$B$24+$C$24+(Setup!$F$48*(MIN(1,Setup!$F$42)))</f>
        <v>0</v>
      </c>
      <c r="I147" s="234">
        <f>$B$24+$D$24+(Setup!$G$48*(MIN(1,Setup!$G$42)))</f>
        <v>0</v>
      </c>
      <c r="J147" s="233">
        <f>$B$24+$C$24+(Setup!$F$48*(MIN(1,Setup!$F$42)))</f>
        <v>0</v>
      </c>
      <c r="K147" s="234">
        <f>$B$24+$D$24+(Setup!$G$48*(MIN(1,Setup!$G$42)))</f>
        <v>0</v>
      </c>
      <c r="L147" s="233">
        <f>$B$24+$C$24+(Setup!$F$48*(MIN(1,Setup!$F$42)))</f>
        <v>0</v>
      </c>
      <c r="M147" s="234">
        <f>$B$24+$D$24+(Setup!$G$48*(MIN(1,Setup!$G$42)))</f>
        <v>0</v>
      </c>
    </row>
    <row r="148" spans="1:13" x14ac:dyDescent="0.2">
      <c r="A148" s="141" t="s">
        <v>1500</v>
      </c>
      <c r="B148" s="233">
        <f t="shared" ref="B148:M148" si="64">VALUE(IF($L$11="Other",0,IF(AND(LEFT($E$1,6)="Cookie",COUNTIF(Cookie,$L$11)&gt;0),IF($E$1="Cookie",10,12),IF(LEFT( VLOOKUP($E$1,Food,MATCH("Killer",FoodHeader,0),FALSE),LEN($L$11))=$L$11,
MID( VLOOKUP($E$1,Food,MATCH("Killer",FoodHeader,0),FALSE),LEN($L$11)+2,2),0))))</f>
        <v>0</v>
      </c>
      <c r="C148" s="236">
        <f t="shared" si="64"/>
        <v>0</v>
      </c>
      <c r="D148" s="233">
        <f t="shared" si="64"/>
        <v>0</v>
      </c>
      <c r="E148" s="236">
        <f t="shared" si="64"/>
        <v>0</v>
      </c>
      <c r="F148" s="233">
        <f t="shared" si="64"/>
        <v>0</v>
      </c>
      <c r="G148" s="236">
        <f t="shared" si="64"/>
        <v>0</v>
      </c>
      <c r="H148" s="233">
        <f t="shared" si="64"/>
        <v>0</v>
      </c>
      <c r="I148" s="236">
        <f t="shared" si="64"/>
        <v>0</v>
      </c>
      <c r="J148" s="233">
        <f t="shared" si="64"/>
        <v>0</v>
      </c>
      <c r="K148" s="236">
        <f t="shared" si="64"/>
        <v>0</v>
      </c>
      <c r="L148" s="233">
        <f t="shared" si="64"/>
        <v>0</v>
      </c>
      <c r="M148" s="236">
        <f t="shared" si="64"/>
        <v>0</v>
      </c>
    </row>
    <row r="149" spans="1:13" x14ac:dyDescent="0.2">
      <c r="A149" s="141" t="s">
        <v>1499</v>
      </c>
      <c r="B149" s="159">
        <f>IF(LEFT(Gear!B6,9)="Founder's",2,0)+IF(LEFT(Gear!B11,9)="Founder's",2,0)+IF(LEFT(Gear!B16,9)="Founder's",2,0)+IF(LEFT(Gear!B17,9)="Founder's",2,0)+IF($L$11="Dragon",IF(Gear!$B$3="Habile Mazrak",20,IF(LEFT(Gear!$B$3,9)="Rhomphaia",10,0)))+IF(AND(Gear!B15="Pipilaka Belt",$L$11="Plantoid"),5,0)+IF($L$11&lt;&gt;"Bird",0,IF(LEFT(Gear!B8,16)="Zwazo Earring +1",5,IF(LEFT(Gear!B8,13)="Zwazo Earring",4,0))+IF(LEFT(Gear!B9,16)="Zwazo Earring +1",5,  IF(LEFT(Gear!B9,13)="Zwazo Earring",4,0)))</f>
        <v>0</v>
      </c>
      <c r="C149" s="198">
        <f>IF(LEFT(Gear!X6,9)="Founder's",2,0)+IF(LEFT(Gear!X11,9)="Founder's",2,0)+IF(LEFT(Gear!X16,9)="Founder's",2,0)+IF(LEFT(Gear!X17,9)="Founder's",2,0)+IF($L$11="Dragon",IF(Gear!$B$3="Habile Mazrak",20,IF(LEFT(Gear!$B$3,9)="Rhomphaia",10,0)))+IF(AND(Gear!X15="Pipilaka Belt",$L$11="Plantoid"),5,0)+IF($L$11&lt;&gt;"Bird",0,IF(LEFT(Gear!X8,16)="Zwazo Earring +1",5,IF(LEFT(Gear!X8,13)="Zwazo Earring",4,0))+IF(LEFT(Gear!X9,16)="Zwazo Earring +1",5,  IF(LEFT(Gear!X9,13)="Zwazo Earring",4,0)))</f>
        <v>0</v>
      </c>
      <c r="D149" s="159">
        <f>IF(LEFT(Gear!B29,9)="Founder's",2,0)+IF(LEFT(Gear!B34,9)="Founder's",2,0)+IF(LEFT(Gear!B39,9)="Founder's",2,0)+IF(LEFT(Gear!B40,9)="Founder's",2,0)+IF($L$11="Dragon",IF(Gear!$B$3="Habile Mazrak",20,IF(LEFT(Gear!$B$3,9)="Rhomphaia",10,0)))+IF(AND(Gear!B38="Pipilaka Belt",$L$11="Plantoid"),5,0)+IF($L$11&lt;&gt;"Bird",0,IF(LEFT(Gear!B31,16)="Zwazo Earring +1",5,IF(LEFT(Gear!B31,13)="Zwazo Earring",4,0))+IF(LEFT(Gear!B32,16)="Zwazo Earring +1",5,  IF(LEFT(Gear!B32,13)="Zwazo Earring",4,0)))</f>
        <v>0</v>
      </c>
      <c r="E149" s="161">
        <f>IF(LEFT(Gear!X29,9)="Founder's",2,0)+IF(LEFT(Gear!X34,9)="Founder's",2,0)+IF(LEFT(Gear!X39,9)="Founder's",2,0)+IF(LEFT(Gear!X40,9)="Founder's",2,0)+IF($L$11="Dragon",IF(Gear!$B$3="Habile Mazrak",20,IF(LEFT(Gear!$B$3,9)="Rhomphaia",10,0)))+IF(AND(Gear!X38="Pipilaka Belt",$L$11="Plantoid"),5,0)+IF($L$11&lt;&gt;"Bird",0,IF(LEFT(Gear!X31,16)="Zwazo Earring +1",5,IF(LEFT(Gear!X31,13)="Zwazo Earring",4,0))+IF(LEFT(Gear!X32,16)="Zwazo Earring +1",5,  IF(LEFT(Gear!X32,13)="Zwazo Earring",4,0)))</f>
        <v>0</v>
      </c>
      <c r="F149" s="159">
        <f>IF(LEFT(Jump!B6,9)="Founder's",2,0)+IF(LEFT(Jump!B11,9)="Founder's",2,0)+IF(LEFT(Jump!B16,9)="Founder's",2,0)+IF(LEFT(Jump!B17,9)="Founder's",2,0)+IF($L$11="Dragon",IF(Jump!B3="Habile Mazrak",20,IF(LEFT(Jump!B3,9)="Rhomphaia",10,0)))+IF(AND(Jump!B15="Pipilaka Belt",$L$11="Plantoid"),5,0)+IF($L$11&lt;&gt;"Bird",0,IF(LEFT(Jump!B8,16)="Zwazo Earring +1",5,IF(LEFT(Jump!B8,13)="Zwazo Earring",4,0))+IF(LEFT(Jump!B9,16)="Zwazo Earring +1",5,  IF(LEFT(Jump!B9,13)="Zwazo Earring",4,0)))</f>
        <v>0</v>
      </c>
      <c r="G149" s="198">
        <f>IF(LEFT(Jump!W6,9)="Founder's",2,0)+IF(LEFT(Jump!W11,9)="Founder's",2,0)+IF(LEFT(Jump!W16,9)="Founder's",2,0)+IF(LEFT(Jump!W17,9)="Founder's",2,0)+IF($L$11="Dragon",IF(Jump!W3="Habile Mazrak",20,IF(LEFT(Jump!W3,9)="Rhomphaia",10,0)))+IF(AND(Jump!W15="Pipilaka Belt",$L$11="Plantoid"),5,0)+IF($L$11&lt;&gt;"Bird",0,IF(LEFT(Jump!W8,16)="Zwazo Earring +1",5,IF(LEFT(Jump!W8,13)="Zwazo Earring",4,0))+IF(LEFT(Jump!W9,16)="Zwazo Earring +1",5,  IF(LEFT(Jump!W9,13)="Zwazo Earring",4,0)))</f>
        <v>0</v>
      </c>
      <c r="H149" s="159">
        <f>IF(LEFT(Jump!B30,9)="Founder's",2,0)+IF(LEFT(Jump!B35,9)="Founder's",2,0)+IF(LEFT(Jump!B40,9)="Founder's",2,0)+IF(LEFT(Jump!B41,9)="Founder's",2,0)+IF($L$11="Dragon",IF(Jump!B3="Habile Mazrak",20,IF(LEFT(Jump!B3,9)="Rhomphaia",10,0)))+IF(AND(Jump!B39="Pipilaka Belt",$L$11="Plantoid"),5,0)+IF($L$11&lt;&gt;"Bird",0,IF(LEFT(Jump!B32,16)="Zwazo Earring +1",5,IF(LEFT(Jump!B32,13)="Zwazo Earring",4,0))+IF(LEFT(Jump!B33,16)="Zwazo Earring +1",5,  IF(LEFT(Jump!B33,13)="Zwazo Earring",4,0)))</f>
        <v>0</v>
      </c>
      <c r="I149" s="198">
        <f>IF(LEFT(Jump!W30,9)="Founder's",2,0)+IF(LEFT(Jump!W35,9)="Founder's",2,0)+IF(LEFT(Jump!W40,9)="Founder's",2,0)+IF(LEFT(Jump!W41,9)="Founder's",2,0)+IF($L$11="Dragon",IF(Jump!W3="Habile Mazrak",20,IF(LEFT(Jump!W3,9)="Rhomphaia",10,0)))+IF(AND(Jump!W39="Pipilaka Belt",$L$11="Plantoid"),5,0)+IF($L$11&lt;&gt;"Bird",0,IF(LEFT(Jump!W32,16)="Zwazo Earring +1",5,IF(LEFT(Jump!W32,13)="Zwazo Earring",4,0))+IF(LEFT(Jump!W33,16)="Zwazo Earring +1",5,  IF(LEFT(Jump!W33,13)="Zwazo Earring",4,0)))</f>
        <v>0</v>
      </c>
      <c r="J149" s="159">
        <f>IF(LEFT(HJump!B6,9)="Founder's",2,0)+IF(LEFT(HJump!B11,9)="Founder's",2,0)+IF(LEFT(HJump!B16,9)="Founder's",2,0)+IF(LEFT(HJump!B17,9)="Founder's",2,0)+IF($L$11="Dragon",IF(HJump!B3="Habile Mazrak",20,IF(LEFT(HJump!B3,9)="Rhomphaia",10,0)))+IF(AND(HJump!B15="Pipilaka Belt",$L$11="Plantoid"),5,0)+IF($L$11&lt;&gt;"Bird",0,IF(LEFT(HJump!B8,16)="Zwazo Earring +1",5,IF(LEFT(HJump!B8,13)="Zwazo Earring",4,0))+IF(LEFT(HJump!B9,16)="Zwazo Earring +1",5,  IF(LEFT(HJump!B9,13)="Zwazo Earring",4,0)))</f>
        <v>0</v>
      </c>
      <c r="K149" s="198">
        <f>IF(LEFT(HJump!W6,9)="Founder's",2,0)+IF(LEFT(HJump!W11,9)="Founder's",2,0)+IF(LEFT(HJump!W16,9)="Founder's",2,0)+IF(LEFT(HJump!W17,9)="Founder's",2,0)+IF($L$11="Dragon",IF(HJump!$B$3="Habile Mazrak",20,IF(LEFT(HJump!$B$3,9)="Rhomphaia",10,0)))+IF(AND(HJump!W15="Pipilaka Belt",$L$11="Plantoid"),5,0)+IF($L$11&lt;&gt;"Bird",0,IF(LEFT(HJump!W8,16)="Zwazo Earring +1",5,IF(LEFT(HJump!W8,13)="Zwazo Earring",4,0))+IF(LEFT(HJump!W9,16)="Zwazo Earring +1",5,  IF(LEFT(HJump!W9,13)="Zwazo Earring",4,0)))</f>
        <v>0</v>
      </c>
      <c r="L149" s="159">
        <f>IF(LEFT(HJump!B30,9)="Founder's",2,0)+IF(LEFT(HJump!B35,9)="Founder's",2,0)+IF(LEFT(HJump!B40,9)="Founder's",2,0)+IF(LEFT(HJump!B41,9)="Founder's",2,0)+IF($L$11="Dragon",IF(HJump!B3="Habile Mazrak",20,IF(LEFT(HJump!B3,9)="Rhomphaia",10,0)))+IF(AND(HJump!B39="Pipilaka Belt",$L$11="Plantoid"),5,0)+IF($L$11&lt;&gt;"Bird",0,IF(LEFT(HJump!B32,16)="Zwazo Earring +1",5,IF(LEFT(HJump!B32,13)="Zwazo Earring",4,0))+IF(LEFT(HJump!B33,16)="Zwazo Earring +1",5,  IF(LEFT(HJump!B33,13)="Zwazo Earring",4,0)))</f>
        <v>0</v>
      </c>
      <c r="M149" s="198">
        <f>IF(LEFT(HJump!W30,9)="Founder's",2,0)+IF(LEFT(HJump!W35,9)="Founder's",2,0)+IF(LEFT(HJump!W40,9)="Founder's",2,0)+IF(LEFT(HJump!W41,9)="Founder's",2,0)+IF($L$11="Dragon",IF(HJump!W3="Habile Mazrak",20,IF(LEFT(HJump!W3,9)="Rhomphaia",10,0)))+IF(AND(HJump!W39="Pipilaka Belt",$L$11="Plantoid"),5,0)+IF($L$11&lt;&gt;"Bird",0,IF(LEFT(HJump!W32,16)="Zwazo Earring +1",5,IF(LEFT(HJump!W32,13)="Zwazo Earring",4,0))+IF(LEFT(HJump!W33,16)="Zwazo Earring +1",5,  IF(LEFT(HJump!W33,13)="Zwazo Earring",4,0)))</f>
        <v>0</v>
      </c>
    </row>
    <row r="150" spans="1:13" x14ac:dyDescent="0.2">
      <c r="A150" s="141" t="s">
        <v>1508</v>
      </c>
      <c r="B150" s="159">
        <f>IF(OR($L$11="Other",Setup!$J$51="Off"),0,IF(COUNTIF(BST,$L$11)&gt;0,15%,VLOOKUP(Setup!$J$51,Circles,MATCH("Potency",CirclesHeader,0),0)))*100</f>
        <v>0</v>
      </c>
      <c r="C150" s="198">
        <f>IF(OR($L$11="Other",Setup!$K$51="Off"),0,IF(COUNTIF(BST,$L$11)&gt;0,15%,VLOOKUP(Setup!$K$51,Circles,MATCH("Potency",CirclesHeader,0),0)))*100</f>
        <v>0</v>
      </c>
      <c r="D150" s="159">
        <f>IF(OR($L$11="Other",Setup!$J$51="Off"),0,IF(COUNTIF(BST,$L$11)&gt;0,15%,VLOOKUP(Setup!$J$51,Circles,MATCH("Potency",CirclesHeader,0),0)))*100</f>
        <v>0</v>
      </c>
      <c r="E150" s="198">
        <f>IF(OR($L$11="Other",Setup!$K$51="Off"),0,IF(COUNTIF(BST,$L$11)&gt;0,15%,VLOOKUP(Setup!$K$51,Circles,MATCH("Potency",CirclesHeader,0),0)))*100</f>
        <v>0</v>
      </c>
      <c r="F150" s="159">
        <f>IF(OR($L$11="Other",Setup!$J$51="Off"),0,IF(COUNTIF(BST,$L$11)&gt;0,15%,VLOOKUP(Setup!$J$51,Circles,MATCH("Potency",CirclesHeader,0),0)))*100</f>
        <v>0</v>
      </c>
      <c r="G150" s="198">
        <f>IF(OR($L$11="Other",Setup!$K$51="Off"),0,IF(COUNTIF(BST,$L$11)&gt;0,15%,VLOOKUP(Setup!$K$51,Circles,MATCH("Potency",CirclesHeader,0),0)))*100</f>
        <v>0</v>
      </c>
      <c r="H150" s="159">
        <f>IF(OR($L$11="Other",Setup!$J$51="Off"),0,IF(COUNTIF(BST,$L$11)&gt;0,15%,VLOOKUP(Setup!$J$51,Circles,MATCH("Potency",CirclesHeader,0),0)))*100</f>
        <v>0</v>
      </c>
      <c r="I150" s="198">
        <f>IF(OR($L$11="Other",Setup!$K$51="Off"),0,IF(COUNTIF(BST,$L$11)&gt;0,15%,VLOOKUP(Setup!$K$51,Circles,MATCH("Potency",CirclesHeader,0),0)))*100</f>
        <v>0</v>
      </c>
      <c r="J150" s="159">
        <f>IF(OR($L$11="Other",Setup!$J$51="Off"),0,IF(COUNTIF(BST,$L$11)&gt;0,15%,VLOOKUP(Setup!$J$51,Circles,MATCH("Potency",CirclesHeader,0),0)))*100</f>
        <v>0</v>
      </c>
      <c r="K150" s="198">
        <f>IF(OR($L$11="Other",Setup!$K$51="Off"),0,IF(COUNTIF(BST,$L$11)&gt;0,15%,VLOOKUP(Setup!$K$51,Circles,MATCH("Potency",CirclesHeader,0),0)))*100</f>
        <v>0</v>
      </c>
      <c r="L150" s="159">
        <f>IF(OR($L$11="Other",Setup!$J$51="Off"),0,IF(COUNTIF(BST,$L$11)&gt;0,15%,VLOOKUP(Setup!$J$51,Circles,MATCH("Potency",CirclesHeader,0),0)))*100</f>
        <v>0</v>
      </c>
      <c r="M150" s="198">
        <f>IF(OR($L$11="Other",Setup!$K$51="Off"),0,IF(COUNTIF(BST,$L$11)&gt;0,15%,VLOOKUP(Setup!$K$51,Circles,MATCH("Potency",CirclesHeader,0),0)))*100</f>
        <v>0</v>
      </c>
    </row>
    <row r="151" spans="1:13" x14ac:dyDescent="0.2">
      <c r="A151" s="141" t="s">
        <v>1501</v>
      </c>
      <c r="B151" s="233">
        <f>FLOOR(MIN(SUM(B147:B150),50)*IF($L$10="NM",2/3,1),1)</f>
        <v>0</v>
      </c>
      <c r="C151" s="236">
        <f>FLOOR(MIN(SUM(C147:C150),50)*IF($L$10="NM",2/3,1),1)</f>
        <v>0</v>
      </c>
      <c r="D151" s="233">
        <f t="shared" ref="D151:M151" si="65">FLOOR(MIN(SUM(D147:D150),50)*IF($L$10="NM",2/3,1),1)</f>
        <v>0</v>
      </c>
      <c r="E151" s="236">
        <f t="shared" si="65"/>
        <v>0</v>
      </c>
      <c r="F151" s="233">
        <f t="shared" si="65"/>
        <v>0</v>
      </c>
      <c r="G151" s="236">
        <f t="shared" si="65"/>
        <v>0</v>
      </c>
      <c r="H151" s="233">
        <f t="shared" si="65"/>
        <v>0</v>
      </c>
      <c r="I151" s="236">
        <f t="shared" si="65"/>
        <v>0</v>
      </c>
      <c r="J151" s="233">
        <f t="shared" si="65"/>
        <v>0</v>
      </c>
      <c r="K151" s="236">
        <f t="shared" si="65"/>
        <v>0</v>
      </c>
      <c r="L151" s="233">
        <f t="shared" si="65"/>
        <v>0</v>
      </c>
      <c r="M151" s="236">
        <f t="shared" si="65"/>
        <v>0</v>
      </c>
    </row>
    <row r="152" spans="1:13" x14ac:dyDescent="0.2">
      <c r="A152" s="141" t="s">
        <v>1509</v>
      </c>
      <c r="B152" s="240">
        <f>IF(B150&lt;10,B150*0.01,IF($L$10="NM",FLOOR(B150*2/3,1)/100,B150/100))</f>
        <v>0</v>
      </c>
      <c r="C152" s="241">
        <f>IF(C150&lt;10,C150*0.01,IF($L$10="NM",FLOOR(C150*2/3,1)/100,C150/100))</f>
        <v>0</v>
      </c>
      <c r="D152" s="240">
        <f t="shared" ref="D152:M152" si="66">IF(D150&lt;10,D150*0.01,IF($L$10="NM",FLOOR(D150*2/3,1)/100,D150/100))</f>
        <v>0</v>
      </c>
      <c r="E152" s="241">
        <f t="shared" si="66"/>
        <v>0</v>
      </c>
      <c r="F152" s="240">
        <f t="shared" si="66"/>
        <v>0</v>
      </c>
      <c r="G152" s="241">
        <f t="shared" si="66"/>
        <v>0</v>
      </c>
      <c r="H152" s="240">
        <f t="shared" si="66"/>
        <v>0</v>
      </c>
      <c r="I152" s="241">
        <f t="shared" si="66"/>
        <v>0</v>
      </c>
      <c r="J152" s="240">
        <f t="shared" si="66"/>
        <v>0</v>
      </c>
      <c r="K152" s="241">
        <f t="shared" si="66"/>
        <v>0</v>
      </c>
      <c r="L152" s="240">
        <f t="shared" si="66"/>
        <v>0</v>
      </c>
      <c r="M152" s="241">
        <f t="shared" si="66"/>
        <v>0</v>
      </c>
    </row>
    <row r="153" spans="1:13" x14ac:dyDescent="0.2">
      <c r="A153" s="138" t="s">
        <v>1503</v>
      </c>
      <c r="B153" s="237">
        <f>IF(LEFT(Gear!B10,9)&lt;&gt;"Founder's",0,FLOOR(B151/2,1)/100)</f>
        <v>0</v>
      </c>
      <c r="C153" s="242">
        <f>IF(LEFT(Gear!X10,9)&lt;&gt;"Founder's",0,FLOOR(C151/2,1)/100)</f>
        <v>0</v>
      </c>
      <c r="D153" s="237">
        <f>IF(LEFT(Gear!B33,9)&lt;&gt;"Founder's",0,FLOOR(D151/2,1)/100)</f>
        <v>0</v>
      </c>
      <c r="E153" s="243">
        <f>IF(LEFT(Gear!X33,9)&lt;&gt;"Founder's",0,FLOOR(E151/2,1)/100)</f>
        <v>0</v>
      </c>
      <c r="F153" s="237">
        <f>IF(LEFT(Jump!B10,9)&lt;&gt;"Founder's",0,FLOOR(F151/2,1)/100)</f>
        <v>0</v>
      </c>
      <c r="G153" s="242">
        <f>IF(LEFT(Jump!W10,9)&lt;&gt;"Founder's",0,FLOOR(G151/2,1)/100)</f>
        <v>0</v>
      </c>
      <c r="H153" s="237">
        <f>IF(LEFT(Jump!B34,9)&lt;&gt;"Founder's",0,FLOOR(H151/2,1)/100)</f>
        <v>0</v>
      </c>
      <c r="I153" s="243">
        <f>IF(LEFT(Jump!W34,9)&lt;&gt;"Founder's",0,FLOOR(I151/2,1)/100)</f>
        <v>0</v>
      </c>
      <c r="J153" s="237">
        <f>IF(LEFT(HJump!B10,9)&lt;&gt;"Founder's",0,FLOOR(J151/2,1)/100)</f>
        <v>0</v>
      </c>
      <c r="K153" s="242">
        <f>IF(LEFT(HJump!W10,9)&lt;&gt;"Founder's",0,FLOOR(K151/2,1)/100)</f>
        <v>0</v>
      </c>
      <c r="L153" s="237">
        <f>IF(LEFT(HJump!B34,9)&lt;&gt;"Founder's",0,FLOOR(L151/2,1)/100)</f>
        <v>0</v>
      </c>
      <c r="M153" s="243">
        <f>IF(LEFT(HJump!W34,9)&lt;&gt;"Founder's",0,FLOOR(M151/2,1)/100)</f>
        <v>0</v>
      </c>
    </row>
    <row r="154" spans="1:13" x14ac:dyDescent="0.2">
      <c r="A154" s="31" t="s">
        <v>168</v>
      </c>
      <c r="B154" s="12">
        <f ca="1">((B142*B119*(100%-B94)) + (B142*B135*B94*B96)) * (1+B152) * (1+B153)</f>
        <v>945.72991172214176</v>
      </c>
      <c r="C154" s="244">
        <f ca="1">((C142*C119*(100%-C94)) + (C142*C135*C94*C96)) * (1+C152) * (1+C153)</f>
        <v>945.72991172214176</v>
      </c>
      <c r="D154" s="235"/>
      <c r="E154" s="65"/>
      <c r="F154" s="12">
        <f t="shared" ref="F154:M154" ca="1" si="67">((F142*F119*(100%-F94)) + (F142*F135*F94*F96)) * (1+F152) * (1+F153)</f>
        <v>843.56152277044123</v>
      </c>
      <c r="G154" s="244">
        <f t="shared" ca="1" si="67"/>
        <v>843.56152277044123</v>
      </c>
      <c r="H154" s="12">
        <f t="shared" ca="1" si="67"/>
        <v>1393.5319710564402</v>
      </c>
      <c r="I154" s="244">
        <f t="shared" ca="1" si="67"/>
        <v>1393.5319710564402</v>
      </c>
      <c r="J154" s="12">
        <f t="shared" ca="1" si="67"/>
        <v>843.56152277044123</v>
      </c>
      <c r="K154" s="244">
        <f t="shared" ca="1" si="67"/>
        <v>843.56152277044123</v>
      </c>
      <c r="L154" s="12">
        <f t="shared" ca="1" si="67"/>
        <v>1600.9931577424022</v>
      </c>
      <c r="M154" s="244">
        <f t="shared" ca="1" si="67"/>
        <v>1600.9931577424022</v>
      </c>
    </row>
    <row r="155" spans="1:13" x14ac:dyDescent="0.2">
      <c r="A155" t="s">
        <v>169</v>
      </c>
      <c r="B155" s="12">
        <f ca="1">AvgHitsPerRound1</f>
        <v>1.7056145031250001</v>
      </c>
      <c r="C155" s="12">
        <f ca="1">AvgHitsPerRound2</f>
        <v>1.6818189625</v>
      </c>
      <c r="D155" s="66"/>
      <c r="E155" s="34"/>
      <c r="F155" s="12">
        <f>IF(Setup!$F7="Jump", AvgJumpHitsPerRound1, 0)</f>
        <v>0</v>
      </c>
      <c r="G155" s="125">
        <f>IF(Setup!$G7="Jump", AvgJumpHitsPerRound2, 0)</f>
        <v>0</v>
      </c>
      <c r="H155" s="12">
        <f ca="1">IF(Setup!$F7="Spirit Jump", AvgSpiritHitsPerRound1, 0)</f>
        <v>1.4666975425</v>
      </c>
      <c r="I155" s="125">
        <f ca="1">IF(Setup!$G7="Spirit Jump", AvgSpiritHitsPerRound2, 0)</f>
        <v>1.4666975425</v>
      </c>
      <c r="J155" s="12">
        <f>IF(Setup!$F8="High Jump", AvgHighHitsPerRound1, 0)</f>
        <v>0</v>
      </c>
      <c r="K155" s="125">
        <f>IF(Setup!$G8="High Jump", AvgHighHitsPerRound2, 0)</f>
        <v>0</v>
      </c>
      <c r="L155" s="12">
        <f ca="1">IF(Setup!$F8="Soul Jump", AvgSoulHitsPerRound1, 0)</f>
        <v>1.4666975425</v>
      </c>
      <c r="M155" s="125">
        <f ca="1">IF(Setup!$G8="Soul Jump", AvgSoulHitsPerRound2, 0)</f>
        <v>1.4666975425</v>
      </c>
    </row>
    <row r="156" spans="1:13" x14ac:dyDescent="0.2">
      <c r="A156" s="144" t="s">
        <v>502</v>
      </c>
      <c r="B156" s="4">
        <f>IF(LEFT(Gear!$B3,7)="Gungnir", 119, 0)</f>
        <v>0</v>
      </c>
      <c r="C156" s="4">
        <f>IF(LEFT(Gear!$X3,7)="Gungnir", 119, 0)</f>
        <v>0</v>
      </c>
      <c r="D156" s="66"/>
      <c r="E156" s="34"/>
      <c r="F156" s="12"/>
      <c r="G156" s="125"/>
      <c r="H156" s="12"/>
      <c r="I156" s="125"/>
      <c r="J156" s="12"/>
      <c r="K156" s="125"/>
      <c r="L156" s="12"/>
      <c r="M156" s="125"/>
    </row>
    <row r="157" spans="1:13" x14ac:dyDescent="0.2">
      <c r="A157" s="144" t="s">
        <v>503</v>
      </c>
      <c r="B157" s="12">
        <f ca="1">IF(B156&gt;0, IF(B156&lt;95, 6%, 14%), 0) * B154 * 1.5 * B98</f>
        <v>0</v>
      </c>
      <c r="C157" s="12">
        <f ca="1">IF(C156&gt;0, IF(C156&lt;95, 6%, 14%), 0) * C154 * 1.5 * C98</f>
        <v>0</v>
      </c>
      <c r="D157" s="66"/>
      <c r="E157" s="34"/>
      <c r="F157" s="12"/>
      <c r="G157" s="125"/>
      <c r="H157" s="12"/>
      <c r="I157" s="125"/>
      <c r="J157" s="12"/>
      <c r="K157" s="125"/>
      <c r="L157" s="12"/>
      <c r="M157" s="125"/>
    </row>
    <row r="158" spans="1:13" x14ac:dyDescent="0.2">
      <c r="A158" t="s">
        <v>1346</v>
      </c>
      <c r="B158" s="12">
        <f>IF(LEFT(Gear!$B3,11)="Rhongomiant", (RIGHT(Setup!B35,3)*IF(RIGHT(Gear!$B3,2)="AG",2,1)*B154*B155), 0)</f>
        <v>0</v>
      </c>
      <c r="C158" s="12">
        <f>IF(LEFT(Gear!$X3,11)="Rhongomiant", (RIGHT(Setup!C35,3)*IF(RIGHT(Gear!$X3,2)="AG",2,1)*C154*C155), 0)</f>
        <v>0</v>
      </c>
      <c r="D158" s="66"/>
      <c r="E158" s="34"/>
      <c r="F158" s="12"/>
      <c r="G158" s="125"/>
      <c r="H158" s="12"/>
      <c r="I158" s="125"/>
      <c r="J158" s="12"/>
      <c r="K158" s="125"/>
      <c r="L158" s="12"/>
      <c r="M158" s="125"/>
    </row>
    <row r="159" spans="1:13" x14ac:dyDescent="0.2">
      <c r="A159" s="3" t="s">
        <v>1310</v>
      </c>
      <c r="B159" s="12">
        <f ca="1">(1-B81)*(1-B80)*B79*2*B98</f>
        <v>0.81928949999999989</v>
      </c>
      <c r="C159" s="12">
        <f ca="1">(1-C81)*(1-C80)*C79*2*C98</f>
        <v>0.77109599999999978</v>
      </c>
      <c r="D159" s="66"/>
      <c r="E159" s="34"/>
      <c r="F159" s="12"/>
      <c r="G159" s="125"/>
      <c r="H159" s="12"/>
      <c r="I159" s="125"/>
      <c r="J159" s="12"/>
      <c r="K159" s="125"/>
      <c r="L159" s="12"/>
      <c r="M159" s="125"/>
    </row>
    <row r="160" spans="1:13" x14ac:dyDescent="0.2">
      <c r="A160" s="3" t="s">
        <v>1312</v>
      </c>
      <c r="B160" s="12">
        <f>IF(LEFT(Gear!$B6,8)="Quiahuiz", 5% * (B159*B154), 0)</f>
        <v>0</v>
      </c>
      <c r="C160" s="12">
        <f>IF(LEFT(Gear!$X6,8)="Quiahuiz", 5% * (C159*C154), 0)</f>
        <v>0</v>
      </c>
      <c r="D160" s="66"/>
      <c r="E160" s="34"/>
      <c r="F160" s="12"/>
      <c r="G160" s="125"/>
      <c r="H160" s="12"/>
      <c r="I160" s="125"/>
      <c r="J160" s="12"/>
      <c r="K160" s="125"/>
      <c r="L160" s="12"/>
      <c r="M160" s="125"/>
    </row>
    <row r="161" spans="1:13" x14ac:dyDescent="0.2">
      <c r="A161" s="3" t="s">
        <v>1311</v>
      </c>
      <c r="B161" s="12">
        <f ca="1">(1-B81)*B80*3*B98</f>
        <v>0.29782500000000001</v>
      </c>
      <c r="C161" s="12">
        <f ca="1">(1-C81)*C80*3*C98</f>
        <v>0.29782500000000001</v>
      </c>
      <c r="D161" s="66"/>
      <c r="E161" s="34"/>
      <c r="F161" s="12"/>
      <c r="G161" s="125"/>
      <c r="H161" s="12"/>
      <c r="I161" s="125"/>
      <c r="J161" s="12"/>
      <c r="K161" s="125"/>
      <c r="L161" s="12"/>
      <c r="M161" s="125"/>
    </row>
    <row r="162" spans="1:13" x14ac:dyDescent="0.2">
      <c r="A162" s="3" t="s">
        <v>1313</v>
      </c>
      <c r="B162" s="12">
        <f>IF(OR(Gear!B12="Hetairoi Ring",Gear!B13="Hetairoi Ring"),5%*(B161*B154),0) +
 IF(LEFT(Gear!B15,6)="Chiner",5%*(B161*B154),0)</f>
        <v>0</v>
      </c>
      <c r="C162" s="12">
        <f>IF(OR(Gear!X12="Hetairoi Ring",Gear!X13="Hetairoi Ring"),5%*(C161*C154),0) +
 IF(LEFT(Gear!X15,6)="Chiner",5%*(C161*C154),0)</f>
        <v>0</v>
      </c>
      <c r="D162" s="66"/>
      <c r="E162" s="34"/>
      <c r="F162" s="12"/>
      <c r="G162" s="125"/>
      <c r="H162" s="12"/>
      <c r="I162" s="125"/>
      <c r="J162" s="12"/>
      <c r="K162" s="125"/>
      <c r="L162" s="12"/>
      <c r="M162" s="125"/>
    </row>
    <row r="163" spans="1:13" x14ac:dyDescent="0.2">
      <c r="A163" s="27" t="s">
        <v>170</v>
      </c>
      <c r="B163" s="67">
        <f ca="1">(B155*(B154+B146) + B157 + B158 + B160 + B162) * (100%+B84)</f>
        <v>1613.0506534724111</v>
      </c>
      <c r="C163" s="67">
        <f ca="1">(C155*(C154+C146) + C157 + C158 + C160 + C162) * (100%+C84)</f>
        <v>1590.546498937749</v>
      </c>
      <c r="D163" s="69"/>
      <c r="E163" s="36"/>
      <c r="F163" s="67">
        <f t="shared" ref="F163:M163" ca="1" si="68">F154*F155*(1+F84)</f>
        <v>0</v>
      </c>
      <c r="G163" s="68">
        <f t="shared" ca="1" si="68"/>
        <v>0</v>
      </c>
      <c r="H163" s="67">
        <f t="shared" ca="1" si="68"/>
        <v>2043.8899173436619</v>
      </c>
      <c r="I163" s="182">
        <f t="shared" ca="1" si="68"/>
        <v>2043.8899173436619</v>
      </c>
      <c r="J163" s="67">
        <f t="shared" ca="1" si="68"/>
        <v>0</v>
      </c>
      <c r="K163" s="68">
        <f t="shared" ca="1" si="68"/>
        <v>0</v>
      </c>
      <c r="L163" s="67">
        <f t="shared" ca="1" si="68"/>
        <v>2348.172730020096</v>
      </c>
      <c r="M163" s="68">
        <f t="shared" ca="1" si="68"/>
        <v>2348.172730020096</v>
      </c>
    </row>
    <row r="164" spans="1:13" x14ac:dyDescent="0.2">
      <c r="A164" t="s">
        <v>171</v>
      </c>
      <c r="B164" s="8">
        <f>MIN(IF(Setup!J$4=1, IF(Setup!$I$4="Haste",150, IF(Setup!$I$4="Haste II", 307, 0)), 0) +
VLOOKUP(Setup!$J$48,Geomancy,MATCH("Multiplier",GeomancyHeader,0),0)*
((24+TRUNC(MAX(0,MIN(900,Setup!$M$44))/(900/282)))+
MAX(0,MIN(10,Setup!$M$45))*VLOOKUP(Setup!$J$48,Geomancy,MATCH("GeoPlus",GeomancyHeader,0),0)*11)
+TRUNC((TRUNC(163*(1+(VLOOKUP(Setup!$J26,BRDsongs,3,FALSE)*Setup!$M26*0.1)),0))*VLOOKUP(Setup!$J26,BRDsongs,2,FALSE),0)
+TRUNC((TRUNC(108*(1+(VLOOKUP(Setup!$J25,BRDsongs,3,FALSE)*Setup!$M26*0.1)),0))*VLOOKUP(Setup!$J25,BRDsongs,2,FALSE),0)
+TRUNC((TRUNC(126*(1+(VLOOKUP(Setup!$J27,BRDsongs,3,FALSE)*Setup!$M27*0.1)),0))*VLOOKUP(Setup!$J27,BRDsongs,2,FALSE),0) + (Setup!J17*((TRUNC(Setup!J16/20,0)*10)+16)),448)/1024</f>
        <v>0.2998046875</v>
      </c>
      <c r="C164" s="8">
        <f>MIN(IF(Setup!K$4=1, IF(Setup!$I$4="Haste",150, IF(Setup!$I$4="Haste II", 307, 0)), 0) +
VLOOKUP(Setup!$K$48,Geomancy,MATCH("Multiplier",GeomancyHeader,0),0)*
((24+TRUNC(MAX(0,MIN(900,Setup!$N$44))/(900/282)))+
MAX(0,MIN(10,Setup!$N$45))*VLOOKUP(Setup!$K$48,Geomancy,MATCH("GeoPlus",GeomancyHeader,0),0)*11)
+TRUNC((TRUNC(163*(1+(VLOOKUP(Setup!$K26,BRDsongs,3,FALSE)*Setup!$N26*0.1)),0))*VLOOKUP(Setup!$K26,BRDsongs,2,FALSE),0)
+TRUNC((TRUNC(108*(1+(VLOOKUP(Setup!$K25,BRDsongs,3,FALSE)*Setup!$N26*0.1)),0))*VLOOKUP(Setup!$K25,BRDsongs,2,FALSE),0)
+TRUNC((TRUNC(126*(1+(VLOOKUP(Setup!$K27,BRDsongs,3,FALSE)*Setup!$N27*0.1)),0))*VLOOKUP(Setup!$K27,BRDsongs,2,FALSE),0) + (Setup!J17*((TRUNC(Setup!J16/20,0)*10)+16)),448)/1024</f>
        <v>0.2998046875</v>
      </c>
      <c r="D164" s="66"/>
      <c r="E164" s="34"/>
      <c r="F164" s="8"/>
      <c r="G164" s="8"/>
      <c r="H164" s="66"/>
      <c r="I164" s="34"/>
      <c r="J164" s="8"/>
      <c r="K164" s="8"/>
      <c r="L164" s="66"/>
      <c r="M164" s="34"/>
    </row>
    <row r="165" spans="1:13" x14ac:dyDescent="0.2">
      <c r="A165" t="s">
        <v>172</v>
      </c>
      <c r="B165" s="25">
        <f>MIN((IF(AND(Setup!F6=1,Setup!F10=0), 100, 0) + IF(Setup!F10=1, 256, 0) + IF(AND($D$1="SAM",Setup!F14=1),100,0) + IF(AND($D$1="DNC",Setup!F19=1), 50, IF(Setup!J22=1, 100, 0))), 256) / 1024</f>
        <v>0.1953125</v>
      </c>
      <c r="C165" s="25">
        <f>MIN((IF(AND(Setup!G6=1,Setup!G10=0), 100, 0) + IF(Setup!G10=1, 256, 0) + IF(AND($D$1="SAM",Setup!G14=1),100,0) + IF(AND($D$1="DNC",Setup!G19=1), 50, IF(Setup!K22=1, 100, 0))), 256) / 1024</f>
        <v>0.1953125</v>
      </c>
      <c r="D165" s="66"/>
      <c r="E165" s="34"/>
      <c r="F165" s="25"/>
      <c r="G165" s="25"/>
      <c r="H165" s="66"/>
      <c r="I165" s="34"/>
      <c r="J165" s="25"/>
      <c r="K165" s="25"/>
      <c r="L165" s="66"/>
      <c r="M165" s="34"/>
    </row>
    <row r="166" spans="1:13" x14ac:dyDescent="0.2">
      <c r="A166" t="s">
        <v>173</v>
      </c>
      <c r="B166" s="8">
        <f ca="1">MIN(HLOOKUP("Haste",INDIRECT(B$26),MATCH("Total",Slots,0)+1,0) + VLOOKUP($F$1,Cheers,MATCH("Haste",CheersHeader,0),0)/1024 + IF(Setup!F$39=1, VLOOKUP("Haste", Ionis, 2, 0), 0)/1024, 25%)</f>
        <v>0.13671875</v>
      </c>
      <c r="C166" s="8">
        <f ca="1">MIN(HLOOKUP("Haste",INDIRECT(C$26),MATCH("Total",Slots,0)+1,0) + VLOOKUP($F$1,Cheers,MATCH("Haste",CheersHeader,0),0)/1024 + IF(Setup!G$39=1, VLOOKUP("Haste", Ionis, 2, 0), 0)/1024, 25%)</f>
        <v>0.13671875</v>
      </c>
      <c r="D166" s="66"/>
      <c r="E166" s="34"/>
      <c r="F166" s="8"/>
      <c r="G166" s="8"/>
      <c r="H166" s="66"/>
      <c r="I166" s="34"/>
      <c r="J166" s="8"/>
      <c r="K166" s="8"/>
      <c r="L166" s="66"/>
      <c r="M166" s="34"/>
    </row>
    <row r="167" spans="1:13" x14ac:dyDescent="0.2">
      <c r="A167" t="s">
        <v>174</v>
      </c>
      <c r="B167" s="8">
        <f ca="1">B164+B165+B166</f>
        <v>0.6318359375</v>
      </c>
      <c r="C167" s="8">
        <f ca="1">C164+C165+C166</f>
        <v>0.6318359375</v>
      </c>
      <c r="D167" s="66"/>
      <c r="E167" s="34"/>
      <c r="F167" s="8"/>
      <c r="G167" s="8"/>
      <c r="H167" s="66"/>
      <c r="I167" s="34"/>
      <c r="J167" s="8"/>
      <c r="K167" s="8"/>
      <c r="L167" s="66"/>
      <c r="M167" s="34"/>
    </row>
    <row r="168" spans="1:13" x14ac:dyDescent="0.2">
      <c r="A168" t="s">
        <v>175</v>
      </c>
      <c r="B168" s="70">
        <f ca="1">B87*(1-B167)</f>
        <v>176.71875</v>
      </c>
      <c r="C168" s="70">
        <f ca="1">C87*(1-C167)</f>
        <v>176.71875</v>
      </c>
      <c r="D168" s="66"/>
      <c r="E168" s="34"/>
      <c r="F168" s="4">
        <v>60</v>
      </c>
      <c r="G168" s="4">
        <f>F168</f>
        <v>60</v>
      </c>
      <c r="H168" s="128">
        <f>F168</f>
        <v>60</v>
      </c>
      <c r="I168" s="52">
        <f>F168</f>
        <v>60</v>
      </c>
      <c r="J168" s="4">
        <v>120</v>
      </c>
      <c r="K168" s="4">
        <f>J168</f>
        <v>120</v>
      </c>
      <c r="L168" s="128">
        <f>J168</f>
        <v>120</v>
      </c>
      <c r="M168" s="52">
        <f>J168</f>
        <v>120</v>
      </c>
    </row>
    <row r="169" spans="1:13" x14ac:dyDescent="0.2">
      <c r="A169" t="s">
        <v>176</v>
      </c>
      <c r="B169" s="70">
        <f ca="1">B86*0.2</f>
        <v>96</v>
      </c>
      <c r="C169" s="70">
        <f ca="1">C86*0.2</f>
        <v>96</v>
      </c>
      <c r="D169" s="66"/>
      <c r="E169" s="34"/>
      <c r="F169" s="70"/>
      <c r="G169" s="70"/>
      <c r="H169" s="66"/>
      <c r="I169" s="34"/>
      <c r="J169" s="70"/>
      <c r="K169" s="70"/>
      <c r="L169" s="66"/>
      <c r="M169" s="34"/>
    </row>
    <row r="170" spans="1:13" x14ac:dyDescent="0.2">
      <c r="A170" s="28" t="s">
        <v>177</v>
      </c>
      <c r="B170" s="71">
        <f ca="1">MAX(B168,B169)</f>
        <v>176.71875</v>
      </c>
      <c r="C170" s="71">
        <f ca="1">MAX(C168,C169)</f>
        <v>176.71875</v>
      </c>
      <c r="D170" s="69"/>
      <c r="E170" s="36"/>
      <c r="F170" s="71">
        <f>IF(Setup!F11=1, 10, (F168-((F168/30)*Setup!$B15))+Setup!$F$9)</f>
        <v>60</v>
      </c>
      <c r="G170" s="72">
        <f>IF(Setup!G11=1, 10, (G168-((G168/30)*Setup!$C15))+Setup!$G$9)</f>
        <v>60</v>
      </c>
      <c r="H170" s="71">
        <f>IF(Setup!F11=1, 10, (H168-((H168/30)*Setup!$B15))+Setup!$F$9)</f>
        <v>60</v>
      </c>
      <c r="I170" s="72">
        <f>IF(Setup!G11=1, 10, (I168-((I168/30)*Setup!$C15))+Setup!$G$9)</f>
        <v>60</v>
      </c>
      <c r="J170" s="71">
        <f>IF(Setup!F11=1, 10, (J168-((J168/30)*Setup!$B16))+Setup!$F$9)</f>
        <v>110</v>
      </c>
      <c r="K170" s="72">
        <f>IF(Setup!G11=1, 10, (K168-((K168/30)*Setup!$C16))+Setup!$G$9)</f>
        <v>110</v>
      </c>
      <c r="L170" s="71">
        <f>IF(Setup!F11=1, 10, (L168-((L168/30)*Setup!$B16))+Setup!$F$9)</f>
        <v>110</v>
      </c>
      <c r="M170" s="72">
        <f>IF(Setup!G11=1, 10, (M168-((M168/30)*Setup!$C16))+Setup!$G$9)</f>
        <v>110</v>
      </c>
    </row>
    <row r="171" spans="1:13" x14ac:dyDescent="0.2">
      <c r="A171" s="73" t="s">
        <v>48</v>
      </c>
      <c r="B171" s="74">
        <f ca="1">B163/(B170/60)</f>
        <v>547.66706536994332</v>
      </c>
      <c r="C171" s="74">
        <f ca="1">C163/(C170/60)</f>
        <v>540.0263975173259</v>
      </c>
      <c r="D171" s="75"/>
      <c r="E171" s="76"/>
      <c r="F171" s="74">
        <f t="shared" ref="F171:M171" ca="1" si="69">F163/F170</f>
        <v>0</v>
      </c>
      <c r="G171" s="77">
        <f t="shared" ca="1" si="69"/>
        <v>0</v>
      </c>
      <c r="H171" s="74">
        <f t="shared" ca="1" si="69"/>
        <v>34.064831955727698</v>
      </c>
      <c r="I171" s="77">
        <f t="shared" ca="1" si="69"/>
        <v>34.064831955727698</v>
      </c>
      <c r="J171" s="74">
        <f t="shared" ca="1" si="69"/>
        <v>0</v>
      </c>
      <c r="K171" s="77">
        <f t="shared" ca="1" si="69"/>
        <v>0</v>
      </c>
      <c r="L171" s="74">
        <f t="shared" ca="1" si="69"/>
        <v>21.34702481836451</v>
      </c>
      <c r="M171" s="77">
        <f t="shared" ca="1" si="69"/>
        <v>21.34702481836451</v>
      </c>
    </row>
    <row r="172" spans="1:13" x14ac:dyDescent="0.2">
      <c r="A172" s="42" t="s">
        <v>109</v>
      </c>
      <c r="B172" s="78"/>
      <c r="C172" s="78"/>
      <c r="D172" s="32"/>
      <c r="E172" s="33"/>
      <c r="F172" s="11">
        <f ca="1">TRUNC(HLOOKUP($A172,INDIRECT(F$26),MATCH("Total",Slots,0)+1,0) * (1 + F89/100))</f>
        <v>0</v>
      </c>
      <c r="G172" s="155">
        <f ca="1">TRUNC(HLOOKUP($A172,INDIRECT(G$26),MATCH("Total",Slots,0)+1,0) * (1 + G89/100))</f>
        <v>0</v>
      </c>
      <c r="H172" s="11"/>
      <c r="I172" s="41"/>
      <c r="J172" s="11">
        <f ca="1">TRUNC(HLOOKUP($A172,INDIRECT(J$26),MATCH("Total",Slots,0)+1,0) * (1 + J89/100))</f>
        <v>0</v>
      </c>
      <c r="K172" s="155">
        <f ca="1">TRUNC(HLOOKUP($A172,INDIRECT(K$26),MATCH("Total",Slots,0)+1,0) * (1 + K89/100))</f>
        <v>0</v>
      </c>
      <c r="L172" s="78"/>
      <c r="M172" s="64"/>
    </row>
    <row r="173" spans="1:13" x14ac:dyDescent="0.2">
      <c r="A173" s="28" t="s">
        <v>178</v>
      </c>
      <c r="B173" s="67"/>
      <c r="C173" s="67"/>
      <c r="D173" s="28"/>
      <c r="E173" s="36"/>
      <c r="F173" s="79">
        <f>IF(F155&gt;0, F90*F155+F172, 0)</f>
        <v>0</v>
      </c>
      <c r="G173" s="127">
        <f>IF(G155&gt;0, G90*G155+G172, 0)</f>
        <v>0</v>
      </c>
      <c r="H173" s="79">
        <f ca="1">H90*H155*IF(AND(Setup!$F6=1, Setup!$F10=0),2,1)+ IF(H155&gt;0, IF(Jump!$B41="Peltast's Schynbalds",60,IF(Jump!$B41="Peltast's Schynbalds +1",70,0)), 0)</f>
        <v>803.34877125000003</v>
      </c>
      <c r="I173" s="80">
        <f ca="1">I90*I155*IF(AND(Setup!$G6=1, Setup!G10=0),2,1)+ IF(I155&gt;0, IF(Jump!$W41="Peltast's Schynbalds",60,IF(Jump!$W41="Peltast's Schynbalds +1",70,0)), 0)</f>
        <v>803.34877125000003</v>
      </c>
      <c r="J173" s="79">
        <f>IF(J155&gt;0, J90*J155+J172, 0)</f>
        <v>0</v>
      </c>
      <c r="K173" s="127">
        <f>IF(K155&gt;0, K90*K155+K172, 0)</f>
        <v>0</v>
      </c>
      <c r="L173" s="79">
        <f ca="1">L90*L155*IF(AND(Setup!$F6=1, Setup!F10=0),3,1)</f>
        <v>1130.8238052675001</v>
      </c>
      <c r="M173" s="80">
        <f ca="1">M90*M155*IF(AND(Setup!$G6=1, Setup!G10=0),3,1)</f>
        <v>1130.8238052675001</v>
      </c>
    </row>
    <row r="174" spans="1:13" x14ac:dyDescent="0.2">
      <c r="A174" t="s">
        <v>452</v>
      </c>
      <c r="B174" s="11"/>
      <c r="C174" s="11"/>
      <c r="D174" s="13">
        <f ca="1">HLOOKUP($A174,INDIRECT(D$26),MATCH("Total",Slots,0)+1,0)</f>
        <v>0.1953125</v>
      </c>
      <c r="E174" s="168">
        <f ca="1">HLOOKUP($A174,INDIRECT(E$26),MATCH("Total",Slots,0)+1,0)</f>
        <v>0.1953125</v>
      </c>
    </row>
    <row r="175" spans="1:13" x14ac:dyDescent="0.2">
      <c r="A175" t="s">
        <v>102</v>
      </c>
      <c r="B175" s="11"/>
      <c r="C175" s="11"/>
      <c r="D175" s="11">
        <f ca="1">C21+HLOOKUP($A175,INDIRECT(D$26),MATCH("Total",Slots,0)+1,0) + (Setup!J13*250)</f>
        <v>250</v>
      </c>
      <c r="E175" s="37">
        <f ca="1">D21+HLOOKUP($A175,INDIRECT(E$26),MATCH("Total",Slots,0)+1,0) + (Setup!K13*250)</f>
        <v>250</v>
      </c>
    </row>
    <row r="176" spans="1:13" x14ac:dyDescent="0.2">
      <c r="A176" t="s">
        <v>349</v>
      </c>
      <c r="B176" s="11"/>
      <c r="C176" s="11"/>
      <c r="D176" s="8">
        <f ca="1">$B$20+HLOOKUP($A176,INDIRECT(D$26),MATCH("Total",Slots,0)+1,0)</f>
        <v>0.33</v>
      </c>
      <c r="E176" s="47">
        <f ca="1">$B$20+HLOOKUP($A176,INDIRECT(E$26),MATCH("Total",Slots,0)+1,0)</f>
        <v>0.33</v>
      </c>
    </row>
    <row r="177" spans="1:7" x14ac:dyDescent="0.2">
      <c r="A177" t="s">
        <v>1366</v>
      </c>
      <c r="B177" s="11"/>
      <c r="C177" s="11"/>
      <c r="D177" s="8">
        <f>IF(Gear!B30="Fotia Gorget",1%,0%)+IF(Gear!B38="Fotia Belt",1%,0%)</f>
        <v>0.02</v>
      </c>
      <c r="E177" s="47">
        <f>IF(Gear!X30="Fotia Gorget",1%,0%)+IF(Gear!X38="Fotia Belt",1%,0%)</f>
        <v>0.02</v>
      </c>
    </row>
    <row r="178" spans="1:7" x14ac:dyDescent="0.2">
      <c r="A178" t="s">
        <v>103</v>
      </c>
      <c r="B178" s="11"/>
      <c r="C178" s="11"/>
      <c r="D178" s="96">
        <f ca="1">1+HLOOKUP($A178,INDIRECT(D$26),MATCH("Total",Slots,0)+1,0) + B23 + C23</f>
        <v>1.1299999999999999</v>
      </c>
      <c r="E178" s="97">
        <f ca="1">1+HLOOKUP($A178,INDIRECT(E$26),MATCH("Total",Slots,0)+1,0) + B23 + D23</f>
        <v>1.1299999999999999</v>
      </c>
    </row>
    <row r="179" spans="1:7" x14ac:dyDescent="0.2">
      <c r="A179" t="s">
        <v>350</v>
      </c>
      <c r="D179" s="96">
        <f>100% + IF(Setup!B29="Geirskogul", IF(LEFT(Gear!$B3,7)="Gungnir",40%,0), 0) + IF(Setup!B29="Drakesbane", IF(LEFT(Gear!$B3,9)="Ryunohige",30%,0), 0)</f>
        <v>1</v>
      </c>
      <c r="E179" s="124">
        <f>100% + IF(Setup!C29="Geirskogul", IF(LEFT(Gear!$X3,7)="Gungnir",40%,0), 0) + IF(Setup!C29="Drakesbane", IF(LEFT(Gear!$X3,9)="Ryunohige",30%,0), 0)</f>
        <v>1</v>
      </c>
    </row>
    <row r="180" spans="1:7" x14ac:dyDescent="0.2">
      <c r="A180" t="s">
        <v>81</v>
      </c>
      <c r="B180" s="11"/>
      <c r="C180" s="11"/>
      <c r="D180" s="24">
        <f ca="1">C$22+TRUNC((VLOOKUP(Setup!$M40,CORTacticiansRoll,2,FALSE)
+IF(IFERROR(FIND("Empy",Setup!$J40,1),0)=0,0,'Other Lists'!$L$346)
+IF(IFERROR(FIND("+",Setup!$J40,1),0)=0,0,MID(Setup!$J40,FIND("+",Setup!$J40,1)+1,1))*'Other Lists'!$L$347)
*VLOOKUP(LEFT(Setup!$J40,IFERROR(FIND("+",Setup!$J40,1)-1,IFERROR(FIND(" ",Setup!$J40,1)-1,LEN(Setup!$J40)))),CORRollStates,2,FALSE),0) + IF(Setup!J19=1,10,0) +HLOOKUP($A180,INDIRECT(B$26),MATCH("Total",Slots,0)+1,0)</f>
        <v>0</v>
      </c>
      <c r="E180" s="81">
        <f ca="1">D$22+TRUNC((VLOOKUP(Setup!$N40,CORTacticiansRoll,2,FALSE)
+IF(IFERROR(FIND("Empy",Setup!$K40,1),0)=0,0,'Other Lists'!$L$346)
+IF(IFERROR(FIND("+",Setup!$K40,1),0)=0,0,MID(Setup!$K40,FIND("+",Setup!$K40,1)+1,1))*'Other Lists'!$L$347)
*VLOOKUP(LEFT(Setup!$K40,IFERROR(FIND("+",Setup!$K40,1)-1,IFERROR(FIND(" ",Setup!$K40,1)-1,LEN(Setup!$K40)))),CORRollStates,2,FALSE),0) + IF(Setup!K19=1,10,0) +HLOOKUP($A180,INDIRECT(C$26),MATCH("Total",Slots,0)+1,0)</f>
        <v>0</v>
      </c>
    </row>
    <row r="181" spans="1:7" x14ac:dyDescent="0.2">
      <c r="A181" t="s">
        <v>179</v>
      </c>
      <c r="B181" s="11"/>
      <c r="C181" s="11"/>
      <c r="D181" s="24">
        <f ca="1">+ IF(Setup!K19=1,10,0) + IF(Setup!K17=1, (TRUNC(Setup!K16/100)+1)*10, 0) +HLOOKUP($A180,INDIRECT(C$26),MATCH("Total",Slots,0)+1,0)</f>
        <v>0</v>
      </c>
      <c r="E181" s="81">
        <f ca="1">FLOOR(E180*C$170/60/3*3,1) + Setup!G56</f>
        <v>0</v>
      </c>
    </row>
    <row r="182" spans="1:7" x14ac:dyDescent="0.2">
      <c r="A182" t="s">
        <v>1695</v>
      </c>
      <c r="B182" s="11"/>
      <c r="C182" s="11"/>
      <c r="D182" s="24">
        <f ca="1">Weaponskill!Q3 * D179 * (1+D152) * (1+D153)</f>
        <v>10725.412339099068</v>
      </c>
      <c r="E182" s="81">
        <f ca="1">Weaponskill!R3 * E179 * (1+E152) * (1+E153)</f>
        <v>10938.782611097053</v>
      </c>
    </row>
    <row r="183" spans="1:7" x14ac:dyDescent="0.2">
      <c r="A183" t="s">
        <v>1694</v>
      </c>
      <c r="D183" s="24">
        <f>VLOOKUP(Setup!$B30,BreathToWS,2,FALSE)</f>
        <v>1086</v>
      </c>
      <c r="E183" s="81">
        <f>VLOOKUP(Setup!$C30,BreathToWS,3,FALSE)</f>
        <v>1086</v>
      </c>
    </row>
    <row r="184" spans="1:7" x14ac:dyDescent="0.2">
      <c r="A184" t="s">
        <v>1696</v>
      </c>
      <c r="D184" s="24">
        <f ca="1">D182+D183</f>
        <v>11811.412339099068</v>
      </c>
      <c r="E184" s="277">
        <f ca="1">E182+E183</f>
        <v>12024.782611097053</v>
      </c>
    </row>
    <row r="185" spans="1:7" x14ac:dyDescent="0.2">
      <c r="A185" t="s">
        <v>180</v>
      </c>
      <c r="D185" s="83">
        <f ca="1">Weaponskill!Q2</f>
        <v>2.6917331012774013</v>
      </c>
      <c r="E185" s="84">
        <f ca="1">Weaponskill!R2</f>
        <v>2.727555966792008</v>
      </c>
    </row>
    <row r="186" spans="1:7" x14ac:dyDescent="0.2">
      <c r="A186" t="s">
        <v>181</v>
      </c>
      <c r="D186" s="12">
        <f ca="1">D185*B$170+120</f>
        <v>595.67970899136571</v>
      </c>
      <c r="E186" s="85">
        <f ca="1">E185*C$170+120</f>
        <v>602.01028100652513</v>
      </c>
      <c r="G186" s="2"/>
    </row>
    <row r="187" spans="1:7" x14ac:dyDescent="0.2">
      <c r="A187" t="s">
        <v>182</v>
      </c>
      <c r="D187" s="12">
        <f ca="1">IF(F155&gt;0, 120*(D186/(F170*60)), 0) + IF(H155&gt;0, 120*(D186/(H170*60)), 0) + IF(J155&gt;0, 120*(D186/(J170*60)), 0) + IF(L155&gt;0, 120*(D186/(L170*60)), 0)</f>
        <v>30.68653046319157</v>
      </c>
      <c r="E187" s="85">
        <f ca="1">IF(G155&gt;0, 120*(E186/(G170*60)), 0) + IF(I155&gt;0, 120*(E186/(I170*60)), 0) + IF(K155&gt;0, 120*(E186/(K170*60)), 0) + IF(M155&gt;0, 120*(E186/(M170*60)), 0)</f>
        <v>31.012650839730085</v>
      </c>
      <c r="G187" s="2"/>
    </row>
    <row r="188" spans="1:7" x14ac:dyDescent="0.2">
      <c r="A188" t="s">
        <v>61</v>
      </c>
      <c r="D188" s="12">
        <f ca="1">D186 + D187 - (D186*Set1Fotia-B170*Set1Fotia*Set1OverTP)</f>
        <v>614.45264527473</v>
      </c>
      <c r="E188" s="125">
        <f ca="1">E186 + E187 - (E186*Set2Fotia-C170*Set2Fotia*Set2OverTP)</f>
        <v>620.98272622612478</v>
      </c>
      <c r="G188" s="2"/>
    </row>
    <row r="189" spans="1:7" x14ac:dyDescent="0.2">
      <c r="A189" t="s">
        <v>183</v>
      </c>
      <c r="D189" s="4">
        <f>IF(AND($D$1="SAM",Setup!F15=1),(180+Setup!$F$16)*60,0)</f>
        <v>12600</v>
      </c>
      <c r="E189" s="52">
        <f>IF(AND($D$1="SAM",Setup!G15=1),(180+Setup!$F$16)*60,0)</f>
        <v>12600</v>
      </c>
      <c r="G189" s="2"/>
    </row>
    <row r="190" spans="1:7" x14ac:dyDescent="0.2">
      <c r="A190" t="s">
        <v>184</v>
      </c>
      <c r="D190" s="12">
        <f ca="1">IF(D189&gt;0,D184*0.6*0.9*(D188/D189),0)</f>
        <v>311.03800955100036</v>
      </c>
      <c r="E190" s="85">
        <f ca="1">IF(E189&gt;0,E184*0.6*0.9*(E188/E189),0)</f>
        <v>320.02209806209487</v>
      </c>
      <c r="G190" s="2"/>
    </row>
    <row r="191" spans="1:7" x14ac:dyDescent="0.2">
      <c r="A191" t="s">
        <v>110</v>
      </c>
      <c r="D191" s="12">
        <f ca="1">(F163+H163)*D186/(F170*60) + (J163+L163)*D186/(J170*60)</f>
        <v>550.12864529770809</v>
      </c>
      <c r="E191" s="125">
        <f ca="1">(G163+I163)*E186/(G170*60) + (K163+M163)*E186/(K170*60)</f>
        <v>555.97512446107612</v>
      </c>
      <c r="G191" s="2"/>
    </row>
    <row r="192" spans="1:7" x14ac:dyDescent="0.2">
      <c r="A192" t="s">
        <v>185</v>
      </c>
      <c r="D192" s="12">
        <f ca="1">((F173+H173)/1000*D184*0.9)*(D186/(F170*60))+((J173+L173)/1000*D184*0.9)*(D186/(J170*60))</f>
        <v>2498.000147418556</v>
      </c>
      <c r="E192" s="125">
        <f ca="1">((G173+I173)/1000*E184*0.9)*(E186/(G170*60))+((K173+M173)/1000*E184*0.9)*(E186/(K170*60))</f>
        <v>2570.1529188998679</v>
      </c>
      <c r="G192" s="2"/>
    </row>
    <row r="193" spans="1:5" x14ac:dyDescent="0.2">
      <c r="A193" t="s">
        <v>186</v>
      </c>
      <c r="D193" s="12">
        <f ca="1">B163*D185+D184+D190+D191+D192</f>
        <v>19512.480979355165</v>
      </c>
      <c r="E193" s="125">
        <f ca="1">C163*E185+E184+E190+E191+E192</f>
        <v>19809.23734615789</v>
      </c>
    </row>
    <row r="194" spans="1:5" x14ac:dyDescent="0.2">
      <c r="A194" t="s">
        <v>187</v>
      </c>
      <c r="D194" s="86">
        <f ca="1">F171+H171+J171+L171</f>
        <v>55.411856774092207</v>
      </c>
      <c r="E194" s="126">
        <f ca="1">G171+I171+K171+M171</f>
        <v>55.411856774092207</v>
      </c>
    </row>
    <row r="195" spans="1:5" x14ac:dyDescent="0.2">
      <c r="A195" t="s">
        <v>62</v>
      </c>
      <c r="D195" s="12">
        <f ca="1">D193/(D188/60)</f>
        <v>1905.3524592409435</v>
      </c>
      <c r="E195" s="125">
        <f ca="1">E193/(E188/60)</f>
        <v>1913.9892151149354</v>
      </c>
    </row>
  </sheetData>
  <sheetProtection selectLockedCells="1" selectUnlockedCells="1"/>
  <phoneticPr fontId="6" type="noConversion"/>
  <conditionalFormatting sqref="F166:G166 J166:K166 B166:C166">
    <cfRule type="cellIs" dxfId="0" priority="1" stopIfTrue="1" operator="greaterThan">
      <formula>24%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/>
  </sheetPr>
  <dimension ref="A3:F50"/>
  <sheetViews>
    <sheetView workbookViewId="0">
      <selection activeCell="E10" sqref="E10"/>
    </sheetView>
  </sheetViews>
  <sheetFormatPr defaultRowHeight="12.75" x14ac:dyDescent="0.2"/>
  <cols>
    <col min="1" max="1" width="27.5703125" bestFit="1" customWidth="1"/>
    <col min="2" max="5" width="15.7109375" customWidth="1"/>
  </cols>
  <sheetData>
    <row r="3" spans="1:5" x14ac:dyDescent="0.2">
      <c r="A3" s="250" t="s">
        <v>1607</v>
      </c>
      <c r="B3" s="251" t="s">
        <v>1581</v>
      </c>
      <c r="C3" s="250" t="s">
        <v>1582</v>
      </c>
      <c r="D3" s="251" t="s">
        <v>1583</v>
      </c>
      <c r="E3" s="250" t="s">
        <v>1584</v>
      </c>
    </row>
    <row r="4" spans="1:5" x14ac:dyDescent="0.2">
      <c r="A4" s="247" t="s">
        <v>1613</v>
      </c>
      <c r="B4" s="248">
        <f>VALUE(IF(Breath!$P$24="Use Defaults",1,RIGHT(Breath!$P$24,1)))</f>
        <v>1</v>
      </c>
      <c r="C4" s="247">
        <f>VALUE(IF(Breath!$P$24="Use Defaults",2,RIGHT(Breath!$P$24,1)))</f>
        <v>2</v>
      </c>
      <c r="D4" s="248">
        <f>VALUE(IF(Breath!$P$24="Use Defaults",1,RIGHT(Breath!$P$24,1)))</f>
        <v>1</v>
      </c>
      <c r="E4" s="195">
        <f>VALUE(IF(Breath!$P$24="Use Defaults",2,RIGHT(Breath!$P$24,1)))</f>
        <v>2</v>
      </c>
    </row>
    <row r="5" spans="1:5" x14ac:dyDescent="0.2">
      <c r="A5" s="91" t="s">
        <v>1614</v>
      </c>
      <c r="B5" s="238">
        <f>VALUE(IF(Breath!$P$25="Use Defaults",1,RIGHT(Breath!$P$25,1)))</f>
        <v>1</v>
      </c>
      <c r="C5" s="91">
        <f>VALUE(IF(Breath!$P$25="Use Defaults",2,RIGHT(Breath!$P$25,1)))</f>
        <v>2</v>
      </c>
      <c r="D5" s="238">
        <f>VALUE(IF(Breath!$P$26="Use Defaults",1,RIGHT(Breath!$P$26,1)))</f>
        <v>1</v>
      </c>
      <c r="E5" s="246">
        <f>VALUE(IF(Breath!$P$26="Use Defaults",2,RIGHT(Breath!$P$26,1)))</f>
        <v>2</v>
      </c>
    </row>
    <row r="6" spans="1:5" x14ac:dyDescent="0.2">
      <c r="A6" s="93" t="s">
        <v>1587</v>
      </c>
      <c r="B6">
        <f>Breath!$P$4</f>
        <v>119</v>
      </c>
      <c r="C6" s="245">
        <f>Breath!$Q$4</f>
        <v>119</v>
      </c>
      <c r="D6">
        <f>Breath!$P$4</f>
        <v>119</v>
      </c>
      <c r="E6" s="245">
        <f>Breath!$Q$4</f>
        <v>119</v>
      </c>
    </row>
    <row r="7" spans="1:5" x14ac:dyDescent="0.2">
      <c r="A7" s="93" t="s">
        <v>1608</v>
      </c>
      <c r="B7">
        <f>IF(ISBLANK(B6),1,VLOOKUP(B6,WyvernLevel,2,0))</f>
        <v>1633</v>
      </c>
      <c r="C7" s="245">
        <f>IF(ISBLANK(C6),1,VLOOKUP(C6,WyvernLevel,2,0))</f>
        <v>1633</v>
      </c>
      <c r="D7">
        <f>IF(ISBLANK(D6),1,VLOOKUP(D6,WyvernLevel,2,0))</f>
        <v>1633</v>
      </c>
      <c r="E7" s="245">
        <f>IF(ISBLANK(E6),1,VLOOKUP(E6,WyvernLevel,2,0))</f>
        <v>1633</v>
      </c>
    </row>
    <row r="8" spans="1:5" x14ac:dyDescent="0.2">
      <c r="A8" s="93" t="s">
        <v>1610</v>
      </c>
      <c r="B8">
        <f>IF(Breath!P6="Healing Breath IV",Breath!P12*10,0)</f>
        <v>200</v>
      </c>
      <c r="C8" s="245">
        <f>IF(Breath!Q6="Healing Breath IV",Breath!Q12*10,0)</f>
        <v>200</v>
      </c>
      <c r="D8">
        <f>IF(Breath!P6="Healing Breath IV",Breath!P12*10,0)</f>
        <v>200</v>
      </c>
      <c r="E8" s="245">
        <f>IF(Breath!Q6="Healing Breath IV",Breath!Q12*10,0)</f>
        <v>200</v>
      </c>
    </row>
    <row r="9" spans="1:5" x14ac:dyDescent="0.2">
      <c r="A9" s="93" t="s">
        <v>1609</v>
      </c>
      <c r="B9">
        <f>Breath!C17</f>
        <v>400</v>
      </c>
      <c r="C9" s="245">
        <f>Breath!J17</f>
        <v>650</v>
      </c>
      <c r="D9">
        <f>Breath!C37</f>
        <v>170</v>
      </c>
      <c r="E9" s="245">
        <f>Breath!J37</f>
        <v>170</v>
      </c>
    </row>
    <row r="10" spans="1:5" x14ac:dyDescent="0.2">
      <c r="A10" s="264" t="s">
        <v>1611</v>
      </c>
      <c r="B10" s="91">
        <f>CHOOSE(B4,$B7+$B8,$C7+$C8)+CHOOSE(B5,$B9,$C9)</f>
        <v>2233</v>
      </c>
      <c r="C10" s="246">
        <f>CHOOSE(C4,$B7+$B8,$C7+$C8)+CHOOSE(C5,$B9,$C9)</f>
        <v>2483</v>
      </c>
      <c r="D10" s="91">
        <f>CHOOSE(D4,$D7+$D8,$E7+$E8)+CHOOSE(D5,$D9,$E9)</f>
        <v>2003</v>
      </c>
      <c r="E10" s="246">
        <f>CHOOSE(E4,$D7+$D8,$E7+$E8)+CHOOSE(E5,$D9,$E9)</f>
        <v>2003</v>
      </c>
    </row>
    <row r="11" spans="1:5" x14ac:dyDescent="0.2">
      <c r="A11" s="93" t="s">
        <v>1612</v>
      </c>
      <c r="B11" s="8">
        <f>Breath!$P$5*0.0003</f>
        <v>0.3</v>
      </c>
      <c r="C11" s="249">
        <f>Breath!$Q$5*0.0003</f>
        <v>0.3</v>
      </c>
      <c r="D11" s="8">
        <f>Breath!$P$5*0.0003</f>
        <v>0.3</v>
      </c>
      <c r="E11" s="249">
        <f>Breath!$Q$5*0.0003</f>
        <v>0.3</v>
      </c>
    </row>
    <row r="12" spans="1:5" x14ac:dyDescent="0.2">
      <c r="A12" s="93" t="s">
        <v>1615</v>
      </c>
      <c r="B12" s="8">
        <f>Breath!D17</f>
        <v>0.23</v>
      </c>
      <c r="C12" s="249">
        <f>Breath!K17</f>
        <v>0.23</v>
      </c>
      <c r="D12" s="8">
        <f>Breath!D37</f>
        <v>0</v>
      </c>
      <c r="E12" s="249">
        <f>Breath!K37</f>
        <v>0</v>
      </c>
    </row>
    <row r="13" spans="1:5" x14ac:dyDescent="0.2">
      <c r="A13" s="93" t="s">
        <v>1616</v>
      </c>
      <c r="B13" s="8">
        <f>CHOOSE(B4,$B11,$C11)+CHOOSE(B5,$B12,$C12)</f>
        <v>0.53</v>
      </c>
      <c r="C13" s="252">
        <f>CHOOSE(C4,$B11,$C11)+CHOOSE(C5,$B12,$C12)</f>
        <v>0.53</v>
      </c>
      <c r="D13" s="8">
        <f>CHOOSE(D4,$D11,$E11)+CHOOSE(D5,$D12,$E12)</f>
        <v>0.3</v>
      </c>
      <c r="E13" s="252">
        <f>CHOOSE(E4,$D11,$E11)+CHOOSE(E5,$D12,$E12)</f>
        <v>0.3</v>
      </c>
    </row>
    <row r="14" spans="1:5" x14ac:dyDescent="0.2">
      <c r="A14" s="261" t="s">
        <v>1618</v>
      </c>
      <c r="B14" s="248">
        <f>MAX(1,MIN(FLOOR(CHOOSE(B4,$B7+$B8,$C7+$C8)*(1+CHOOSE(B4,$B11,$C11)),1),9999))</f>
        <v>2382</v>
      </c>
      <c r="C14" s="247">
        <f>MAX(1,MIN(FLOOR(CHOOSE(C4,$B7+$B8,$C7+$C8)*(1+CHOOSE(C4,$B11,$C11)),1),9999))</f>
        <v>2382</v>
      </c>
      <c r="D14" s="248">
        <f>MAX(1,MIN(FLOOR(CHOOSE(D4,$D7+$D8,$E7+$E8)*(1+CHOOSE(D4,$D11,$E11)),1),9999))</f>
        <v>2382</v>
      </c>
      <c r="E14" s="195">
        <f>MAX(1,MIN(FLOOR(CHOOSE(E4,$D7+$D8,$E7+$E8)*(1+CHOOSE(E4,$D11,$E11)),1),9999))</f>
        <v>2382</v>
      </c>
    </row>
    <row r="15" spans="1:5" x14ac:dyDescent="0.2">
      <c r="A15" s="209" t="s">
        <v>1617</v>
      </c>
      <c r="B15" s="238">
        <f>MAX(1,MIN(FLOOR(B10*(1+B13),1),9999))</f>
        <v>3416</v>
      </c>
      <c r="C15" s="91">
        <f>MAX(1,MIN(FLOOR(C10*(1+C13),1),9999))</f>
        <v>3798</v>
      </c>
      <c r="D15" s="238">
        <f>MAX(1,MIN(FLOOR(D10*(1+D13),1),9999))</f>
        <v>2603</v>
      </c>
      <c r="E15" s="246">
        <f>MAX(1,MIN(FLOOR(E10*(1+E13),1),9999))</f>
        <v>2603</v>
      </c>
    </row>
    <row r="16" spans="1:5" x14ac:dyDescent="0.2">
      <c r="A16" s="262" t="s">
        <v>1620</v>
      </c>
      <c r="B16">
        <f>IF(ISBLANK(Breath!P$6),0,VLOOKUP(Breath!P$6,HealingBreath,2))</f>
        <v>63</v>
      </c>
      <c r="C16">
        <f>IF(ISBLANK(Breath!Q$6),0,VLOOKUP(Breath!Q$6,HealingBreath,2))</f>
        <v>63</v>
      </c>
      <c r="D16" s="248">
        <v>0</v>
      </c>
      <c r="E16" s="195">
        <v>0</v>
      </c>
    </row>
    <row r="17" spans="1:6" x14ac:dyDescent="0.2">
      <c r="A17" s="93" t="s">
        <v>1619</v>
      </c>
      <c r="B17">
        <f>MIN(Breath!E17,64)</f>
        <v>64</v>
      </c>
      <c r="C17" s="32">
        <f>MIN(Breath!L17,64)</f>
        <v>64</v>
      </c>
      <c r="D17" s="254">
        <f>MIN(Breath!E37,64)</f>
        <v>64</v>
      </c>
      <c r="E17" s="245">
        <f>MIN(Breath!L37,64)</f>
        <v>64</v>
      </c>
    </row>
    <row r="18" spans="1:6" x14ac:dyDescent="0.2">
      <c r="A18" s="93" t="s">
        <v>1621</v>
      </c>
      <c r="B18">
        <f>CHOOSE(B4,$B16,$C16)+CHOOSE(B5,$B17,$C17)</f>
        <v>127</v>
      </c>
      <c r="C18">
        <f>CHOOSE(C4,$B16,$C16)+CHOOSE(C5,$B17,$C17)</f>
        <v>127</v>
      </c>
      <c r="D18" s="238">
        <f>CHOOSE(D4,$D16,$E16)+CHOOSE(D5,$D17,$E17)</f>
        <v>64</v>
      </c>
      <c r="E18" s="246">
        <f>CHOOSE(E4,$D16,$E16)+CHOOSE(E5,$D17,$E17)</f>
        <v>64</v>
      </c>
    </row>
    <row r="19" spans="1:6" x14ac:dyDescent="0.2">
      <c r="A19" s="263" t="s">
        <v>1622</v>
      </c>
      <c r="B19" s="247">
        <f>Breath!$P$9</f>
        <v>2</v>
      </c>
      <c r="C19" s="247">
        <f>Breath!$Q$9</f>
        <v>5</v>
      </c>
      <c r="D19" s="248">
        <f>Breath!$P$9</f>
        <v>2</v>
      </c>
      <c r="E19" s="195">
        <f>Breath!$Q$9</f>
        <v>5</v>
      </c>
    </row>
    <row r="20" spans="1:6" x14ac:dyDescent="0.2">
      <c r="A20" s="264" t="s">
        <v>1627</v>
      </c>
      <c r="B20" s="91">
        <f>IF(ISBLANK(Breath!$B$3),0,VLOOKUP(Breath!$B$3,WyvernGear,6,0))</f>
        <v>1</v>
      </c>
      <c r="C20" s="91">
        <f>IF(ISBLANK(Breath!$I$3),0,VLOOKUP(Breath!$I$3,WyvernGear,6,0))</f>
        <v>1</v>
      </c>
      <c r="D20" s="238">
        <f>IF(ISBLANK(Breath!$B$23),0,VLOOKUP(Breath!$B$23,WyvernGear,6,0))</f>
        <v>1</v>
      </c>
      <c r="E20" s="246">
        <f>IF(ISBLANK(Breath!$I$3),0,VLOOKUP(Breath!$I$3,WyvernGear,6,0))</f>
        <v>1</v>
      </c>
    </row>
    <row r="21" spans="1:6" x14ac:dyDescent="0.2">
      <c r="A21" s="93" t="s">
        <v>1623</v>
      </c>
      <c r="B21">
        <f>FLOOR(37.5+(B19*12.5),1)</f>
        <v>62</v>
      </c>
      <c r="C21">
        <f t="shared" ref="C21" si="0">FLOOR(37.5+(C19*12.5),1)</f>
        <v>100</v>
      </c>
      <c r="D21" s="248"/>
      <c r="E21" s="195"/>
    </row>
    <row r="22" spans="1:6" x14ac:dyDescent="0.2">
      <c r="A22" s="262" t="s">
        <v>1625</v>
      </c>
      <c r="B22">
        <f>B20*B19*5</f>
        <v>10</v>
      </c>
      <c r="C22">
        <f>C20*C19*5</f>
        <v>25</v>
      </c>
      <c r="D22" s="254"/>
      <c r="E22" s="245"/>
    </row>
    <row r="23" spans="1:6" x14ac:dyDescent="0.2">
      <c r="A23" s="93" t="s">
        <v>1628</v>
      </c>
      <c r="B23">
        <f>CHOOSE(B4,$B21,$C21)+(CHOOSE(B4,$B19,$C19)*CHOOSE(B5,$B20,$C20)*5)</f>
        <v>72</v>
      </c>
      <c r="C23">
        <f>CHOOSE(C4,$B21,$C21)+(CHOOSE(C4,$B19,$C19)*CHOOSE(C5,$B20,$C20)*5)</f>
        <v>125</v>
      </c>
      <c r="D23" s="254"/>
      <c r="E23" s="245"/>
    </row>
    <row r="24" spans="1:6" x14ac:dyDescent="0.2">
      <c r="A24" s="93" t="s">
        <v>1624</v>
      </c>
      <c r="C24" s="32"/>
      <c r="D24" s="256">
        <f>1.75+(0.25*D19)</f>
        <v>2.25</v>
      </c>
      <c r="E24" s="249">
        <f>1.75+(0.25*E19)</f>
        <v>3</v>
      </c>
    </row>
    <row r="25" spans="1:6" x14ac:dyDescent="0.2">
      <c r="A25" s="93" t="s">
        <v>1626</v>
      </c>
      <c r="C25" s="32"/>
      <c r="D25" s="256">
        <f>D19*D20*0.1</f>
        <v>0.2</v>
      </c>
      <c r="E25" s="249">
        <f>E19*E20*0.1</f>
        <v>0.5</v>
      </c>
    </row>
    <row r="26" spans="1:6" x14ac:dyDescent="0.2">
      <c r="A26" s="264" t="s">
        <v>1629</v>
      </c>
      <c r="B26" s="91"/>
      <c r="C26" s="91"/>
      <c r="D26" s="257">
        <f>CHOOSE(D4,$D24,$E24)+(CHOOSE(D4,$D19,$E19)*CHOOSE(D5,$D20,$E20)*0.1)</f>
        <v>2.4500000000000002</v>
      </c>
      <c r="E26" s="252">
        <f>CHOOSE(E4,$D24,$E24)+(CHOOSE(E4,$D19,$E19)*CHOOSE(E5,$D20,$E20)*0.1)</f>
        <v>3.5</v>
      </c>
    </row>
    <row r="27" spans="1:6" x14ac:dyDescent="0.2">
      <c r="A27" s="93" t="s">
        <v>1650</v>
      </c>
      <c r="B27" s="48">
        <f>Breath!F17/100</f>
        <v>0.26</v>
      </c>
      <c r="C27" s="48">
        <f>Breath!M17/100</f>
        <v>0.1</v>
      </c>
      <c r="D27" s="258">
        <f>CHOOSE(D5,Breath!F37/100,Breath!M37/100)</f>
        <v>0.42</v>
      </c>
      <c r="E27" s="259">
        <f>CHOOSE(E5,Breath!F37/100,Breath!M37/100)</f>
        <v>0.42</v>
      </c>
    </row>
    <row r="28" spans="1:6" x14ac:dyDescent="0.2">
      <c r="A28" s="264" t="s">
        <v>1633</v>
      </c>
      <c r="B28" s="91"/>
      <c r="C28" s="91"/>
      <c r="D28" s="257">
        <f>D26+CHOOSE(D5,$D27,$E27)</f>
        <v>2.87</v>
      </c>
      <c r="E28" s="252">
        <f>E26+CHOOSE(E5,$D27,$E27)</f>
        <v>3.92</v>
      </c>
    </row>
    <row r="29" spans="1:6" x14ac:dyDescent="0.2">
      <c r="A29" s="245" t="s">
        <v>1630</v>
      </c>
      <c r="B29">
        <f>IF(ISBLANK(Breath!P$6),0,VLOOKUP(Breath!P$6,HealingBreath,3))</f>
        <v>60</v>
      </c>
      <c r="C29">
        <f>IF(ISBLANK(Breath!Q$6),0,VLOOKUP(Breath!Q$6,HealingBreath,3))</f>
        <v>60</v>
      </c>
      <c r="D29" s="254">
        <v>15</v>
      </c>
      <c r="E29" s="245">
        <v>15</v>
      </c>
    </row>
    <row r="30" spans="1:6" x14ac:dyDescent="0.2">
      <c r="A30" s="245" t="s">
        <v>1631</v>
      </c>
      <c r="B30">
        <f>Breath!P$13*10</f>
        <v>200</v>
      </c>
      <c r="C30">
        <f>Breath!Q$13*10</f>
        <v>200</v>
      </c>
      <c r="D30" s="254">
        <f>Breath!P$13*10</f>
        <v>200</v>
      </c>
      <c r="E30">
        <f>Breath!Q$13*10</f>
        <v>200</v>
      </c>
      <c r="F30" s="254"/>
    </row>
    <row r="31" spans="1:6" x14ac:dyDescent="0.2">
      <c r="A31" s="264" t="s">
        <v>1632</v>
      </c>
      <c r="B31" s="91">
        <f>CHOOSE(B4,$B29+$B30,$C29+$C30)</f>
        <v>260</v>
      </c>
      <c r="C31" s="91">
        <f>CHOOSE(C4,$B29+$B30,$C29+$C30)</f>
        <v>260</v>
      </c>
      <c r="D31" s="238">
        <f>CHOOSE(D4,$D29+$D30,$E29+$E30)</f>
        <v>215</v>
      </c>
      <c r="E31" s="246">
        <f t="shared" ref="E31" si="1">CHOOSE(E4,$D29+$D30,$E29+$E30)</f>
        <v>215</v>
      </c>
      <c r="F31" s="254"/>
    </row>
    <row r="32" spans="1:6" x14ac:dyDescent="0.2">
      <c r="A32" s="141" t="s">
        <v>1636</v>
      </c>
      <c r="B32" s="248">
        <f>FLOOR(B15 * (B$18/256),1)</f>
        <v>1694</v>
      </c>
      <c r="C32" s="195">
        <f>FLOOR(C15 * (C$18/256),1)</f>
        <v>1884</v>
      </c>
      <c r="D32" s="248">
        <f>FLOOR(D14/6,1)</f>
        <v>397</v>
      </c>
      <c r="E32" s="195">
        <f>FLOOR(E14/6,1)</f>
        <v>397</v>
      </c>
    </row>
    <row r="33" spans="1:5" x14ac:dyDescent="0.2">
      <c r="A33" s="141" t="s">
        <v>1637</v>
      </c>
      <c r="B33" s="254">
        <f>FLOOR(B15*((B18+B23)/256),1)</f>
        <v>2655</v>
      </c>
      <c r="C33" s="245">
        <f>FLOOR(C15*((C18+C23)/256),1)</f>
        <v>3738</v>
      </c>
      <c r="D33" s="254"/>
      <c r="E33" s="245"/>
    </row>
    <row r="34" spans="1:5" x14ac:dyDescent="0.2">
      <c r="A34" s="141" t="s">
        <v>1644</v>
      </c>
      <c r="B34" s="254"/>
      <c r="C34" s="245"/>
      <c r="D34" s="254">
        <v>0</v>
      </c>
      <c r="E34" s="245">
        <v>0</v>
      </c>
    </row>
    <row r="35" spans="1:5" x14ac:dyDescent="0.2">
      <c r="A35" s="91" t="s">
        <v>1645</v>
      </c>
      <c r="B35" s="238"/>
      <c r="C35" s="246"/>
      <c r="D35" s="238">
        <f>FLOOR(D15/6,1)</f>
        <v>433</v>
      </c>
      <c r="E35" s="246">
        <f>FLOOR(E15/6,1)</f>
        <v>433</v>
      </c>
    </row>
    <row r="36" spans="1:5" x14ac:dyDescent="0.2">
      <c r="A36" s="141" t="s">
        <v>1635</v>
      </c>
      <c r="B36" s="248">
        <f>B$31 + B32</f>
        <v>1954</v>
      </c>
      <c r="C36" s="195">
        <f>C$31 + C32</f>
        <v>2144</v>
      </c>
      <c r="D36" s="247">
        <f>D$31 + D32</f>
        <v>612</v>
      </c>
      <c r="E36" s="195">
        <f>E$31 + E32</f>
        <v>612</v>
      </c>
    </row>
    <row r="37" spans="1:5" x14ac:dyDescent="0.2">
      <c r="A37" s="141" t="s">
        <v>1634</v>
      </c>
      <c r="B37" s="254">
        <f t="shared" ref="B37" si="2">B$31 + B33</f>
        <v>2915</v>
      </c>
      <c r="C37" s="245">
        <f>C$31 + C33</f>
        <v>3998</v>
      </c>
      <c r="D37" s="32"/>
      <c r="E37" s="245"/>
    </row>
    <row r="38" spans="1:5" x14ac:dyDescent="0.2">
      <c r="A38" s="141" t="s">
        <v>1647</v>
      </c>
      <c r="B38" s="254"/>
      <c r="C38" s="245"/>
      <c r="D38" s="32">
        <f t="shared" ref="D38:E39" si="3">D$31 + D34</f>
        <v>215</v>
      </c>
      <c r="E38" s="245">
        <f t="shared" si="3"/>
        <v>215</v>
      </c>
    </row>
    <row r="39" spans="1:5" x14ac:dyDescent="0.2">
      <c r="A39" s="255" t="s">
        <v>1646</v>
      </c>
      <c r="B39" s="238"/>
      <c r="C39" s="246"/>
      <c r="D39" s="91">
        <f t="shared" si="3"/>
        <v>648</v>
      </c>
      <c r="E39" s="246">
        <f t="shared" si="3"/>
        <v>648</v>
      </c>
    </row>
    <row r="40" spans="1:5" x14ac:dyDescent="0.2">
      <c r="A40" s="260" t="s">
        <v>1638</v>
      </c>
      <c r="B40" s="248">
        <f>FLOOR((CHOOSE(B$5,$B27,$C27)+1) * B36,1)</f>
        <v>2462</v>
      </c>
      <c r="C40" s="195">
        <f>FLOOR((CHOOSE(C$5,$B27,$C27)+1) * C36,1)</f>
        <v>2358</v>
      </c>
      <c r="D40" s="248"/>
      <c r="E40" s="195"/>
    </row>
    <row r="41" spans="1:5" x14ac:dyDescent="0.2">
      <c r="A41" s="265" t="s">
        <v>1639</v>
      </c>
      <c r="B41" s="254">
        <f t="shared" ref="B41" si="4">FLOOR((CHOOSE(B$5,$B28,$C28)+1) * B37,1)</f>
        <v>2915</v>
      </c>
      <c r="C41" s="245">
        <f>FLOOR((CHOOSE(C$5,$B28,$C28)+1) * C37,1)</f>
        <v>3998</v>
      </c>
      <c r="D41" s="254"/>
      <c r="E41" s="245"/>
    </row>
    <row r="42" spans="1:5" x14ac:dyDescent="0.2">
      <c r="A42" s="262" t="s">
        <v>1654</v>
      </c>
      <c r="B42" s="248"/>
      <c r="C42" s="247"/>
      <c r="D42" s="248">
        <f>FLOOR(D36*((D$18/256)+1),1)</f>
        <v>765</v>
      </c>
      <c r="E42" s="195">
        <f>FLOOR(E36*((E$18/256)+1),1)</f>
        <v>765</v>
      </c>
    </row>
    <row r="43" spans="1:5" x14ac:dyDescent="0.2">
      <c r="A43" s="262" t="s">
        <v>1653</v>
      </c>
      <c r="B43" s="254"/>
      <c r="C43" s="32"/>
      <c r="D43" s="254">
        <f>FLOOR(D38*((D$18/256)+1),1)</f>
        <v>268</v>
      </c>
      <c r="E43" s="245">
        <f t="shared" ref="E43:E44" si="5">FLOOR(E38*((E$18/256)+1),1)</f>
        <v>268</v>
      </c>
    </row>
    <row r="44" spans="1:5" x14ac:dyDescent="0.2">
      <c r="A44" s="265" t="s">
        <v>1655</v>
      </c>
      <c r="B44" s="238"/>
      <c r="C44" s="91"/>
      <c r="D44" s="238">
        <f t="shared" ref="D44" si="6">FLOOR(D39*((D$18/256)+1),1)</f>
        <v>810</v>
      </c>
      <c r="E44" s="246">
        <f t="shared" si="5"/>
        <v>810</v>
      </c>
    </row>
    <row r="45" spans="1:5" x14ac:dyDescent="0.2">
      <c r="A45" s="260" t="s">
        <v>1648</v>
      </c>
      <c r="D45" s="254">
        <f>FLOOR(D42*(1+D$27),1)</f>
        <v>1086</v>
      </c>
      <c r="E45" s="245">
        <f t="shared" ref="E45:E47" si="7">FLOOR(E42*(1+E$27),1)</f>
        <v>1086</v>
      </c>
    </row>
    <row r="46" spans="1:5" x14ac:dyDescent="0.2">
      <c r="A46" s="253" t="s">
        <v>1641</v>
      </c>
      <c r="D46" s="254">
        <f t="shared" ref="D46" si="8">FLOOR(D43*(1+D$27),1)</f>
        <v>380</v>
      </c>
      <c r="E46" s="245">
        <f t="shared" si="7"/>
        <v>380</v>
      </c>
    </row>
    <row r="47" spans="1:5" x14ac:dyDescent="0.2">
      <c r="A47" s="253" t="s">
        <v>1640</v>
      </c>
      <c r="D47" s="254">
        <f t="shared" ref="D47" si="9">FLOOR(D44*(1+D$27),1)</f>
        <v>1150</v>
      </c>
      <c r="E47" s="245">
        <f t="shared" si="7"/>
        <v>1150</v>
      </c>
    </row>
    <row r="48" spans="1:5" x14ac:dyDescent="0.2">
      <c r="A48" s="262" t="s">
        <v>1649</v>
      </c>
      <c r="D48" s="254">
        <f>FLOOR(D42*D$28,1)</f>
        <v>2195</v>
      </c>
      <c r="E48" s="245">
        <f t="shared" ref="E48:E50" si="10">FLOOR(E42*E$28,1)</f>
        <v>2998</v>
      </c>
    </row>
    <row r="49" spans="1:5" x14ac:dyDescent="0.2">
      <c r="A49" s="253" t="s">
        <v>1642</v>
      </c>
      <c r="D49" s="254">
        <f t="shared" ref="D49" si="11">FLOOR(D43*D$28,1)</f>
        <v>769</v>
      </c>
      <c r="E49" s="245">
        <f t="shared" si="10"/>
        <v>1050</v>
      </c>
    </row>
    <row r="50" spans="1:5" x14ac:dyDescent="0.2">
      <c r="A50" s="255" t="s">
        <v>1643</v>
      </c>
      <c r="B50" s="91"/>
      <c r="C50" s="91"/>
      <c r="D50" s="238">
        <f t="shared" ref="D50" si="12">FLOOR(D44*D$28,1)</f>
        <v>2324</v>
      </c>
      <c r="E50" s="246">
        <f t="shared" si="10"/>
        <v>3175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3">
    <tabColor indexed="47"/>
  </sheetPr>
  <dimension ref="A1:AE1064"/>
  <sheetViews>
    <sheetView workbookViewId="0">
      <selection activeCell="Q10" sqref="Q10"/>
    </sheetView>
  </sheetViews>
  <sheetFormatPr defaultRowHeight="12.75" x14ac:dyDescent="0.2"/>
  <cols>
    <col min="1" max="1" width="15.28515625" style="98" customWidth="1"/>
    <col min="2" max="2" width="8.85546875" style="98" customWidth="1"/>
    <col min="3" max="3" width="8" style="98" customWidth="1"/>
    <col min="4" max="4" width="8.5703125" style="98" customWidth="1"/>
    <col min="5" max="5" width="8.85546875" style="98" customWidth="1"/>
    <col min="6" max="6" width="8.5703125" style="98" customWidth="1"/>
    <col min="7" max="7" width="8.28515625" style="98" customWidth="1"/>
    <col min="8" max="8" width="7.42578125" style="98" customWidth="1"/>
    <col min="9" max="9" width="9.5703125" style="98" customWidth="1"/>
    <col min="10" max="10" width="9.28515625" style="98" customWidth="1"/>
    <col min="11" max="12" width="10.28515625" style="98" customWidth="1"/>
    <col min="13" max="13" width="9.5703125" style="98" customWidth="1"/>
    <col min="14" max="14" width="11.28515625" style="98" customWidth="1"/>
    <col min="15" max="15" width="9.140625" style="98"/>
    <col min="16" max="16" width="12.140625" style="98" customWidth="1"/>
    <col min="17" max="17" width="9.28515625" style="98" customWidth="1"/>
    <col min="18" max="18" width="9.140625" style="98"/>
    <col min="19" max="19" width="9.7109375" style="98" customWidth="1"/>
    <col min="20" max="20" width="8.28515625" style="98" customWidth="1"/>
    <col min="21" max="21" width="8.140625" style="98" customWidth="1"/>
    <col min="22" max="22" width="8.5703125" style="98" customWidth="1"/>
    <col min="23" max="23" width="9.28515625" style="98" customWidth="1"/>
    <col min="24" max="25" width="8.140625" style="98" customWidth="1"/>
    <col min="26" max="26" width="9.140625" style="98"/>
    <col min="27" max="27" width="8.5703125" style="98" customWidth="1"/>
    <col min="28" max="28" width="7.28515625" style="98" customWidth="1"/>
    <col min="29" max="29" width="8.42578125" style="98" customWidth="1"/>
    <col min="30" max="30" width="8.5703125" style="98" customWidth="1"/>
    <col min="31" max="16384" width="9.140625" style="98"/>
  </cols>
  <sheetData>
    <row r="1" spans="1:28" x14ac:dyDescent="0.2">
      <c r="A1" s="98" t="s">
        <v>382</v>
      </c>
      <c r="I1" s="225" t="s">
        <v>1710</v>
      </c>
      <c r="L1" s="225" t="s">
        <v>1711</v>
      </c>
      <c r="Q1" s="100" t="s">
        <v>188</v>
      </c>
      <c r="R1" s="100" t="s">
        <v>189</v>
      </c>
    </row>
    <row r="2" spans="1:28" x14ac:dyDescent="0.2">
      <c r="A2" s="129" t="str">
        <f>Setup!B29</f>
        <v>Stardiver</v>
      </c>
      <c r="F2" s="101"/>
      <c r="I2" s="98" t="str">
        <f>VLOOKUP($A$2, WeaponskillData, MATCH("WSC1 Name", WeaponskillDataCols, 0), 0)</f>
        <v>Str</v>
      </c>
      <c r="J2" s="130">
        <f ca="1">INDIRECT($A$1 &amp; "WS" &amp; I2)</f>
        <v>354</v>
      </c>
      <c r="K2" s="131">
        <f>IF(AND(LEFT(Gear!$B3,8)="Trishula",$A$2="Stardiver"),85%,VLOOKUP($A$2, WeaponskillData, MATCH("WSC1 Value", WeaponskillDataCols, 0), 0))</f>
        <v>0.85</v>
      </c>
      <c r="L2" s="98" t="str">
        <f>IF(Gear!$B4="Utu Grip","Dex","N/A")</f>
        <v>N/A</v>
      </c>
      <c r="M2" s="98">
        <f ca="1">IF(L2&lt;&gt;"N/A",INDIRECT($A$1 &amp; "WS" &amp; L2),0)</f>
        <v>0</v>
      </c>
      <c r="N2" s="101">
        <f>IF(Gear!$B4="Utu Grip",10%,0%)</f>
        <v>0</v>
      </c>
      <c r="P2" s="100" t="s">
        <v>192</v>
      </c>
      <c r="Q2" s="132">
        <f ca="1">T531+Set1OverTP</f>
        <v>2.6917331012774013</v>
      </c>
      <c r="R2" s="132">
        <f ca="1">T1064+Set2OverTP</f>
        <v>2.727555966792008</v>
      </c>
    </row>
    <row r="3" spans="1:28" x14ac:dyDescent="0.2">
      <c r="A3" s="98" t="s">
        <v>190</v>
      </c>
      <c r="B3" s="107">
        <f ca="1">Set1MeleeTP</f>
        <v>207</v>
      </c>
      <c r="D3" s="98" t="s">
        <v>191</v>
      </c>
      <c r="E3" s="101">
        <f ca="1">Set1DA</f>
        <v>0.36</v>
      </c>
      <c r="F3" s="101">
        <f ca="1">Set1DA</f>
        <v>0.36</v>
      </c>
      <c r="I3" s="98" t="str">
        <f>VLOOKUP($A$2, WeaponskillData, MATCH("WSC2 Name", WeaponskillDataCols, 0), 0)</f>
        <v>N/A</v>
      </c>
      <c r="J3" s="130">
        <f ca="1">IF(I3&lt;&gt;"N/A", INDIRECT($A$1 &amp; "WS" &amp; I3), 0)</f>
        <v>0</v>
      </c>
      <c r="K3" s="131">
        <f>IF(I3&lt;&gt;"N/A", VLOOKUP($A$2, WeaponskillData, MATCH("WSC2 Value", WeaponskillDataCols, 0), 0), 0)</f>
        <v>0</v>
      </c>
      <c r="P3" s="100" t="s">
        <v>195</v>
      </c>
      <c r="Q3" s="120">
        <f ca="1">X531</f>
        <v>10725.412339099068</v>
      </c>
      <c r="R3" s="120">
        <f ca="1">X1064</f>
        <v>10938.782611097053</v>
      </c>
    </row>
    <row r="4" spans="1:28" x14ac:dyDescent="0.2">
      <c r="A4" s="98" t="s">
        <v>193</v>
      </c>
      <c r="B4" s="98">
        <f ca="1">Set1WSTP</f>
        <v>168</v>
      </c>
      <c r="D4" s="98" t="s">
        <v>194</v>
      </c>
      <c r="E4" s="101">
        <f ca="1">Set1TA</f>
        <v>0.09</v>
      </c>
      <c r="F4" s="101">
        <f ca="1">Set1TA</f>
        <v>0.09</v>
      </c>
      <c r="I4" s="98" t="s">
        <v>197</v>
      </c>
      <c r="J4" s="98">
        <f ca="1">TRUNC(J2*K2+J3*K3+M2*N2)</f>
        <v>300</v>
      </c>
    </row>
    <row r="5" spans="1:28" x14ac:dyDescent="0.2">
      <c r="A5" s="98" t="s">
        <v>383</v>
      </c>
      <c r="B5" s="98">
        <f ca="1">Set1WSStoreTP</f>
        <v>26</v>
      </c>
      <c r="D5" s="98" t="s">
        <v>196</v>
      </c>
      <c r="E5" s="101">
        <f ca="1">Set1QA</f>
        <v>0.03</v>
      </c>
      <c r="F5" s="101">
        <f ca="1">Set1QA</f>
        <v>0.03</v>
      </c>
      <c r="I5" s="98" t="s">
        <v>199</v>
      </c>
      <c r="J5" s="113">
        <f>VLOOKUP($A$2, WeaponskillData, MATCH("FTP1", WeaponskillDataCols, 0), 0)</f>
        <v>0.75</v>
      </c>
      <c r="K5" s="113">
        <f>VLOOKUP($A$2, WeaponskillData, MATCH("FTP2", WeaponskillDataCols, 0), 0)</f>
        <v>1.25</v>
      </c>
      <c r="L5" s="113">
        <f>VLOOKUP($A$2, WeaponskillData, MATCH("FTP3", WeaponskillDataCols, 0), 0)</f>
        <v>1.75</v>
      </c>
    </row>
    <row r="6" spans="1:28" x14ac:dyDescent="0.2">
      <c r="A6" s="98" t="s">
        <v>198</v>
      </c>
      <c r="B6" s="98">
        <f ca="1">TRUNC(10*(1+B5/100))</f>
        <v>12</v>
      </c>
      <c r="D6" t="s">
        <v>437</v>
      </c>
      <c r="E6" s="101">
        <f>Melee!B24</f>
        <v>0</v>
      </c>
      <c r="F6" s="101">
        <v>0</v>
      </c>
      <c r="I6" s="134" t="s">
        <v>201</v>
      </c>
      <c r="J6" s="113">
        <f ca="1">J5+Set1FTP</f>
        <v>0.9453125</v>
      </c>
      <c r="K6" s="113">
        <f ca="1">K5+Set1FTP</f>
        <v>1.4453125</v>
      </c>
      <c r="L6" s="113">
        <f ca="1">L5+Set1FTP</f>
        <v>1.9453125</v>
      </c>
      <c r="U6" s="225"/>
    </row>
    <row r="7" spans="1:28" x14ac:dyDescent="0.2">
      <c r="A7" s="98" t="s">
        <v>200</v>
      </c>
      <c r="B7" s="99">
        <f ca="1">Set1WSHitRate</f>
        <v>0.95</v>
      </c>
      <c r="D7" t="s">
        <v>438</v>
      </c>
      <c r="E7" s="101">
        <f>Melee!B25</f>
        <v>0</v>
      </c>
      <c r="F7" s="101">
        <v>0</v>
      </c>
      <c r="I7" s="98" t="s">
        <v>202</v>
      </c>
      <c r="J7" s="107">
        <f ca="1">MIN(TRUNC(V531+Set1TPBonus+Set1Fotia*Set1OverTP*AvgHitsPerRound1*Set1MeleeTP), 3000)</f>
        <v>1441</v>
      </c>
      <c r="K7" s="98" t="s">
        <v>203</v>
      </c>
      <c r="L7" s="113">
        <f ca="1">IF(J7&lt;1000, 0, IF(J7&lt;2000, J6+(J7-1000)/1000*(K6-J6), K6+(J7-2000)/1000*(L6-K6)))</f>
        <v>1.1658124999999999</v>
      </c>
    </row>
    <row r="8" spans="1:28" x14ac:dyDescent="0.2">
      <c r="D8" t="s">
        <v>439</v>
      </c>
      <c r="E8" s="101">
        <f>Melee!B26</f>
        <v>0</v>
      </c>
      <c r="F8" s="101">
        <v>0</v>
      </c>
      <c r="I8" s="98" t="s">
        <v>205</v>
      </c>
      <c r="J8" s="131">
        <f>VLOOKUP($A$2, WeaponskillData, MATCH("Crit0", WeaponskillDataCols, 0), 0)</f>
        <v>0</v>
      </c>
      <c r="K8" s="118">
        <f ca="1">(MIN(J7-1000, 1000)/1000)*VLOOKUP($A$2, WeaponskillData, MATCH("Crit1", WeaponskillDataCols, 0), 0) + (MAX(J7-2000, 0)/1000)*VLOOKUP($A$2, WeaponskillData, MATCH("Crit2", WeaponskillDataCols, 0), 0)</f>
        <v>0</v>
      </c>
      <c r="P8" s="98" t="s">
        <v>206</v>
      </c>
      <c r="Q8" s="104">
        <f>Set1OverTP</f>
        <v>0</v>
      </c>
    </row>
    <row r="9" spans="1:28" x14ac:dyDescent="0.2">
      <c r="A9" s="98" t="s">
        <v>204</v>
      </c>
      <c r="B9" s="98">
        <f>VLOOKUP($A$2, WeaponskillData, MATCH("Extra Hits", WeaponskillDataCols, 0), 0)</f>
        <v>3</v>
      </c>
      <c r="K9" s="98" t="s">
        <v>208</v>
      </c>
      <c r="L9" s="98" t="s">
        <v>209</v>
      </c>
      <c r="M9" s="98" t="s">
        <v>131</v>
      </c>
      <c r="P9" s="98" t="s">
        <v>343</v>
      </c>
      <c r="Q9" s="101">
        <f ca="1">Set1ConserveTP</f>
        <v>0.33</v>
      </c>
    </row>
    <row r="10" spans="1:28" x14ac:dyDescent="0.2">
      <c r="A10" s="98" t="s">
        <v>207</v>
      </c>
      <c r="B10" s="98">
        <f>VLOOKUP($A$2, WeaponskillData, MATCH("Offhand", WeaponskillDataCols, 0), 0)</f>
        <v>0</v>
      </c>
      <c r="I10" s="98" t="s">
        <v>210</v>
      </c>
      <c r="J10" s="98">
        <f ca="1">Set1MainDmg</f>
        <v>347</v>
      </c>
      <c r="K10" s="98">
        <f ca="1">FLOOR((J10+J4)*L7, 1)</f>
        <v>754</v>
      </c>
      <c r="L10" s="118">
        <f>IF(J8=0, 0, MIN($J$8+$K$8+Set1CritMain, 100%))</f>
        <v>0</v>
      </c>
      <c r="M10" s="101">
        <f ca="1">Set1CritDmg</f>
        <v>1.08</v>
      </c>
      <c r="P10" s="98" t="s">
        <v>344</v>
      </c>
      <c r="Q10" s="98">
        <f ca="1">Set1SaveTP</f>
        <v>0</v>
      </c>
      <c r="V10" s="225"/>
    </row>
    <row r="11" spans="1:28" x14ac:dyDescent="0.2">
      <c r="I11" s="98" t="s">
        <v>211</v>
      </c>
      <c r="J11" s="98">
        <f ca="1">Set1MainDmg</f>
        <v>347</v>
      </c>
      <c r="K11" s="98">
        <f ca="1">IF(J11&gt;0, FLOOR((J11+$J$4) * IF(VLOOKUP($A$2, WeaponskillData, MATCH("FTPCarry", WeaponskillDataCols, 0), 0)=1, $L$7, 1), 1), 0)</f>
        <v>754</v>
      </c>
      <c r="L11" s="118">
        <f>IF(J8=0, 0, MIN($J$8+$K$8+Set1CritMain, 100%))</f>
        <v>0</v>
      </c>
      <c r="M11" s="101">
        <f ca="1">Set1CritDmg</f>
        <v>1.08</v>
      </c>
      <c r="P11" s="98" t="s">
        <v>378</v>
      </c>
      <c r="Q11" s="98">
        <f>Set1MinTP</f>
        <v>1000</v>
      </c>
      <c r="V11" s="225"/>
      <c r="AA11" s="133"/>
    </row>
    <row r="12" spans="1:28" x14ac:dyDescent="0.2">
      <c r="I12" s="98" t="s">
        <v>212</v>
      </c>
      <c r="J12" s="98">
        <v>0</v>
      </c>
      <c r="K12" s="98">
        <f>IF(J12&gt;0, FLOOR((J12+$J$4) * IF(VLOOKUP($A$2, WeaponskillData, MATCH("FTPCarry", WeaponskillDataCols, 0), 0)=1, $L$7, 1), 1), 0)</f>
        <v>0</v>
      </c>
      <c r="L12" s="118">
        <f>IF(J8=0, 0, MIN($J$8+$K$8+Set1CritMain, 100%))</f>
        <v>0</v>
      </c>
      <c r="P12" s="121" t="s">
        <v>402</v>
      </c>
      <c r="Q12" s="101">
        <f ca="1">Set1WSDmg</f>
        <v>1.1299999999999999</v>
      </c>
      <c r="V12" s="107"/>
      <c r="AB12" s="104"/>
    </row>
    <row r="13" spans="1:28" x14ac:dyDescent="0.2">
      <c r="I13" s="98" t="s">
        <v>213</v>
      </c>
      <c r="J13" s="98">
        <f ca="1">Set1OffDmg</f>
        <v>347</v>
      </c>
      <c r="K13" s="98">
        <f ca="1">IF(J13&gt;0, FLOOR((J13+$J$4) * IF(VLOOKUP($A$2, WeaponskillData, MATCH("FTPCarry", WeaponskillDataCols, 0), 0)=1, $L$7, 1), 1), 0)</f>
        <v>754</v>
      </c>
      <c r="L13" s="118">
        <f>IF(J8=0, 0, MIN($J$8+$K$8+Set1CritOff, 100%))</f>
        <v>0</v>
      </c>
      <c r="AA13" s="130"/>
    </row>
    <row r="14" spans="1:28" x14ac:dyDescent="0.2">
      <c r="I14" s="98" t="s">
        <v>164</v>
      </c>
      <c r="J14" s="135">
        <f ca="1">Set1CRatio</f>
        <v>2.7626628075253254</v>
      </c>
      <c r="K14" t="s">
        <v>522</v>
      </c>
      <c r="L14" s="135">
        <f ca="1">Data!D119</f>
        <v>2.8317293777134585</v>
      </c>
      <c r="M14" s="135">
        <f ca="1">Data!D135</f>
        <v>3.8567293777134584</v>
      </c>
      <c r="AA14" s="133"/>
    </row>
    <row r="15" spans="1:28" x14ac:dyDescent="0.2">
      <c r="F15" s="98">
        <f ca="1">IF(A18=3, $E$5, IF(A18=2, (1-$E$5)*$E$4 + (1-$E$5)*(1-$E$4)*(1-$E$3)*$E$6*$E$8, IF(A18=1, (1-$E$5)*(1-$E$4)*$E$3 + (1-$E$5)*(1-$E$4)*(1-$E$3)*$E$6*$E$7, (1-$E$5)*(1-$E$4)*(1-$E$3)*(1-$E$6)))) * IF($B$9+$B$10&gt;0, IF(B18=3, $F$5, IF(B18=2, (1-$F$5)*$F$4, IF(B18=1, (1-$F$5)*(1-$F$4)*$F$3, (1-$F$5)*(1-$F$4)*(1-$F$3)))), IF(B18=0, 1, 0))</f>
        <v>0.31914364518399996</v>
      </c>
      <c r="I15" s="98" t="s">
        <v>214</v>
      </c>
      <c r="J15" s="130">
        <f ca="1">Set1Regain</f>
        <v>0</v>
      </c>
      <c r="K15" s="144"/>
    </row>
    <row r="17" spans="1:31" x14ac:dyDescent="0.2">
      <c r="A17" s="98" t="s">
        <v>384</v>
      </c>
      <c r="B17" s="98" t="s">
        <v>385</v>
      </c>
      <c r="C17" s="98" t="s">
        <v>216</v>
      </c>
      <c r="D17" s="134" t="s">
        <v>218</v>
      </c>
      <c r="E17" s="98" t="s">
        <v>217</v>
      </c>
      <c r="F17" s="98" t="s">
        <v>386</v>
      </c>
      <c r="G17" s="98" t="s">
        <v>219</v>
      </c>
      <c r="H17" s="98" t="s">
        <v>220</v>
      </c>
      <c r="I17" s="98" t="s">
        <v>221</v>
      </c>
      <c r="J17" s="98" t="s">
        <v>222</v>
      </c>
      <c r="K17" s="101" t="s">
        <v>223</v>
      </c>
      <c r="L17" s="98" t="s">
        <v>224</v>
      </c>
      <c r="M17" s="98" t="s">
        <v>379</v>
      </c>
      <c r="N17" s="100" t="s">
        <v>380</v>
      </c>
      <c r="O17" s="115" t="s">
        <v>225</v>
      </c>
      <c r="P17" s="115" t="s">
        <v>226</v>
      </c>
      <c r="Q17" s="115" t="s">
        <v>227</v>
      </c>
      <c r="R17" s="115" t="s">
        <v>228</v>
      </c>
      <c r="S17" s="115" t="s">
        <v>229</v>
      </c>
      <c r="T17" s="110" t="s">
        <v>230</v>
      </c>
      <c r="U17" s="110" t="s">
        <v>231</v>
      </c>
      <c r="V17" s="110" t="s">
        <v>232</v>
      </c>
      <c r="W17" s="110" t="s">
        <v>233</v>
      </c>
      <c r="X17" s="110" t="s">
        <v>234</v>
      </c>
      <c r="Y17" s="121" t="s">
        <v>488</v>
      </c>
    </row>
    <row r="18" spans="1:31" x14ac:dyDescent="0.2">
      <c r="A18" s="98">
        <v>0</v>
      </c>
      <c r="B18" s="98">
        <v>0</v>
      </c>
      <c r="C18" s="98">
        <f t="shared" ref="C18:C81" si="0">MIN(8, 1+$B$10+$B$9+A18+B18)</f>
        <v>4</v>
      </c>
      <c r="D18" s="98">
        <f t="shared" ref="D18:D81" si="1">C18-(1+$B$10)</f>
        <v>3</v>
      </c>
      <c r="E18" s="98">
        <f t="shared" ref="E18:E81" si="2">MIN(A18, C18-(1+$B$10+$B$9))</f>
        <v>0</v>
      </c>
      <c r="F18" s="118">
        <f t="shared" ref="F18:F81" ca="1" si="3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0.31914364518399996</v>
      </c>
      <c r="G18" s="98">
        <v>1</v>
      </c>
      <c r="H18" s="98">
        <v>1</v>
      </c>
      <c r="I18" s="98">
        <v>7</v>
      </c>
      <c r="J18" s="118">
        <f t="shared" ref="J18:J81" si="4">POWER(95%,G18)*POWER(5%, 1-G18) * IF($B$10=0, IF(H18=0, 1, 0), POWER(Set1WSHitRate,H18)*POWER(1-Set1WSHitRate, 1-H18)) * IF(I18&lt;=D18, POWER(Set1WSHitRate, I18)*POWER(1-Set1WSHitRate, D18-I18)*COMBIN(D18,I18), 0)</f>
        <v>0</v>
      </c>
      <c r="K18" s="118">
        <f t="shared" ref="K18:K81" ca="1" si="5">F18*J18</f>
        <v>0</v>
      </c>
      <c r="L18" s="133">
        <f t="shared" ref="L18:L81" ca="1" si="6">MAX((G18+H18)*Set1WSTP + I18*$B$6, Set1SaveTP)</f>
        <v>420</v>
      </c>
      <c r="M18" s="130">
        <f t="shared" ref="M18:M81" ca="1" si="7">MAX(Set1MinTP-(L18+Set1Regain), 0)</f>
        <v>580</v>
      </c>
      <c r="N18" s="100">
        <f t="shared" ref="N18:N81" ca="1" si="8">CEILING(M18/Set1MeleeTP, 1)</f>
        <v>3</v>
      </c>
      <c r="O18" s="136">
        <f t="shared" ref="O18:O81" ca="1" si="9">VLOOKUP(N18,AvgRoundsSet1,2)</f>
        <v>2.0946097612518035</v>
      </c>
      <c r="P18" s="136">
        <f t="shared" ref="P18:P81" ca="1" si="1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20.946097612518034</v>
      </c>
      <c r="Q18" s="136">
        <f t="shared" ref="Q18:Q81" ca="1" si="1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20.946097612518034</v>
      </c>
      <c r="R18" s="136">
        <f t="shared" ref="R18:R81" ca="1" si="12">(P18+Q18)/20</f>
        <v>2.0946097612518035</v>
      </c>
      <c r="S18" s="136">
        <f t="shared" ref="S18:S81" ca="1" si="13">R18*Set1ConserveTP + O18*(1-Set1ConserveTP)</f>
        <v>2.0946097612518035</v>
      </c>
      <c r="T18" s="104">
        <f t="shared" ref="T18:T81" ca="1" si="14">K18*S18</f>
        <v>0</v>
      </c>
      <c r="U18" s="87">
        <f t="shared" ref="U18:U81" ca="1" si="15">MIN(L18+(S18+Set1OverTP)*AvgHitsPerRound1*Set1MeleeTP + Set1Regain + 105*Set1ConserveTP, 3000)</f>
        <v>1194.1775349459019</v>
      </c>
      <c r="V18" s="104">
        <f t="shared" ref="V18:V81" ca="1" si="16">U18*K18</f>
        <v>0</v>
      </c>
      <c r="W18" s="133">
        <f t="shared" ref="W18:W81" ca="1" si="17">G18*$K$10*((1-$L$10)*$L$14 + $L$10*$M$14*$M$10)*Set1WSDmg + H18*$K$13*((1-$L$13)*$L$14 + $L$13*$M$14*$M$11) + I18*$K$11*((1-$L$11)*$L$14 + $L$11*$M$14*$M$11) + E18*$K$12*$L$12*$M$10</f>
        <v>19493.681670767</v>
      </c>
      <c r="X18" s="104">
        <f t="shared" ref="X18:X81" ca="1" si="18">K18*W18</f>
        <v>0</v>
      </c>
      <c r="Y18" s="135">
        <f ca="1">K18*L18</f>
        <v>0</v>
      </c>
      <c r="AE18" s="104"/>
    </row>
    <row r="19" spans="1:31" x14ac:dyDescent="0.2">
      <c r="A19" s="98">
        <v>0</v>
      </c>
      <c r="B19" s="98">
        <v>0</v>
      </c>
      <c r="C19" s="98">
        <f t="shared" si="0"/>
        <v>4</v>
      </c>
      <c r="D19" s="98">
        <f t="shared" si="1"/>
        <v>3</v>
      </c>
      <c r="E19" s="98">
        <f t="shared" si="2"/>
        <v>0</v>
      </c>
      <c r="F19" s="118">
        <f t="shared" ca="1" si="3"/>
        <v>0.31914364518399996</v>
      </c>
      <c r="G19" s="98">
        <v>1</v>
      </c>
      <c r="H19" s="98">
        <v>1</v>
      </c>
      <c r="I19" s="98">
        <v>6</v>
      </c>
      <c r="J19" s="118">
        <f t="shared" si="4"/>
        <v>0</v>
      </c>
      <c r="K19" s="118">
        <f t="shared" ca="1" si="5"/>
        <v>0</v>
      </c>
      <c r="L19" s="133">
        <f t="shared" ca="1" si="6"/>
        <v>408</v>
      </c>
      <c r="M19" s="130">
        <f t="shared" ca="1" si="7"/>
        <v>592</v>
      </c>
      <c r="N19" s="100">
        <f t="shared" ca="1" si="8"/>
        <v>3</v>
      </c>
      <c r="O19" s="136">
        <f t="shared" ca="1" si="9"/>
        <v>2.0946097612518035</v>
      </c>
      <c r="P19" s="136">
        <f t="shared" ca="1" si="10"/>
        <v>20.946097612518034</v>
      </c>
      <c r="Q19" s="136">
        <f t="shared" ca="1" si="11"/>
        <v>20.946097612518034</v>
      </c>
      <c r="R19" s="136">
        <f t="shared" ca="1" si="12"/>
        <v>2.0946097612518035</v>
      </c>
      <c r="S19" s="136">
        <f t="shared" ca="1" si="13"/>
        <v>2.0946097612518035</v>
      </c>
      <c r="T19" s="104">
        <f t="shared" ca="1" si="14"/>
        <v>0</v>
      </c>
      <c r="U19" s="87">
        <f t="shared" ca="1" si="15"/>
        <v>1182.1775349459019</v>
      </c>
      <c r="V19" s="104">
        <f t="shared" ca="1" si="16"/>
        <v>0</v>
      </c>
      <c r="W19" s="133">
        <f t="shared" ca="1" si="17"/>
        <v>17358.557719971053</v>
      </c>
      <c r="X19" s="104">
        <f t="shared" ca="1" si="18"/>
        <v>0</v>
      </c>
      <c r="Y19" s="135">
        <f t="shared" ref="Y19:Y82" ca="1" si="19">K19*L19</f>
        <v>0</v>
      </c>
      <c r="AE19" s="104"/>
    </row>
    <row r="20" spans="1:31" x14ac:dyDescent="0.2">
      <c r="A20" s="98">
        <v>0</v>
      </c>
      <c r="B20" s="98">
        <v>0</v>
      </c>
      <c r="C20" s="98">
        <f t="shared" si="0"/>
        <v>4</v>
      </c>
      <c r="D20" s="98">
        <f t="shared" si="1"/>
        <v>3</v>
      </c>
      <c r="E20" s="98">
        <f t="shared" si="2"/>
        <v>0</v>
      </c>
      <c r="F20" s="118">
        <f t="shared" ca="1" si="3"/>
        <v>0.31914364518399996</v>
      </c>
      <c r="G20" s="98">
        <v>1</v>
      </c>
      <c r="H20" s="98">
        <v>1</v>
      </c>
      <c r="I20" s="98">
        <v>5</v>
      </c>
      <c r="J20" s="118">
        <f t="shared" si="4"/>
        <v>0</v>
      </c>
      <c r="K20" s="118">
        <f t="shared" ca="1" si="5"/>
        <v>0</v>
      </c>
      <c r="L20" s="133">
        <f t="shared" ca="1" si="6"/>
        <v>396</v>
      </c>
      <c r="M20" s="130">
        <f t="shared" ca="1" si="7"/>
        <v>604</v>
      </c>
      <c r="N20" s="100">
        <f t="shared" ca="1" si="8"/>
        <v>3</v>
      </c>
      <c r="O20" s="136">
        <f t="shared" ca="1" si="9"/>
        <v>2.0946097612518035</v>
      </c>
      <c r="P20" s="136">
        <f t="shared" ca="1" si="10"/>
        <v>20.946097612518034</v>
      </c>
      <c r="Q20" s="136">
        <f t="shared" ca="1" si="11"/>
        <v>20.946097612518034</v>
      </c>
      <c r="R20" s="136">
        <f t="shared" ca="1" si="12"/>
        <v>2.0946097612518035</v>
      </c>
      <c r="S20" s="136">
        <f t="shared" ca="1" si="13"/>
        <v>2.0946097612518035</v>
      </c>
      <c r="T20" s="104">
        <f t="shared" ca="1" si="14"/>
        <v>0</v>
      </c>
      <c r="U20" s="87">
        <f t="shared" ca="1" si="15"/>
        <v>1170.1775349459019</v>
      </c>
      <c r="V20" s="104">
        <f t="shared" ca="1" si="16"/>
        <v>0</v>
      </c>
      <c r="W20" s="133">
        <f t="shared" ca="1" si="17"/>
        <v>15223.433769175106</v>
      </c>
      <c r="X20" s="104">
        <f t="shared" ca="1" si="18"/>
        <v>0</v>
      </c>
      <c r="Y20" s="135">
        <f t="shared" ca="1" si="19"/>
        <v>0</v>
      </c>
      <c r="AE20" s="104"/>
    </row>
    <row r="21" spans="1:31" x14ac:dyDescent="0.2">
      <c r="A21" s="98">
        <v>0</v>
      </c>
      <c r="B21" s="98">
        <v>0</v>
      </c>
      <c r="C21" s="98">
        <f t="shared" si="0"/>
        <v>4</v>
      </c>
      <c r="D21" s="98">
        <f t="shared" si="1"/>
        <v>3</v>
      </c>
      <c r="E21" s="98">
        <f t="shared" si="2"/>
        <v>0</v>
      </c>
      <c r="F21" s="118">
        <f t="shared" ca="1" si="3"/>
        <v>0.31914364518399996</v>
      </c>
      <c r="G21" s="98">
        <v>1</v>
      </c>
      <c r="H21" s="98">
        <v>1</v>
      </c>
      <c r="I21" s="98">
        <v>4</v>
      </c>
      <c r="J21" s="118">
        <f t="shared" si="4"/>
        <v>0</v>
      </c>
      <c r="K21" s="118">
        <f t="shared" ca="1" si="5"/>
        <v>0</v>
      </c>
      <c r="L21" s="133">
        <f t="shared" ca="1" si="6"/>
        <v>384</v>
      </c>
      <c r="M21" s="130">
        <f t="shared" ca="1" si="7"/>
        <v>616</v>
      </c>
      <c r="N21" s="100">
        <f t="shared" ca="1" si="8"/>
        <v>3</v>
      </c>
      <c r="O21" s="136">
        <f t="shared" ca="1" si="9"/>
        <v>2.0946097612518035</v>
      </c>
      <c r="P21" s="136">
        <f t="shared" ca="1" si="10"/>
        <v>20.946097612518034</v>
      </c>
      <c r="Q21" s="136">
        <f t="shared" ca="1" si="11"/>
        <v>20.946097612518034</v>
      </c>
      <c r="R21" s="136">
        <f t="shared" ca="1" si="12"/>
        <v>2.0946097612518035</v>
      </c>
      <c r="S21" s="136">
        <f t="shared" ca="1" si="13"/>
        <v>2.0946097612518035</v>
      </c>
      <c r="T21" s="104">
        <f t="shared" ca="1" si="14"/>
        <v>0</v>
      </c>
      <c r="U21" s="87">
        <f t="shared" ca="1" si="15"/>
        <v>1158.1775349459019</v>
      </c>
      <c r="V21" s="104">
        <f t="shared" ca="1" si="16"/>
        <v>0</v>
      </c>
      <c r="W21" s="133">
        <f t="shared" ca="1" si="17"/>
        <v>13088.309818379159</v>
      </c>
      <c r="X21" s="104">
        <f t="shared" ca="1" si="18"/>
        <v>0</v>
      </c>
      <c r="Y21" s="135">
        <f t="shared" ca="1" si="19"/>
        <v>0</v>
      </c>
      <c r="AE21" s="104"/>
    </row>
    <row r="22" spans="1:31" x14ac:dyDescent="0.2">
      <c r="A22" s="98">
        <v>0</v>
      </c>
      <c r="B22" s="98">
        <v>0</v>
      </c>
      <c r="C22" s="98">
        <f t="shared" si="0"/>
        <v>4</v>
      </c>
      <c r="D22" s="98">
        <f t="shared" si="1"/>
        <v>3</v>
      </c>
      <c r="E22" s="98">
        <f t="shared" si="2"/>
        <v>0</v>
      </c>
      <c r="F22" s="118">
        <f t="shared" ca="1" si="3"/>
        <v>0.31914364518399996</v>
      </c>
      <c r="G22" s="98">
        <v>1</v>
      </c>
      <c r="H22" s="98">
        <v>1</v>
      </c>
      <c r="I22" s="98">
        <v>3</v>
      </c>
      <c r="J22" s="118">
        <f t="shared" ca="1" si="4"/>
        <v>0</v>
      </c>
      <c r="K22" s="118">
        <f t="shared" ca="1" si="5"/>
        <v>0</v>
      </c>
      <c r="L22" s="133">
        <f t="shared" ca="1" si="6"/>
        <v>372</v>
      </c>
      <c r="M22" s="130">
        <f t="shared" ca="1" si="7"/>
        <v>628</v>
      </c>
      <c r="N22" s="100">
        <f t="shared" ca="1" si="8"/>
        <v>4</v>
      </c>
      <c r="O22" s="136">
        <f t="shared" ca="1" si="9"/>
        <v>2.6618557453501217</v>
      </c>
      <c r="P22" s="136">
        <f t="shared" ca="1" si="10"/>
        <v>24.349573517107945</v>
      </c>
      <c r="Q22" s="136">
        <f t="shared" ca="1" si="11"/>
        <v>20.946097612518034</v>
      </c>
      <c r="R22" s="136">
        <f t="shared" ca="1" si="12"/>
        <v>2.2647835564812988</v>
      </c>
      <c r="S22" s="136">
        <f t="shared" ca="1" si="13"/>
        <v>2.5308219230234101</v>
      </c>
      <c r="T22" s="104">
        <f t="shared" ca="1" si="14"/>
        <v>0</v>
      </c>
      <c r="U22" s="87">
        <f t="shared" ca="1" si="15"/>
        <v>1300.1875613842344</v>
      </c>
      <c r="V22" s="104">
        <f t="shared" ca="1" si="16"/>
        <v>0</v>
      </c>
      <c r="W22" s="133">
        <f t="shared" ca="1" si="17"/>
        <v>10953.185867583212</v>
      </c>
      <c r="X22" s="104">
        <f t="shared" ca="1" si="18"/>
        <v>0</v>
      </c>
      <c r="Y22" s="135">
        <f t="shared" ca="1" si="19"/>
        <v>0</v>
      </c>
      <c r="AE22" s="104"/>
    </row>
    <row r="23" spans="1:31" x14ac:dyDescent="0.2">
      <c r="A23" s="98">
        <v>0</v>
      </c>
      <c r="B23" s="98">
        <v>0</v>
      </c>
      <c r="C23" s="98">
        <f t="shared" si="0"/>
        <v>4</v>
      </c>
      <c r="D23" s="98">
        <f t="shared" si="1"/>
        <v>3</v>
      </c>
      <c r="E23" s="98">
        <f t="shared" si="2"/>
        <v>0</v>
      </c>
      <c r="F23" s="118">
        <f t="shared" ca="1" si="3"/>
        <v>0.31914364518399996</v>
      </c>
      <c r="G23" s="98">
        <v>1</v>
      </c>
      <c r="H23" s="98">
        <v>1</v>
      </c>
      <c r="I23" s="98">
        <v>2</v>
      </c>
      <c r="J23" s="118">
        <f t="shared" ca="1" si="4"/>
        <v>0</v>
      </c>
      <c r="K23" s="118">
        <f t="shared" ca="1" si="5"/>
        <v>0</v>
      </c>
      <c r="L23" s="133">
        <f t="shared" ca="1" si="6"/>
        <v>360</v>
      </c>
      <c r="M23" s="130">
        <f t="shared" ca="1" si="7"/>
        <v>640</v>
      </c>
      <c r="N23" s="100">
        <f t="shared" ca="1" si="8"/>
        <v>4</v>
      </c>
      <c r="O23" s="136">
        <f t="shared" ca="1" si="9"/>
        <v>2.6618557453501217</v>
      </c>
      <c r="P23" s="136">
        <f t="shared" ca="1" si="10"/>
        <v>26.618557453501214</v>
      </c>
      <c r="Q23" s="136">
        <f t="shared" ca="1" si="11"/>
        <v>25.48406548530458</v>
      </c>
      <c r="R23" s="136">
        <f t="shared" ca="1" si="12"/>
        <v>2.6051311469402898</v>
      </c>
      <c r="S23" s="136">
        <f t="shared" ca="1" si="13"/>
        <v>2.6431366278748771</v>
      </c>
      <c r="T23" s="104">
        <f t="shared" ca="1" si="14"/>
        <v>0</v>
      </c>
      <c r="U23" s="87">
        <f t="shared" ca="1" si="15"/>
        <v>1327.8416384125694</v>
      </c>
      <c r="V23" s="104">
        <f t="shared" ca="1" si="16"/>
        <v>0</v>
      </c>
      <c r="W23" s="133">
        <f t="shared" ca="1" si="17"/>
        <v>8818.0619167872646</v>
      </c>
      <c r="X23" s="104">
        <f t="shared" ca="1" si="18"/>
        <v>0</v>
      </c>
      <c r="Y23" s="135">
        <f t="shared" ca="1" si="19"/>
        <v>0</v>
      </c>
      <c r="AE23" s="104"/>
    </row>
    <row r="24" spans="1:31" x14ac:dyDescent="0.2">
      <c r="A24" s="98">
        <v>0</v>
      </c>
      <c r="B24" s="98">
        <v>0</v>
      </c>
      <c r="C24" s="98">
        <f t="shared" si="0"/>
        <v>4</v>
      </c>
      <c r="D24" s="98">
        <f t="shared" si="1"/>
        <v>3</v>
      </c>
      <c r="E24" s="98">
        <f t="shared" si="2"/>
        <v>0</v>
      </c>
      <c r="F24" s="118">
        <f t="shared" ca="1" si="3"/>
        <v>0.31914364518399996</v>
      </c>
      <c r="G24" s="98">
        <v>1</v>
      </c>
      <c r="H24" s="98">
        <v>1</v>
      </c>
      <c r="I24" s="98">
        <v>1</v>
      </c>
      <c r="J24" s="118">
        <f t="shared" ca="1" si="4"/>
        <v>0</v>
      </c>
      <c r="K24" s="118">
        <f t="shared" ca="1" si="5"/>
        <v>0</v>
      </c>
      <c r="L24" s="133">
        <f t="shared" ca="1" si="6"/>
        <v>348</v>
      </c>
      <c r="M24" s="130">
        <f t="shared" ca="1" si="7"/>
        <v>652</v>
      </c>
      <c r="N24" s="100">
        <f t="shared" ca="1" si="8"/>
        <v>4</v>
      </c>
      <c r="O24" s="136">
        <f t="shared" ca="1" si="9"/>
        <v>2.6618557453501217</v>
      </c>
      <c r="P24" s="136">
        <f t="shared" ca="1" si="10"/>
        <v>26.618557453501214</v>
      </c>
      <c r="Q24" s="136">
        <f t="shared" ca="1" si="11"/>
        <v>26.618557453501214</v>
      </c>
      <c r="R24" s="136">
        <f t="shared" ca="1" si="12"/>
        <v>2.6618557453501213</v>
      </c>
      <c r="S24" s="136">
        <f t="shared" ca="1" si="13"/>
        <v>2.6618557453501213</v>
      </c>
      <c r="T24" s="104">
        <f t="shared" ca="1" si="14"/>
        <v>0</v>
      </c>
      <c r="U24" s="87">
        <f t="shared" ca="1" si="15"/>
        <v>1322.4506512506252</v>
      </c>
      <c r="V24" s="104">
        <f t="shared" ca="1" si="16"/>
        <v>0</v>
      </c>
      <c r="W24" s="133">
        <f t="shared" ca="1" si="17"/>
        <v>6682.9379659913157</v>
      </c>
      <c r="X24" s="104">
        <f t="shared" ca="1" si="18"/>
        <v>0</v>
      </c>
      <c r="Y24" s="135">
        <f t="shared" ca="1" si="19"/>
        <v>0</v>
      </c>
      <c r="AE24" s="104"/>
    </row>
    <row r="25" spans="1:31" x14ac:dyDescent="0.2">
      <c r="A25" s="98">
        <v>0</v>
      </c>
      <c r="B25" s="98">
        <v>0</v>
      </c>
      <c r="C25" s="98">
        <f t="shared" si="0"/>
        <v>4</v>
      </c>
      <c r="D25" s="98">
        <f t="shared" si="1"/>
        <v>3</v>
      </c>
      <c r="E25" s="98">
        <f t="shared" si="2"/>
        <v>0</v>
      </c>
      <c r="F25" s="118">
        <f t="shared" ca="1" si="3"/>
        <v>0.31914364518399996</v>
      </c>
      <c r="G25" s="98">
        <v>1</v>
      </c>
      <c r="H25" s="98">
        <v>1</v>
      </c>
      <c r="I25" s="98">
        <v>0</v>
      </c>
      <c r="J25" s="118">
        <f t="shared" ca="1" si="4"/>
        <v>0</v>
      </c>
      <c r="K25" s="118">
        <f t="shared" ca="1" si="5"/>
        <v>0</v>
      </c>
      <c r="L25" s="133">
        <f t="shared" ca="1" si="6"/>
        <v>336</v>
      </c>
      <c r="M25" s="130">
        <f t="shared" ca="1" si="7"/>
        <v>664</v>
      </c>
      <c r="N25" s="100">
        <f t="shared" ca="1" si="8"/>
        <v>4</v>
      </c>
      <c r="O25" s="136">
        <f t="shared" ca="1" si="9"/>
        <v>2.6618557453501217</v>
      </c>
      <c r="P25" s="136">
        <f t="shared" ca="1" si="10"/>
        <v>26.618557453501214</v>
      </c>
      <c r="Q25" s="136">
        <f t="shared" ca="1" si="11"/>
        <v>26.618557453501214</v>
      </c>
      <c r="R25" s="136">
        <f t="shared" ca="1" si="12"/>
        <v>2.6618557453501213</v>
      </c>
      <c r="S25" s="136">
        <f t="shared" ca="1" si="13"/>
        <v>2.6618557453501213</v>
      </c>
      <c r="T25" s="104">
        <f t="shared" ca="1" si="14"/>
        <v>0</v>
      </c>
      <c r="U25" s="87">
        <f t="shared" ca="1" si="15"/>
        <v>1310.4506512506252</v>
      </c>
      <c r="V25" s="104">
        <f t="shared" ca="1" si="16"/>
        <v>0</v>
      </c>
      <c r="W25" s="133">
        <f t="shared" ca="1" si="17"/>
        <v>4547.8140151953685</v>
      </c>
      <c r="X25" s="104">
        <f t="shared" ca="1" si="18"/>
        <v>0</v>
      </c>
      <c r="Y25" s="135">
        <f t="shared" ca="1" si="19"/>
        <v>0</v>
      </c>
      <c r="AE25" s="104"/>
    </row>
    <row r="26" spans="1:31" x14ac:dyDescent="0.2">
      <c r="A26" s="98">
        <v>0</v>
      </c>
      <c r="B26" s="98">
        <v>0</v>
      </c>
      <c r="C26" s="98">
        <f t="shared" si="0"/>
        <v>4</v>
      </c>
      <c r="D26" s="98">
        <f t="shared" si="1"/>
        <v>3</v>
      </c>
      <c r="E26" s="98">
        <f t="shared" si="2"/>
        <v>0</v>
      </c>
      <c r="F26" s="118">
        <f t="shared" ca="1" si="3"/>
        <v>0.31914364518399996</v>
      </c>
      <c r="G26" s="98">
        <v>1</v>
      </c>
      <c r="H26" s="98">
        <v>0</v>
      </c>
      <c r="I26" s="98">
        <v>7</v>
      </c>
      <c r="J26" s="118">
        <f t="shared" si="4"/>
        <v>0</v>
      </c>
      <c r="K26" s="118">
        <f t="shared" ca="1" si="5"/>
        <v>0</v>
      </c>
      <c r="L26" s="133">
        <f t="shared" ca="1" si="6"/>
        <v>252</v>
      </c>
      <c r="M26" s="130">
        <f t="shared" ca="1" si="7"/>
        <v>748</v>
      </c>
      <c r="N26" s="100">
        <f t="shared" ca="1" si="8"/>
        <v>4</v>
      </c>
      <c r="O26" s="136">
        <f t="shared" ca="1" si="9"/>
        <v>2.6618557453501217</v>
      </c>
      <c r="P26" s="136">
        <f t="shared" ca="1" si="10"/>
        <v>26.618557453501214</v>
      </c>
      <c r="Q26" s="136">
        <f t="shared" ca="1" si="11"/>
        <v>26.618557453501214</v>
      </c>
      <c r="R26" s="136">
        <f t="shared" ca="1" si="12"/>
        <v>2.6618557453501213</v>
      </c>
      <c r="S26" s="136">
        <f t="shared" ca="1" si="13"/>
        <v>2.6618557453501213</v>
      </c>
      <c r="T26" s="104">
        <f t="shared" ca="1" si="14"/>
        <v>0</v>
      </c>
      <c r="U26" s="87">
        <f t="shared" ca="1" si="15"/>
        <v>1226.4506512506252</v>
      </c>
      <c r="V26" s="104">
        <f t="shared" ca="1" si="16"/>
        <v>0</v>
      </c>
      <c r="W26" s="133">
        <f t="shared" ca="1" si="17"/>
        <v>17358.557719971053</v>
      </c>
      <c r="X26" s="104">
        <f t="shared" ca="1" si="18"/>
        <v>0</v>
      </c>
      <c r="Y26" s="135">
        <f t="shared" ca="1" si="19"/>
        <v>0</v>
      </c>
      <c r="AE26" s="104"/>
    </row>
    <row r="27" spans="1:31" x14ac:dyDescent="0.2">
      <c r="A27" s="98">
        <v>0</v>
      </c>
      <c r="B27" s="98">
        <v>0</v>
      </c>
      <c r="C27" s="98">
        <f t="shared" si="0"/>
        <v>4</v>
      </c>
      <c r="D27" s="98">
        <f t="shared" si="1"/>
        <v>3</v>
      </c>
      <c r="E27" s="98">
        <f t="shared" si="2"/>
        <v>0</v>
      </c>
      <c r="F27" s="118">
        <f t="shared" ca="1" si="3"/>
        <v>0.31914364518399996</v>
      </c>
      <c r="G27" s="98">
        <v>1</v>
      </c>
      <c r="H27" s="98">
        <v>0</v>
      </c>
      <c r="I27" s="98">
        <v>6</v>
      </c>
      <c r="J27" s="118">
        <f t="shared" si="4"/>
        <v>0</v>
      </c>
      <c r="K27" s="118">
        <f t="shared" ca="1" si="5"/>
        <v>0</v>
      </c>
      <c r="L27" s="133">
        <f t="shared" ca="1" si="6"/>
        <v>240</v>
      </c>
      <c r="M27" s="130">
        <f t="shared" ca="1" si="7"/>
        <v>760</v>
      </c>
      <c r="N27" s="100">
        <f t="shared" ca="1" si="8"/>
        <v>4</v>
      </c>
      <c r="O27" s="136">
        <f t="shared" ca="1" si="9"/>
        <v>2.6618557453501217</v>
      </c>
      <c r="P27" s="136">
        <f t="shared" ca="1" si="10"/>
        <v>26.618557453501214</v>
      </c>
      <c r="Q27" s="136">
        <f t="shared" ca="1" si="11"/>
        <v>26.618557453501214</v>
      </c>
      <c r="R27" s="136">
        <f t="shared" ca="1" si="12"/>
        <v>2.6618557453501213</v>
      </c>
      <c r="S27" s="136">
        <f t="shared" ca="1" si="13"/>
        <v>2.6618557453501213</v>
      </c>
      <c r="T27" s="104">
        <f t="shared" ca="1" si="14"/>
        <v>0</v>
      </c>
      <c r="U27" s="87">
        <f t="shared" ca="1" si="15"/>
        <v>1214.4506512506252</v>
      </c>
      <c r="V27" s="104">
        <f t="shared" ca="1" si="16"/>
        <v>0</v>
      </c>
      <c r="W27" s="133">
        <f t="shared" ca="1" si="17"/>
        <v>15223.433769175106</v>
      </c>
      <c r="X27" s="104">
        <f t="shared" ca="1" si="18"/>
        <v>0</v>
      </c>
      <c r="Y27" s="135">
        <f t="shared" ca="1" si="19"/>
        <v>0</v>
      </c>
      <c r="AE27" s="104"/>
    </row>
    <row r="28" spans="1:31" x14ac:dyDescent="0.2">
      <c r="A28" s="98">
        <v>0</v>
      </c>
      <c r="B28" s="98">
        <v>0</v>
      </c>
      <c r="C28" s="98">
        <f t="shared" si="0"/>
        <v>4</v>
      </c>
      <c r="D28" s="98">
        <f t="shared" si="1"/>
        <v>3</v>
      </c>
      <c r="E28" s="98">
        <f t="shared" si="2"/>
        <v>0</v>
      </c>
      <c r="F28" s="118">
        <f t="shared" ca="1" si="3"/>
        <v>0.31914364518399996</v>
      </c>
      <c r="G28" s="98">
        <v>1</v>
      </c>
      <c r="H28" s="98">
        <v>0</v>
      </c>
      <c r="I28" s="98">
        <v>5</v>
      </c>
      <c r="J28" s="118">
        <f t="shared" si="4"/>
        <v>0</v>
      </c>
      <c r="K28" s="118">
        <f t="shared" ca="1" si="5"/>
        <v>0</v>
      </c>
      <c r="L28" s="133">
        <f t="shared" ca="1" si="6"/>
        <v>228</v>
      </c>
      <c r="M28" s="130">
        <f t="shared" ca="1" si="7"/>
        <v>772</v>
      </c>
      <c r="N28" s="100">
        <f t="shared" ca="1" si="8"/>
        <v>4</v>
      </c>
      <c r="O28" s="136">
        <f t="shared" ca="1" si="9"/>
        <v>2.6618557453501217</v>
      </c>
      <c r="P28" s="136">
        <f t="shared" ca="1" si="10"/>
        <v>26.618557453501214</v>
      </c>
      <c r="Q28" s="136">
        <f t="shared" ca="1" si="11"/>
        <v>26.618557453501214</v>
      </c>
      <c r="R28" s="136">
        <f t="shared" ca="1" si="12"/>
        <v>2.6618557453501213</v>
      </c>
      <c r="S28" s="136">
        <f t="shared" ca="1" si="13"/>
        <v>2.6618557453501213</v>
      </c>
      <c r="T28" s="104">
        <f t="shared" ca="1" si="14"/>
        <v>0</v>
      </c>
      <c r="U28" s="87">
        <f t="shared" ca="1" si="15"/>
        <v>1202.4506512506252</v>
      </c>
      <c r="V28" s="104">
        <f t="shared" ca="1" si="16"/>
        <v>0</v>
      </c>
      <c r="W28" s="133">
        <f t="shared" ca="1" si="17"/>
        <v>13088.309818379159</v>
      </c>
      <c r="X28" s="104">
        <f t="shared" ca="1" si="18"/>
        <v>0</v>
      </c>
      <c r="Y28" s="135">
        <f t="shared" ca="1" si="19"/>
        <v>0</v>
      </c>
      <c r="AE28" s="104"/>
    </row>
    <row r="29" spans="1:31" x14ac:dyDescent="0.2">
      <c r="A29" s="98">
        <v>0</v>
      </c>
      <c r="B29" s="98">
        <v>0</v>
      </c>
      <c r="C29" s="98">
        <f t="shared" si="0"/>
        <v>4</v>
      </c>
      <c r="D29" s="98">
        <f t="shared" si="1"/>
        <v>3</v>
      </c>
      <c r="E29" s="98">
        <f t="shared" si="2"/>
        <v>0</v>
      </c>
      <c r="F29" s="118">
        <f t="shared" ca="1" si="3"/>
        <v>0.31914364518399996</v>
      </c>
      <c r="G29" s="98">
        <v>1</v>
      </c>
      <c r="H29" s="98">
        <v>0</v>
      </c>
      <c r="I29" s="98">
        <v>4</v>
      </c>
      <c r="J29" s="118">
        <f t="shared" si="4"/>
        <v>0</v>
      </c>
      <c r="K29" s="118">
        <f t="shared" ca="1" si="5"/>
        <v>0</v>
      </c>
      <c r="L29" s="133">
        <f t="shared" ca="1" si="6"/>
        <v>216</v>
      </c>
      <c r="M29" s="130">
        <f t="shared" ca="1" si="7"/>
        <v>784</v>
      </c>
      <c r="N29" s="100">
        <f t="shared" ca="1" si="8"/>
        <v>4</v>
      </c>
      <c r="O29" s="136">
        <f t="shared" ca="1" si="9"/>
        <v>2.6618557453501217</v>
      </c>
      <c r="P29" s="136">
        <f t="shared" ca="1" si="10"/>
        <v>26.618557453501214</v>
      </c>
      <c r="Q29" s="136">
        <f t="shared" ca="1" si="11"/>
        <v>26.618557453501214</v>
      </c>
      <c r="R29" s="136">
        <f t="shared" ca="1" si="12"/>
        <v>2.6618557453501213</v>
      </c>
      <c r="S29" s="136">
        <f t="shared" ca="1" si="13"/>
        <v>2.6618557453501213</v>
      </c>
      <c r="T29" s="104">
        <f t="shared" ca="1" si="14"/>
        <v>0</v>
      </c>
      <c r="U29" s="87">
        <f t="shared" ca="1" si="15"/>
        <v>1190.4506512506252</v>
      </c>
      <c r="V29" s="104">
        <f t="shared" ca="1" si="16"/>
        <v>0</v>
      </c>
      <c r="W29" s="133">
        <f t="shared" ca="1" si="17"/>
        <v>10953.185867583212</v>
      </c>
      <c r="X29" s="104">
        <f t="shared" ca="1" si="18"/>
        <v>0</v>
      </c>
      <c r="Y29" s="135">
        <f t="shared" ca="1" si="19"/>
        <v>0</v>
      </c>
      <c r="AE29" s="104"/>
    </row>
    <row r="30" spans="1:31" x14ac:dyDescent="0.2">
      <c r="A30" s="98">
        <v>0</v>
      </c>
      <c r="B30" s="98">
        <v>0</v>
      </c>
      <c r="C30" s="98">
        <f t="shared" si="0"/>
        <v>4</v>
      </c>
      <c r="D30" s="98">
        <f t="shared" si="1"/>
        <v>3</v>
      </c>
      <c r="E30" s="98">
        <f t="shared" si="2"/>
        <v>0</v>
      </c>
      <c r="F30" s="118">
        <f t="shared" ca="1" si="3"/>
        <v>0.31914364518399996</v>
      </c>
      <c r="G30" s="98">
        <v>1</v>
      </c>
      <c r="H30" s="98">
        <v>0</v>
      </c>
      <c r="I30" s="98">
        <v>3</v>
      </c>
      <c r="J30" s="118">
        <f t="shared" ca="1" si="4"/>
        <v>0.81450624999999988</v>
      </c>
      <c r="K30" s="118">
        <f t="shared" ca="1" si="5"/>
        <v>0.25994449365015032</v>
      </c>
      <c r="L30" s="133">
        <f t="shared" ca="1" si="6"/>
        <v>204</v>
      </c>
      <c r="M30" s="130">
        <f t="shared" ca="1" si="7"/>
        <v>796</v>
      </c>
      <c r="N30" s="100">
        <f t="shared" ca="1" si="8"/>
        <v>4</v>
      </c>
      <c r="O30" s="136">
        <f t="shared" ca="1" si="9"/>
        <v>2.6618557453501217</v>
      </c>
      <c r="P30" s="136">
        <f t="shared" ca="1" si="10"/>
        <v>26.618557453501214</v>
      </c>
      <c r="Q30" s="136">
        <f t="shared" ca="1" si="11"/>
        <v>26.618557453501214</v>
      </c>
      <c r="R30" s="136">
        <f t="shared" ca="1" si="12"/>
        <v>2.6618557453501213</v>
      </c>
      <c r="S30" s="136">
        <f t="shared" ca="1" si="13"/>
        <v>2.6618557453501213</v>
      </c>
      <c r="T30" s="104">
        <f t="shared" ca="1" si="14"/>
        <v>0.69193474389478071</v>
      </c>
      <c r="U30" s="87">
        <f t="shared" ca="1" si="15"/>
        <v>1178.4506512506252</v>
      </c>
      <c r="V30" s="104">
        <f t="shared" ca="1" si="16"/>
        <v>306.33175783103366</v>
      </c>
      <c r="W30" s="133">
        <f t="shared" ca="1" si="17"/>
        <v>8818.0619167872646</v>
      </c>
      <c r="X30" s="104">
        <f t="shared" ca="1" si="18"/>
        <v>2292.2066399349396</v>
      </c>
      <c r="Y30" s="135">
        <f t="shared" ca="1" si="19"/>
        <v>53.028676704630662</v>
      </c>
      <c r="AE30" s="104"/>
    </row>
    <row r="31" spans="1:31" x14ac:dyDescent="0.2">
      <c r="A31" s="98">
        <v>0</v>
      </c>
      <c r="B31" s="98">
        <v>0</v>
      </c>
      <c r="C31" s="98">
        <f t="shared" si="0"/>
        <v>4</v>
      </c>
      <c r="D31" s="98">
        <f t="shared" si="1"/>
        <v>3</v>
      </c>
      <c r="E31" s="98">
        <f t="shared" si="2"/>
        <v>0</v>
      </c>
      <c r="F31" s="118">
        <f t="shared" ca="1" si="3"/>
        <v>0.31914364518399996</v>
      </c>
      <c r="G31" s="98">
        <v>1</v>
      </c>
      <c r="H31" s="98">
        <v>0</v>
      </c>
      <c r="I31" s="98">
        <v>2</v>
      </c>
      <c r="J31" s="118">
        <f t="shared" ca="1" si="4"/>
        <v>0.12860625000000012</v>
      </c>
      <c r="K31" s="118">
        <f t="shared" ca="1" si="5"/>
        <v>4.1043867418444832E-2</v>
      </c>
      <c r="L31" s="133">
        <f t="shared" ca="1" si="6"/>
        <v>192</v>
      </c>
      <c r="M31" s="130">
        <f t="shared" ca="1" si="7"/>
        <v>808</v>
      </c>
      <c r="N31" s="100">
        <f t="shared" ca="1" si="8"/>
        <v>4</v>
      </c>
      <c r="O31" s="136">
        <f t="shared" ca="1" si="9"/>
        <v>2.6618557453501217</v>
      </c>
      <c r="P31" s="136">
        <f t="shared" ca="1" si="10"/>
        <v>26.618557453501214</v>
      </c>
      <c r="Q31" s="136">
        <f t="shared" ca="1" si="11"/>
        <v>26.618557453501214</v>
      </c>
      <c r="R31" s="136">
        <f t="shared" ca="1" si="12"/>
        <v>2.6618557453501213</v>
      </c>
      <c r="S31" s="136">
        <f t="shared" ca="1" si="13"/>
        <v>2.6618557453501213</v>
      </c>
      <c r="T31" s="104">
        <f t="shared" ca="1" si="14"/>
        <v>0.10925285429917603</v>
      </c>
      <c r="U31" s="87">
        <f t="shared" ca="1" si="15"/>
        <v>1166.4506512506252</v>
      </c>
      <c r="V31" s="104">
        <f t="shared" ca="1" si="16"/>
        <v>47.875645880089294</v>
      </c>
      <c r="W31" s="133">
        <f t="shared" ca="1" si="17"/>
        <v>6682.9379659913157</v>
      </c>
      <c r="X31" s="104">
        <f t="shared" ca="1" si="18"/>
        <v>274.29361984183896</v>
      </c>
      <c r="Y31" s="135">
        <f t="shared" ca="1" si="19"/>
        <v>7.8804225443414078</v>
      </c>
      <c r="AE31" s="104"/>
    </row>
    <row r="32" spans="1:31" x14ac:dyDescent="0.2">
      <c r="A32" s="98">
        <v>0</v>
      </c>
      <c r="B32" s="98">
        <v>0</v>
      </c>
      <c r="C32" s="98">
        <f t="shared" si="0"/>
        <v>4</v>
      </c>
      <c r="D32" s="98">
        <f t="shared" si="1"/>
        <v>3</v>
      </c>
      <c r="E32" s="98">
        <f t="shared" si="2"/>
        <v>0</v>
      </c>
      <c r="F32" s="118">
        <f t="shared" ca="1" si="3"/>
        <v>0.31914364518399996</v>
      </c>
      <c r="G32" s="98">
        <v>1</v>
      </c>
      <c r="H32" s="98">
        <v>0</v>
      </c>
      <c r="I32" s="98">
        <v>1</v>
      </c>
      <c r="J32" s="118">
        <f t="shared" ca="1" si="4"/>
        <v>6.7687500000000109E-3</v>
      </c>
      <c r="K32" s="118">
        <f t="shared" ca="1" si="5"/>
        <v>2.1602035483392033E-3</v>
      </c>
      <c r="L32" s="133">
        <f t="shared" ca="1" si="6"/>
        <v>180</v>
      </c>
      <c r="M32" s="130">
        <f t="shared" ca="1" si="7"/>
        <v>820</v>
      </c>
      <c r="N32" s="100">
        <f t="shared" ca="1" si="8"/>
        <v>4</v>
      </c>
      <c r="O32" s="136">
        <f t="shared" ca="1" si="9"/>
        <v>2.6618557453501217</v>
      </c>
      <c r="P32" s="136">
        <f t="shared" ca="1" si="10"/>
        <v>26.618557453501214</v>
      </c>
      <c r="Q32" s="136">
        <f t="shared" ca="1" si="11"/>
        <v>26.618557453501214</v>
      </c>
      <c r="R32" s="136">
        <f t="shared" ca="1" si="12"/>
        <v>2.6618557453501213</v>
      </c>
      <c r="S32" s="136">
        <f t="shared" ca="1" si="13"/>
        <v>2.6618557453501213</v>
      </c>
      <c r="T32" s="104">
        <f t="shared" ca="1" si="14"/>
        <v>5.7501502262724269E-3</v>
      </c>
      <c r="U32" s="87">
        <f t="shared" ca="1" si="15"/>
        <v>1154.4506512506252</v>
      </c>
      <c r="V32" s="104">
        <f t="shared" ca="1" si="16"/>
        <v>2.4938483932141047</v>
      </c>
      <c r="W32" s="133">
        <f t="shared" ca="1" si="17"/>
        <v>4547.8140151953685</v>
      </c>
      <c r="X32" s="104">
        <f t="shared" ca="1" si="18"/>
        <v>9.8242039728117945</v>
      </c>
      <c r="Y32" s="135">
        <f t="shared" ca="1" si="19"/>
        <v>0.38883663870105661</v>
      </c>
      <c r="AE32" s="104"/>
    </row>
    <row r="33" spans="1:31" x14ac:dyDescent="0.2">
      <c r="A33" s="98">
        <v>0</v>
      </c>
      <c r="B33" s="98">
        <v>0</v>
      </c>
      <c r="C33" s="98">
        <f t="shared" si="0"/>
        <v>4</v>
      </c>
      <c r="D33" s="98">
        <f t="shared" si="1"/>
        <v>3</v>
      </c>
      <c r="E33" s="98">
        <f t="shared" si="2"/>
        <v>0</v>
      </c>
      <c r="F33" s="118">
        <f t="shared" ca="1" si="3"/>
        <v>0.31914364518399996</v>
      </c>
      <c r="G33" s="98">
        <v>1</v>
      </c>
      <c r="H33" s="98">
        <v>0</v>
      </c>
      <c r="I33" s="98">
        <v>0</v>
      </c>
      <c r="J33" s="118">
        <f t="shared" ca="1" si="4"/>
        <v>1.1875000000000031E-4</v>
      </c>
      <c r="K33" s="118">
        <f t="shared" ca="1" si="5"/>
        <v>3.7898307865600094E-5</v>
      </c>
      <c r="L33" s="133">
        <f t="shared" ca="1" si="6"/>
        <v>168</v>
      </c>
      <c r="M33" s="130">
        <f t="shared" ca="1" si="7"/>
        <v>832</v>
      </c>
      <c r="N33" s="100">
        <f t="shared" ca="1" si="8"/>
        <v>5</v>
      </c>
      <c r="O33" s="136">
        <f t="shared" ca="1" si="9"/>
        <v>3.2590583346360766</v>
      </c>
      <c r="P33" s="136">
        <f t="shared" ca="1" si="10"/>
        <v>28.410165221359076</v>
      </c>
      <c r="Q33" s="136">
        <f t="shared" ca="1" si="11"/>
        <v>26.618557453501214</v>
      </c>
      <c r="R33" s="136">
        <f t="shared" ca="1" si="12"/>
        <v>2.7514361337430144</v>
      </c>
      <c r="S33" s="136">
        <f t="shared" ca="1" si="13"/>
        <v>3.091543008341366</v>
      </c>
      <c r="T33" s="104">
        <f t="shared" ca="1" si="14"/>
        <v>1.1716424870986457E-4</v>
      </c>
      <c r="U33" s="87">
        <f t="shared" ca="1" si="15"/>
        <v>1294.1569825567776</v>
      </c>
      <c r="V33" s="104">
        <f t="shared" ca="1" si="16"/>
        <v>4.9046359751352811E-2</v>
      </c>
      <c r="W33" s="133">
        <f t="shared" ca="1" si="17"/>
        <v>2412.6900643994204</v>
      </c>
      <c r="X33" s="104">
        <f t="shared" ca="1" si="18"/>
        <v>9.143687084488375E-2</v>
      </c>
      <c r="Y33" s="135">
        <f t="shared" ca="1" si="19"/>
        <v>6.3669157214208162E-3</v>
      </c>
      <c r="AE33" s="104"/>
    </row>
    <row r="34" spans="1:31" x14ac:dyDescent="0.2">
      <c r="A34" s="98">
        <v>0</v>
      </c>
      <c r="B34" s="98">
        <v>0</v>
      </c>
      <c r="C34" s="98">
        <f t="shared" si="0"/>
        <v>4</v>
      </c>
      <c r="D34" s="98">
        <f t="shared" si="1"/>
        <v>3</v>
      </c>
      <c r="E34" s="98">
        <f t="shared" si="2"/>
        <v>0</v>
      </c>
      <c r="F34" s="118">
        <f t="shared" ca="1" si="3"/>
        <v>0.31914364518399996</v>
      </c>
      <c r="G34" s="98">
        <v>0</v>
      </c>
      <c r="H34" s="98">
        <v>1</v>
      </c>
      <c r="I34" s="98">
        <v>7</v>
      </c>
      <c r="J34" s="118">
        <f t="shared" si="4"/>
        <v>0</v>
      </c>
      <c r="K34" s="118">
        <f t="shared" ca="1" si="5"/>
        <v>0</v>
      </c>
      <c r="L34" s="133">
        <f t="shared" ca="1" si="6"/>
        <v>252</v>
      </c>
      <c r="M34" s="130">
        <f t="shared" ca="1" si="7"/>
        <v>748</v>
      </c>
      <c r="N34" s="100">
        <f t="shared" ca="1" si="8"/>
        <v>4</v>
      </c>
      <c r="O34" s="136">
        <f t="shared" ca="1" si="9"/>
        <v>2.6618557453501217</v>
      </c>
      <c r="P34" s="136">
        <f t="shared" ca="1" si="10"/>
        <v>26.618557453501214</v>
      </c>
      <c r="Q34" s="136">
        <f t="shared" ca="1" si="11"/>
        <v>26.618557453501214</v>
      </c>
      <c r="R34" s="136">
        <f t="shared" ca="1" si="12"/>
        <v>2.6618557453501213</v>
      </c>
      <c r="S34" s="136">
        <f t="shared" ca="1" si="13"/>
        <v>2.6618557453501213</v>
      </c>
      <c r="T34" s="104">
        <f t="shared" ca="1" si="14"/>
        <v>0</v>
      </c>
      <c r="U34" s="87">
        <f t="shared" ca="1" si="15"/>
        <v>1226.4506512506252</v>
      </c>
      <c r="V34" s="104">
        <f t="shared" ca="1" si="16"/>
        <v>0</v>
      </c>
      <c r="W34" s="133">
        <f t="shared" ca="1" si="17"/>
        <v>17080.991606367581</v>
      </c>
      <c r="X34" s="104">
        <f t="shared" ca="1" si="18"/>
        <v>0</v>
      </c>
      <c r="Y34" s="135">
        <f t="shared" ca="1" si="19"/>
        <v>0</v>
      </c>
      <c r="AE34" s="104"/>
    </row>
    <row r="35" spans="1:31" x14ac:dyDescent="0.2">
      <c r="A35" s="98">
        <v>0</v>
      </c>
      <c r="B35" s="98">
        <v>0</v>
      </c>
      <c r="C35" s="98">
        <f t="shared" si="0"/>
        <v>4</v>
      </c>
      <c r="D35" s="98">
        <f t="shared" si="1"/>
        <v>3</v>
      </c>
      <c r="E35" s="98">
        <f t="shared" si="2"/>
        <v>0</v>
      </c>
      <c r="F35" s="118">
        <f t="shared" ca="1" si="3"/>
        <v>0.31914364518399996</v>
      </c>
      <c r="G35" s="98">
        <v>0</v>
      </c>
      <c r="H35" s="98">
        <v>1</v>
      </c>
      <c r="I35" s="98">
        <v>6</v>
      </c>
      <c r="J35" s="118">
        <f t="shared" si="4"/>
        <v>0</v>
      </c>
      <c r="K35" s="118">
        <f t="shared" ca="1" si="5"/>
        <v>0</v>
      </c>
      <c r="L35" s="133">
        <f t="shared" ca="1" si="6"/>
        <v>240</v>
      </c>
      <c r="M35" s="130">
        <f t="shared" ca="1" si="7"/>
        <v>760</v>
      </c>
      <c r="N35" s="100">
        <f t="shared" ca="1" si="8"/>
        <v>4</v>
      </c>
      <c r="O35" s="136">
        <f t="shared" ca="1" si="9"/>
        <v>2.6618557453501217</v>
      </c>
      <c r="P35" s="136">
        <f t="shared" ca="1" si="10"/>
        <v>26.618557453501214</v>
      </c>
      <c r="Q35" s="136">
        <f t="shared" ca="1" si="11"/>
        <v>26.618557453501214</v>
      </c>
      <c r="R35" s="136">
        <f t="shared" ca="1" si="12"/>
        <v>2.6618557453501213</v>
      </c>
      <c r="S35" s="136">
        <f t="shared" ca="1" si="13"/>
        <v>2.6618557453501213</v>
      </c>
      <c r="T35" s="104">
        <f t="shared" ca="1" si="14"/>
        <v>0</v>
      </c>
      <c r="U35" s="87">
        <f t="shared" ca="1" si="15"/>
        <v>1214.4506512506252</v>
      </c>
      <c r="V35" s="104">
        <f t="shared" ca="1" si="16"/>
        <v>0</v>
      </c>
      <c r="W35" s="133">
        <f t="shared" ca="1" si="17"/>
        <v>14945.867655571634</v>
      </c>
      <c r="X35" s="104">
        <f t="shared" ca="1" si="18"/>
        <v>0</v>
      </c>
      <c r="Y35" s="135">
        <f t="shared" ca="1" si="19"/>
        <v>0</v>
      </c>
      <c r="AE35" s="104"/>
    </row>
    <row r="36" spans="1:31" x14ac:dyDescent="0.2">
      <c r="A36" s="98">
        <v>0</v>
      </c>
      <c r="B36" s="98">
        <v>0</v>
      </c>
      <c r="C36" s="98">
        <f t="shared" si="0"/>
        <v>4</v>
      </c>
      <c r="D36" s="98">
        <f t="shared" si="1"/>
        <v>3</v>
      </c>
      <c r="E36" s="98">
        <f t="shared" si="2"/>
        <v>0</v>
      </c>
      <c r="F36" s="118">
        <f t="shared" ca="1" si="3"/>
        <v>0.31914364518399996</v>
      </c>
      <c r="G36" s="98">
        <v>0</v>
      </c>
      <c r="H36" s="98">
        <v>1</v>
      </c>
      <c r="I36" s="98">
        <v>5</v>
      </c>
      <c r="J36" s="118">
        <f t="shared" si="4"/>
        <v>0</v>
      </c>
      <c r="K36" s="118">
        <f t="shared" ca="1" si="5"/>
        <v>0</v>
      </c>
      <c r="L36" s="133">
        <f t="shared" ca="1" si="6"/>
        <v>228</v>
      </c>
      <c r="M36" s="130">
        <f t="shared" ca="1" si="7"/>
        <v>772</v>
      </c>
      <c r="N36" s="100">
        <f t="shared" ca="1" si="8"/>
        <v>4</v>
      </c>
      <c r="O36" s="136">
        <f t="shared" ca="1" si="9"/>
        <v>2.6618557453501217</v>
      </c>
      <c r="P36" s="136">
        <f t="shared" ca="1" si="10"/>
        <v>26.618557453501214</v>
      </c>
      <c r="Q36" s="136">
        <f t="shared" ca="1" si="11"/>
        <v>26.618557453501214</v>
      </c>
      <c r="R36" s="136">
        <f t="shared" ca="1" si="12"/>
        <v>2.6618557453501213</v>
      </c>
      <c r="S36" s="136">
        <f t="shared" ca="1" si="13"/>
        <v>2.6618557453501213</v>
      </c>
      <c r="T36" s="104">
        <f t="shared" ca="1" si="14"/>
        <v>0</v>
      </c>
      <c r="U36" s="87">
        <f t="shared" ca="1" si="15"/>
        <v>1202.4506512506252</v>
      </c>
      <c r="V36" s="104">
        <f t="shared" ca="1" si="16"/>
        <v>0</v>
      </c>
      <c r="W36" s="133">
        <f t="shared" ca="1" si="17"/>
        <v>12810.743704775685</v>
      </c>
      <c r="X36" s="104">
        <f t="shared" ca="1" si="18"/>
        <v>0</v>
      </c>
      <c r="Y36" s="135">
        <f t="shared" ca="1" si="19"/>
        <v>0</v>
      </c>
      <c r="AE36" s="104"/>
    </row>
    <row r="37" spans="1:31" x14ac:dyDescent="0.2">
      <c r="A37" s="98">
        <v>0</v>
      </c>
      <c r="B37" s="98">
        <v>0</v>
      </c>
      <c r="C37" s="98">
        <f t="shared" si="0"/>
        <v>4</v>
      </c>
      <c r="D37" s="98">
        <f t="shared" si="1"/>
        <v>3</v>
      </c>
      <c r="E37" s="98">
        <f t="shared" si="2"/>
        <v>0</v>
      </c>
      <c r="F37" s="118">
        <f t="shared" ca="1" si="3"/>
        <v>0.31914364518399996</v>
      </c>
      <c r="G37" s="98">
        <v>0</v>
      </c>
      <c r="H37" s="98">
        <v>1</v>
      </c>
      <c r="I37" s="98">
        <v>4</v>
      </c>
      <c r="J37" s="118">
        <f t="shared" si="4"/>
        <v>0</v>
      </c>
      <c r="K37" s="118">
        <f t="shared" ca="1" si="5"/>
        <v>0</v>
      </c>
      <c r="L37" s="133">
        <f t="shared" ca="1" si="6"/>
        <v>216</v>
      </c>
      <c r="M37" s="130">
        <f t="shared" ca="1" si="7"/>
        <v>784</v>
      </c>
      <c r="N37" s="100">
        <f t="shared" ca="1" si="8"/>
        <v>4</v>
      </c>
      <c r="O37" s="136">
        <f t="shared" ca="1" si="9"/>
        <v>2.6618557453501217</v>
      </c>
      <c r="P37" s="136">
        <f t="shared" ca="1" si="10"/>
        <v>26.618557453501214</v>
      </c>
      <c r="Q37" s="136">
        <f t="shared" ca="1" si="11"/>
        <v>26.618557453501214</v>
      </c>
      <c r="R37" s="136">
        <f t="shared" ca="1" si="12"/>
        <v>2.6618557453501213</v>
      </c>
      <c r="S37" s="136">
        <f t="shared" ca="1" si="13"/>
        <v>2.6618557453501213</v>
      </c>
      <c r="T37" s="104">
        <f t="shared" ca="1" si="14"/>
        <v>0</v>
      </c>
      <c r="U37" s="87">
        <f t="shared" ca="1" si="15"/>
        <v>1190.4506512506252</v>
      </c>
      <c r="V37" s="104">
        <f t="shared" ca="1" si="16"/>
        <v>0</v>
      </c>
      <c r="W37" s="133">
        <f t="shared" ca="1" si="17"/>
        <v>10675.619753979738</v>
      </c>
      <c r="X37" s="104">
        <f t="shared" ca="1" si="18"/>
        <v>0</v>
      </c>
      <c r="Y37" s="135">
        <f t="shared" ca="1" si="19"/>
        <v>0</v>
      </c>
      <c r="AE37" s="104"/>
    </row>
    <row r="38" spans="1:31" x14ac:dyDescent="0.2">
      <c r="A38" s="98">
        <v>0</v>
      </c>
      <c r="B38" s="98">
        <v>0</v>
      </c>
      <c r="C38" s="98">
        <f t="shared" si="0"/>
        <v>4</v>
      </c>
      <c r="D38" s="98">
        <f t="shared" si="1"/>
        <v>3</v>
      </c>
      <c r="E38" s="98">
        <f t="shared" si="2"/>
        <v>0</v>
      </c>
      <c r="F38" s="118">
        <f t="shared" ca="1" si="3"/>
        <v>0.31914364518399996</v>
      </c>
      <c r="G38" s="98">
        <v>0</v>
      </c>
      <c r="H38" s="98">
        <v>1</v>
      </c>
      <c r="I38" s="98">
        <v>3</v>
      </c>
      <c r="J38" s="118">
        <f t="shared" ca="1" si="4"/>
        <v>0</v>
      </c>
      <c r="K38" s="118">
        <f t="shared" ca="1" si="5"/>
        <v>0</v>
      </c>
      <c r="L38" s="133">
        <f t="shared" ca="1" si="6"/>
        <v>204</v>
      </c>
      <c r="M38" s="130">
        <f t="shared" ca="1" si="7"/>
        <v>796</v>
      </c>
      <c r="N38" s="100">
        <f t="shared" ca="1" si="8"/>
        <v>4</v>
      </c>
      <c r="O38" s="136">
        <f t="shared" ca="1" si="9"/>
        <v>2.6618557453501217</v>
      </c>
      <c r="P38" s="136">
        <f t="shared" ca="1" si="10"/>
        <v>26.618557453501214</v>
      </c>
      <c r="Q38" s="136">
        <f t="shared" ca="1" si="11"/>
        <v>26.618557453501214</v>
      </c>
      <c r="R38" s="136">
        <f t="shared" ca="1" si="12"/>
        <v>2.6618557453501213</v>
      </c>
      <c r="S38" s="136">
        <f t="shared" ca="1" si="13"/>
        <v>2.6618557453501213</v>
      </c>
      <c r="T38" s="104">
        <f t="shared" ca="1" si="14"/>
        <v>0</v>
      </c>
      <c r="U38" s="87">
        <f t="shared" ca="1" si="15"/>
        <v>1178.4506512506252</v>
      </c>
      <c r="V38" s="104">
        <f t="shared" ca="1" si="16"/>
        <v>0</v>
      </c>
      <c r="W38" s="133">
        <f t="shared" ca="1" si="17"/>
        <v>8540.4958031837905</v>
      </c>
      <c r="X38" s="104">
        <f t="shared" ca="1" si="18"/>
        <v>0</v>
      </c>
      <c r="Y38" s="135">
        <f t="shared" ca="1" si="19"/>
        <v>0</v>
      </c>
      <c r="AE38" s="104"/>
    </row>
    <row r="39" spans="1:31" x14ac:dyDescent="0.2">
      <c r="A39" s="98">
        <v>0</v>
      </c>
      <c r="B39" s="98">
        <v>0</v>
      </c>
      <c r="C39" s="98">
        <f t="shared" si="0"/>
        <v>4</v>
      </c>
      <c r="D39" s="98">
        <f t="shared" si="1"/>
        <v>3</v>
      </c>
      <c r="E39" s="98">
        <f t="shared" si="2"/>
        <v>0</v>
      </c>
      <c r="F39" s="118">
        <f t="shared" ca="1" si="3"/>
        <v>0.31914364518399996</v>
      </c>
      <c r="G39" s="98">
        <v>0</v>
      </c>
      <c r="H39" s="98">
        <v>1</v>
      </c>
      <c r="I39" s="98">
        <v>2</v>
      </c>
      <c r="J39" s="118">
        <f t="shared" ca="1" si="4"/>
        <v>0</v>
      </c>
      <c r="K39" s="118">
        <f t="shared" ca="1" si="5"/>
        <v>0</v>
      </c>
      <c r="L39" s="133">
        <f t="shared" ca="1" si="6"/>
        <v>192</v>
      </c>
      <c r="M39" s="130">
        <f t="shared" ca="1" si="7"/>
        <v>808</v>
      </c>
      <c r="N39" s="100">
        <f t="shared" ca="1" si="8"/>
        <v>4</v>
      </c>
      <c r="O39" s="136">
        <f t="shared" ca="1" si="9"/>
        <v>2.6618557453501217</v>
      </c>
      <c r="P39" s="136">
        <f t="shared" ca="1" si="10"/>
        <v>26.618557453501214</v>
      </c>
      <c r="Q39" s="136">
        <f t="shared" ca="1" si="11"/>
        <v>26.618557453501214</v>
      </c>
      <c r="R39" s="136">
        <f t="shared" ca="1" si="12"/>
        <v>2.6618557453501213</v>
      </c>
      <c r="S39" s="136">
        <f t="shared" ca="1" si="13"/>
        <v>2.6618557453501213</v>
      </c>
      <c r="T39" s="104">
        <f t="shared" ca="1" si="14"/>
        <v>0</v>
      </c>
      <c r="U39" s="87">
        <f t="shared" ca="1" si="15"/>
        <v>1166.4506512506252</v>
      </c>
      <c r="V39" s="104">
        <f t="shared" ca="1" si="16"/>
        <v>0</v>
      </c>
      <c r="W39" s="133">
        <f t="shared" ca="1" si="17"/>
        <v>6405.3718523878433</v>
      </c>
      <c r="X39" s="104">
        <f t="shared" ca="1" si="18"/>
        <v>0</v>
      </c>
      <c r="Y39" s="135">
        <f t="shared" ca="1" si="19"/>
        <v>0</v>
      </c>
      <c r="AE39" s="104"/>
    </row>
    <row r="40" spans="1:31" x14ac:dyDescent="0.2">
      <c r="A40" s="98">
        <v>0</v>
      </c>
      <c r="B40" s="98">
        <v>0</v>
      </c>
      <c r="C40" s="98">
        <f t="shared" si="0"/>
        <v>4</v>
      </c>
      <c r="D40" s="98">
        <f t="shared" si="1"/>
        <v>3</v>
      </c>
      <c r="E40" s="98">
        <f t="shared" si="2"/>
        <v>0</v>
      </c>
      <c r="F40" s="118">
        <f t="shared" ca="1" si="3"/>
        <v>0.31914364518399996</v>
      </c>
      <c r="G40" s="98">
        <v>0</v>
      </c>
      <c r="H40" s="98">
        <v>1</v>
      </c>
      <c r="I40" s="98">
        <v>1</v>
      </c>
      <c r="J40" s="118">
        <f t="shared" ca="1" si="4"/>
        <v>0</v>
      </c>
      <c r="K40" s="118">
        <f t="shared" ca="1" si="5"/>
        <v>0</v>
      </c>
      <c r="L40" s="133">
        <f t="shared" ca="1" si="6"/>
        <v>180</v>
      </c>
      <c r="M40" s="130">
        <f t="shared" ca="1" si="7"/>
        <v>820</v>
      </c>
      <c r="N40" s="100">
        <f t="shared" ca="1" si="8"/>
        <v>4</v>
      </c>
      <c r="O40" s="136">
        <f t="shared" ca="1" si="9"/>
        <v>2.6618557453501217</v>
      </c>
      <c r="P40" s="136">
        <f t="shared" ca="1" si="10"/>
        <v>26.618557453501214</v>
      </c>
      <c r="Q40" s="136">
        <f t="shared" ca="1" si="11"/>
        <v>26.618557453501214</v>
      </c>
      <c r="R40" s="136">
        <f t="shared" ca="1" si="12"/>
        <v>2.6618557453501213</v>
      </c>
      <c r="S40" s="136">
        <f t="shared" ca="1" si="13"/>
        <v>2.6618557453501213</v>
      </c>
      <c r="T40" s="104">
        <f t="shared" ca="1" si="14"/>
        <v>0</v>
      </c>
      <c r="U40" s="87">
        <f t="shared" ca="1" si="15"/>
        <v>1154.4506512506252</v>
      </c>
      <c r="V40" s="104">
        <f t="shared" ca="1" si="16"/>
        <v>0</v>
      </c>
      <c r="W40" s="133">
        <f t="shared" ca="1" si="17"/>
        <v>4270.2479015918952</v>
      </c>
      <c r="X40" s="104">
        <f t="shared" ca="1" si="18"/>
        <v>0</v>
      </c>
      <c r="Y40" s="135">
        <f t="shared" ca="1" si="19"/>
        <v>0</v>
      </c>
      <c r="AE40" s="104"/>
    </row>
    <row r="41" spans="1:31" x14ac:dyDescent="0.2">
      <c r="A41" s="98">
        <v>0</v>
      </c>
      <c r="B41" s="98">
        <v>0</v>
      </c>
      <c r="C41" s="98">
        <f t="shared" si="0"/>
        <v>4</v>
      </c>
      <c r="D41" s="98">
        <f t="shared" si="1"/>
        <v>3</v>
      </c>
      <c r="E41" s="98">
        <f t="shared" si="2"/>
        <v>0</v>
      </c>
      <c r="F41" s="118">
        <f t="shared" ca="1" si="3"/>
        <v>0.31914364518399996</v>
      </c>
      <c r="G41" s="98">
        <v>0</v>
      </c>
      <c r="H41" s="98">
        <v>1</v>
      </c>
      <c r="I41" s="98">
        <v>0</v>
      </c>
      <c r="J41" s="118">
        <f t="shared" ca="1" si="4"/>
        <v>0</v>
      </c>
      <c r="K41" s="118">
        <f t="shared" ca="1" si="5"/>
        <v>0</v>
      </c>
      <c r="L41" s="133">
        <f t="shared" ca="1" si="6"/>
        <v>168</v>
      </c>
      <c r="M41" s="130">
        <f t="shared" ca="1" si="7"/>
        <v>832</v>
      </c>
      <c r="N41" s="100">
        <f t="shared" ca="1" si="8"/>
        <v>5</v>
      </c>
      <c r="O41" s="136">
        <f t="shared" ca="1" si="9"/>
        <v>3.2590583346360766</v>
      </c>
      <c r="P41" s="136">
        <f t="shared" ca="1" si="10"/>
        <v>28.410165221359076</v>
      </c>
      <c r="Q41" s="136">
        <f t="shared" ca="1" si="11"/>
        <v>26.618557453501214</v>
      </c>
      <c r="R41" s="136">
        <f t="shared" ca="1" si="12"/>
        <v>2.7514361337430144</v>
      </c>
      <c r="S41" s="136">
        <f t="shared" ca="1" si="13"/>
        <v>3.091543008341366</v>
      </c>
      <c r="T41" s="104">
        <f t="shared" ca="1" si="14"/>
        <v>0</v>
      </c>
      <c r="U41" s="87">
        <f t="shared" ca="1" si="15"/>
        <v>1294.1569825567776</v>
      </c>
      <c r="V41" s="104">
        <f t="shared" ca="1" si="16"/>
        <v>0</v>
      </c>
      <c r="W41" s="133">
        <f t="shared" ca="1" si="17"/>
        <v>2135.1239507959476</v>
      </c>
      <c r="X41" s="104">
        <f t="shared" ca="1" si="18"/>
        <v>0</v>
      </c>
      <c r="Y41" s="135">
        <f t="shared" ca="1" si="19"/>
        <v>0</v>
      </c>
      <c r="AE41" s="104"/>
    </row>
    <row r="42" spans="1:31" x14ac:dyDescent="0.2">
      <c r="A42" s="98">
        <v>0</v>
      </c>
      <c r="B42" s="98">
        <v>0</v>
      </c>
      <c r="C42" s="98">
        <f t="shared" si="0"/>
        <v>4</v>
      </c>
      <c r="D42" s="98">
        <f t="shared" si="1"/>
        <v>3</v>
      </c>
      <c r="E42" s="98">
        <f t="shared" si="2"/>
        <v>0</v>
      </c>
      <c r="F42" s="118">
        <f t="shared" ca="1" si="3"/>
        <v>0.31914364518399996</v>
      </c>
      <c r="G42" s="98">
        <v>0</v>
      </c>
      <c r="H42" s="98">
        <v>0</v>
      </c>
      <c r="I42" s="98">
        <v>7</v>
      </c>
      <c r="J42" s="118">
        <f t="shared" si="4"/>
        <v>0</v>
      </c>
      <c r="K42" s="118">
        <f t="shared" ca="1" si="5"/>
        <v>0</v>
      </c>
      <c r="L42" s="133">
        <f t="shared" ca="1" si="6"/>
        <v>84</v>
      </c>
      <c r="M42" s="130">
        <f t="shared" ca="1" si="7"/>
        <v>916</v>
      </c>
      <c r="N42" s="100">
        <f t="shared" ca="1" si="8"/>
        <v>5</v>
      </c>
      <c r="O42" s="136">
        <f t="shared" ca="1" si="9"/>
        <v>3.2590583346360766</v>
      </c>
      <c r="P42" s="136">
        <f t="shared" ca="1" si="10"/>
        <v>32.590583346360766</v>
      </c>
      <c r="Q42" s="136">
        <f t="shared" ca="1" si="11"/>
        <v>32.590583346360766</v>
      </c>
      <c r="R42" s="136">
        <f t="shared" ca="1" si="12"/>
        <v>3.2590583346360766</v>
      </c>
      <c r="S42" s="136">
        <f t="shared" ca="1" si="13"/>
        <v>3.2590583346360766</v>
      </c>
      <c r="T42" s="104">
        <f t="shared" ca="1" si="14"/>
        <v>0</v>
      </c>
      <c r="U42" s="87">
        <f t="shared" ca="1" si="15"/>
        <v>1269.3003125517403</v>
      </c>
      <c r="V42" s="104">
        <f t="shared" ca="1" si="16"/>
        <v>0</v>
      </c>
      <c r="W42" s="133">
        <f t="shared" ca="1" si="17"/>
        <v>14945.867655571634</v>
      </c>
      <c r="X42" s="104">
        <f t="shared" ca="1" si="18"/>
        <v>0</v>
      </c>
      <c r="Y42" s="135">
        <f t="shared" ca="1" si="19"/>
        <v>0</v>
      </c>
      <c r="AE42" s="104"/>
    </row>
    <row r="43" spans="1:31" x14ac:dyDescent="0.2">
      <c r="A43" s="98">
        <v>0</v>
      </c>
      <c r="B43" s="98">
        <v>0</v>
      </c>
      <c r="C43" s="98">
        <f t="shared" si="0"/>
        <v>4</v>
      </c>
      <c r="D43" s="98">
        <f t="shared" si="1"/>
        <v>3</v>
      </c>
      <c r="E43" s="98">
        <f t="shared" si="2"/>
        <v>0</v>
      </c>
      <c r="F43" s="118">
        <f t="shared" ca="1" si="3"/>
        <v>0.31914364518399996</v>
      </c>
      <c r="G43" s="98">
        <v>0</v>
      </c>
      <c r="H43" s="98">
        <v>0</v>
      </c>
      <c r="I43" s="98">
        <v>6</v>
      </c>
      <c r="J43" s="118">
        <f t="shared" si="4"/>
        <v>0</v>
      </c>
      <c r="K43" s="118">
        <f t="shared" ca="1" si="5"/>
        <v>0</v>
      </c>
      <c r="L43" s="133">
        <f t="shared" ca="1" si="6"/>
        <v>72</v>
      </c>
      <c r="M43" s="130">
        <f t="shared" ca="1" si="7"/>
        <v>928</v>
      </c>
      <c r="N43" s="100">
        <f t="shared" ca="1" si="8"/>
        <v>5</v>
      </c>
      <c r="O43" s="136">
        <f t="shared" ca="1" si="9"/>
        <v>3.2590583346360766</v>
      </c>
      <c r="P43" s="136">
        <f t="shared" ca="1" si="10"/>
        <v>32.590583346360766</v>
      </c>
      <c r="Q43" s="136">
        <f t="shared" ca="1" si="11"/>
        <v>32.590583346360766</v>
      </c>
      <c r="R43" s="136">
        <f t="shared" ca="1" si="12"/>
        <v>3.2590583346360766</v>
      </c>
      <c r="S43" s="136">
        <f t="shared" ca="1" si="13"/>
        <v>3.2590583346360766</v>
      </c>
      <c r="T43" s="104">
        <f t="shared" ca="1" si="14"/>
        <v>0</v>
      </c>
      <c r="U43" s="87">
        <f t="shared" ca="1" si="15"/>
        <v>1257.3003125517403</v>
      </c>
      <c r="V43" s="104">
        <f t="shared" ca="1" si="16"/>
        <v>0</v>
      </c>
      <c r="W43" s="133">
        <f t="shared" ca="1" si="17"/>
        <v>12810.743704775687</v>
      </c>
      <c r="X43" s="104">
        <f t="shared" ca="1" si="18"/>
        <v>0</v>
      </c>
      <c r="Y43" s="135">
        <f t="shared" ca="1" si="19"/>
        <v>0</v>
      </c>
      <c r="AE43" s="104"/>
    </row>
    <row r="44" spans="1:31" x14ac:dyDescent="0.2">
      <c r="A44" s="98">
        <v>0</v>
      </c>
      <c r="B44" s="98">
        <v>0</v>
      </c>
      <c r="C44" s="98">
        <f t="shared" si="0"/>
        <v>4</v>
      </c>
      <c r="D44" s="98">
        <f t="shared" si="1"/>
        <v>3</v>
      </c>
      <c r="E44" s="98">
        <f t="shared" si="2"/>
        <v>0</v>
      </c>
      <c r="F44" s="118">
        <f t="shared" ca="1" si="3"/>
        <v>0.31914364518399996</v>
      </c>
      <c r="G44" s="98">
        <v>0</v>
      </c>
      <c r="H44" s="98">
        <v>0</v>
      </c>
      <c r="I44" s="98">
        <v>5</v>
      </c>
      <c r="J44" s="118">
        <f t="shared" si="4"/>
        <v>0</v>
      </c>
      <c r="K44" s="118">
        <f t="shared" ca="1" si="5"/>
        <v>0</v>
      </c>
      <c r="L44" s="133">
        <f t="shared" ca="1" si="6"/>
        <v>60</v>
      </c>
      <c r="M44" s="130">
        <f t="shared" ca="1" si="7"/>
        <v>940</v>
      </c>
      <c r="N44" s="100">
        <f t="shared" ca="1" si="8"/>
        <v>5</v>
      </c>
      <c r="O44" s="136">
        <f t="shared" ca="1" si="9"/>
        <v>3.2590583346360766</v>
      </c>
      <c r="P44" s="136">
        <f t="shared" ca="1" si="10"/>
        <v>32.590583346360766</v>
      </c>
      <c r="Q44" s="136">
        <f t="shared" ca="1" si="11"/>
        <v>32.590583346360766</v>
      </c>
      <c r="R44" s="136">
        <f t="shared" ca="1" si="12"/>
        <v>3.2590583346360766</v>
      </c>
      <c r="S44" s="136">
        <f t="shared" ca="1" si="13"/>
        <v>3.2590583346360766</v>
      </c>
      <c r="T44" s="104">
        <f t="shared" ca="1" si="14"/>
        <v>0</v>
      </c>
      <c r="U44" s="87">
        <f t="shared" ca="1" si="15"/>
        <v>1245.3003125517403</v>
      </c>
      <c r="V44" s="104">
        <f t="shared" ca="1" si="16"/>
        <v>0</v>
      </c>
      <c r="W44" s="133">
        <f t="shared" ca="1" si="17"/>
        <v>10675.619753979738</v>
      </c>
      <c r="X44" s="104">
        <f t="shared" ca="1" si="18"/>
        <v>0</v>
      </c>
      <c r="Y44" s="135">
        <f t="shared" ca="1" si="19"/>
        <v>0</v>
      </c>
      <c r="AE44" s="104"/>
    </row>
    <row r="45" spans="1:31" x14ac:dyDescent="0.2">
      <c r="A45" s="98">
        <v>0</v>
      </c>
      <c r="B45" s="98">
        <v>0</v>
      </c>
      <c r="C45" s="98">
        <f t="shared" si="0"/>
        <v>4</v>
      </c>
      <c r="D45" s="98">
        <f t="shared" si="1"/>
        <v>3</v>
      </c>
      <c r="E45" s="98">
        <f t="shared" si="2"/>
        <v>0</v>
      </c>
      <c r="F45" s="118">
        <f t="shared" ca="1" si="3"/>
        <v>0.31914364518399996</v>
      </c>
      <c r="G45" s="98">
        <v>0</v>
      </c>
      <c r="H45" s="98">
        <v>0</v>
      </c>
      <c r="I45" s="98">
        <v>4</v>
      </c>
      <c r="J45" s="118">
        <f t="shared" si="4"/>
        <v>0</v>
      </c>
      <c r="K45" s="118">
        <f t="shared" ca="1" si="5"/>
        <v>0</v>
      </c>
      <c r="L45" s="133">
        <f t="shared" ca="1" si="6"/>
        <v>48</v>
      </c>
      <c r="M45" s="130">
        <f t="shared" ca="1" si="7"/>
        <v>952</v>
      </c>
      <c r="N45" s="100">
        <f t="shared" ca="1" si="8"/>
        <v>5</v>
      </c>
      <c r="O45" s="136">
        <f t="shared" ca="1" si="9"/>
        <v>3.2590583346360766</v>
      </c>
      <c r="P45" s="136">
        <f t="shared" ca="1" si="10"/>
        <v>32.590583346360766</v>
      </c>
      <c r="Q45" s="136">
        <f t="shared" ca="1" si="11"/>
        <v>32.590583346360766</v>
      </c>
      <c r="R45" s="136">
        <f t="shared" ca="1" si="12"/>
        <v>3.2590583346360766</v>
      </c>
      <c r="S45" s="136">
        <f t="shared" ca="1" si="13"/>
        <v>3.2590583346360766</v>
      </c>
      <c r="T45" s="104">
        <f t="shared" ca="1" si="14"/>
        <v>0</v>
      </c>
      <c r="U45" s="87">
        <f t="shared" ca="1" si="15"/>
        <v>1233.3003125517403</v>
      </c>
      <c r="V45" s="104">
        <f t="shared" ca="1" si="16"/>
        <v>0</v>
      </c>
      <c r="W45" s="133">
        <f t="shared" ca="1" si="17"/>
        <v>8540.4958031837905</v>
      </c>
      <c r="X45" s="104">
        <f t="shared" ca="1" si="18"/>
        <v>0</v>
      </c>
      <c r="Y45" s="135">
        <f t="shared" ca="1" si="19"/>
        <v>0</v>
      </c>
      <c r="AE45" s="104"/>
    </row>
    <row r="46" spans="1:31" x14ac:dyDescent="0.2">
      <c r="A46" s="98">
        <v>0</v>
      </c>
      <c r="B46" s="98">
        <v>0</v>
      </c>
      <c r="C46" s="98">
        <f t="shared" si="0"/>
        <v>4</v>
      </c>
      <c r="D46" s="98">
        <f t="shared" si="1"/>
        <v>3</v>
      </c>
      <c r="E46" s="98">
        <f t="shared" si="2"/>
        <v>0</v>
      </c>
      <c r="F46" s="118">
        <f t="shared" ca="1" si="3"/>
        <v>0.31914364518399996</v>
      </c>
      <c r="G46" s="98">
        <v>0</v>
      </c>
      <c r="H46" s="98">
        <v>0</v>
      </c>
      <c r="I46" s="98">
        <v>3</v>
      </c>
      <c r="J46" s="118">
        <f t="shared" ca="1" si="4"/>
        <v>4.2868749999999997E-2</v>
      </c>
      <c r="K46" s="118">
        <f t="shared" ca="1" si="5"/>
        <v>1.3681289139481597E-2</v>
      </c>
      <c r="L46" s="133">
        <f t="shared" ca="1" si="6"/>
        <v>36</v>
      </c>
      <c r="M46" s="130">
        <f t="shared" ca="1" si="7"/>
        <v>964</v>
      </c>
      <c r="N46" s="100">
        <f t="shared" ca="1" si="8"/>
        <v>5</v>
      </c>
      <c r="O46" s="136">
        <f t="shared" ca="1" si="9"/>
        <v>3.2590583346360766</v>
      </c>
      <c r="P46" s="136">
        <f t="shared" ca="1" si="10"/>
        <v>32.590583346360766</v>
      </c>
      <c r="Q46" s="136">
        <f t="shared" ca="1" si="11"/>
        <v>32.590583346360766</v>
      </c>
      <c r="R46" s="136">
        <f t="shared" ca="1" si="12"/>
        <v>3.2590583346360766</v>
      </c>
      <c r="S46" s="136">
        <f t="shared" ca="1" si="13"/>
        <v>3.2590583346360766</v>
      </c>
      <c r="T46" s="104">
        <f t="shared" ca="1" si="14"/>
        <v>4.4588119398593536E-2</v>
      </c>
      <c r="U46" s="87">
        <f t="shared" ca="1" si="15"/>
        <v>1221.3003125517403</v>
      </c>
      <c r="V46" s="104">
        <f t="shared" ca="1" si="16"/>
        <v>16.708962702159603</v>
      </c>
      <c r="W46" s="133">
        <f t="shared" ca="1" si="17"/>
        <v>6405.3718523878433</v>
      </c>
      <c r="X46" s="104">
        <f t="shared" ca="1" si="18"/>
        <v>87.633744358414916</v>
      </c>
      <c r="Y46" s="135">
        <f t="shared" ca="1" si="19"/>
        <v>0.49252640902133749</v>
      </c>
      <c r="AE46" s="104"/>
    </row>
    <row r="47" spans="1:31" x14ac:dyDescent="0.2">
      <c r="A47" s="98">
        <v>0</v>
      </c>
      <c r="B47" s="98">
        <v>0</v>
      </c>
      <c r="C47" s="98">
        <f t="shared" si="0"/>
        <v>4</v>
      </c>
      <c r="D47" s="98">
        <f t="shared" si="1"/>
        <v>3</v>
      </c>
      <c r="E47" s="98">
        <f t="shared" si="2"/>
        <v>0</v>
      </c>
      <c r="F47" s="118">
        <f t="shared" ca="1" si="3"/>
        <v>0.31914364518399996</v>
      </c>
      <c r="G47" s="98">
        <v>0</v>
      </c>
      <c r="H47" s="98">
        <v>0</v>
      </c>
      <c r="I47" s="98">
        <v>2</v>
      </c>
      <c r="J47" s="118">
        <f t="shared" ca="1" si="4"/>
        <v>6.7687500000000074E-3</v>
      </c>
      <c r="K47" s="118">
        <f t="shared" ca="1" si="5"/>
        <v>2.160203548339202E-3</v>
      </c>
      <c r="L47" s="133">
        <f t="shared" ca="1" si="6"/>
        <v>24</v>
      </c>
      <c r="M47" s="130">
        <f t="shared" ca="1" si="7"/>
        <v>976</v>
      </c>
      <c r="N47" s="100">
        <f t="shared" ca="1" si="8"/>
        <v>5</v>
      </c>
      <c r="O47" s="136">
        <f t="shared" ca="1" si="9"/>
        <v>3.2590583346360766</v>
      </c>
      <c r="P47" s="136">
        <f t="shared" ca="1" si="10"/>
        <v>32.590583346360766</v>
      </c>
      <c r="Q47" s="136">
        <f t="shared" ca="1" si="11"/>
        <v>32.590583346360766</v>
      </c>
      <c r="R47" s="136">
        <f t="shared" ca="1" si="12"/>
        <v>3.2590583346360766</v>
      </c>
      <c r="S47" s="136">
        <f t="shared" ca="1" si="13"/>
        <v>3.2590583346360766</v>
      </c>
      <c r="T47" s="104">
        <f t="shared" ca="1" si="14"/>
        <v>7.0402293787253031E-3</v>
      </c>
      <c r="U47" s="87">
        <f t="shared" ca="1" si="15"/>
        <v>1209.3003125517403</v>
      </c>
      <c r="V47" s="104">
        <f t="shared" ca="1" si="16"/>
        <v>2.6123348261819754</v>
      </c>
      <c r="W47" s="133">
        <f t="shared" ca="1" si="17"/>
        <v>4270.2479015918952</v>
      </c>
      <c r="X47" s="104">
        <f t="shared" ca="1" si="18"/>
        <v>9.224604669306844</v>
      </c>
      <c r="Y47" s="135">
        <f t="shared" ca="1" si="19"/>
        <v>5.1844885160140852E-2</v>
      </c>
      <c r="AE47" s="104"/>
    </row>
    <row r="48" spans="1:31" x14ac:dyDescent="0.2">
      <c r="A48" s="98">
        <v>0</v>
      </c>
      <c r="B48" s="98">
        <v>0</v>
      </c>
      <c r="C48" s="98">
        <f t="shared" si="0"/>
        <v>4</v>
      </c>
      <c r="D48" s="98">
        <f t="shared" si="1"/>
        <v>3</v>
      </c>
      <c r="E48" s="98">
        <f t="shared" si="2"/>
        <v>0</v>
      </c>
      <c r="F48" s="118">
        <f t="shared" ca="1" si="3"/>
        <v>0.31914364518399996</v>
      </c>
      <c r="G48" s="98">
        <v>0</v>
      </c>
      <c r="H48" s="98">
        <v>0</v>
      </c>
      <c r="I48" s="98">
        <v>1</v>
      </c>
      <c r="J48" s="118">
        <f t="shared" ca="1" si="4"/>
        <v>3.5625000000000061E-4</v>
      </c>
      <c r="K48" s="118">
        <f t="shared" ca="1" si="5"/>
        <v>1.1369492359680018E-4</v>
      </c>
      <c r="L48" s="133">
        <f t="shared" ca="1" si="6"/>
        <v>12</v>
      </c>
      <c r="M48" s="130">
        <f t="shared" ca="1" si="7"/>
        <v>988</v>
      </c>
      <c r="N48" s="100">
        <f t="shared" ca="1" si="8"/>
        <v>5</v>
      </c>
      <c r="O48" s="136">
        <f t="shared" ca="1" si="9"/>
        <v>3.2590583346360766</v>
      </c>
      <c r="P48" s="136">
        <f t="shared" ca="1" si="10"/>
        <v>32.590583346360766</v>
      </c>
      <c r="Q48" s="136">
        <f t="shared" ca="1" si="11"/>
        <v>32.590583346360766</v>
      </c>
      <c r="R48" s="136">
        <f t="shared" ca="1" si="12"/>
        <v>3.2590583346360766</v>
      </c>
      <c r="S48" s="136">
        <f t="shared" ca="1" si="13"/>
        <v>3.2590583346360766</v>
      </c>
      <c r="T48" s="104">
        <f t="shared" ca="1" si="14"/>
        <v>3.7053838835396358E-4</v>
      </c>
      <c r="U48" s="87">
        <f t="shared" ca="1" si="15"/>
        <v>1197.3003125517403</v>
      </c>
      <c r="V48" s="104">
        <f t="shared" ca="1" si="16"/>
        <v>0.13612696755799508</v>
      </c>
      <c r="W48" s="133">
        <f t="shared" ca="1" si="17"/>
        <v>2135.1239507959476</v>
      </c>
      <c r="X48" s="104">
        <f t="shared" ca="1" si="18"/>
        <v>0.24275275445544342</v>
      </c>
      <c r="Y48" s="135">
        <f t="shared" ca="1" si="19"/>
        <v>1.3643390831616022E-3</v>
      </c>
      <c r="AE48" s="104"/>
    </row>
    <row r="49" spans="1:31" x14ac:dyDescent="0.2">
      <c r="A49" s="98">
        <v>0</v>
      </c>
      <c r="B49" s="98">
        <v>0</v>
      </c>
      <c r="C49" s="98">
        <f t="shared" si="0"/>
        <v>4</v>
      </c>
      <c r="D49" s="98">
        <f t="shared" si="1"/>
        <v>3</v>
      </c>
      <c r="E49" s="98">
        <f t="shared" si="2"/>
        <v>0</v>
      </c>
      <c r="F49" s="118">
        <f t="shared" ca="1" si="3"/>
        <v>0.31914364518399996</v>
      </c>
      <c r="G49" s="98">
        <v>0</v>
      </c>
      <c r="H49" s="98">
        <v>0</v>
      </c>
      <c r="I49" s="98">
        <v>0</v>
      </c>
      <c r="J49" s="118">
        <f t="shared" ca="1" si="4"/>
        <v>6.2500000000000164E-6</v>
      </c>
      <c r="K49" s="118">
        <f t="shared" ca="1" si="5"/>
        <v>1.9946477824000048E-6</v>
      </c>
      <c r="L49" s="133">
        <f t="shared" ca="1" si="6"/>
        <v>0</v>
      </c>
      <c r="M49" s="130">
        <f t="shared" ca="1" si="7"/>
        <v>1000</v>
      </c>
      <c r="N49" s="100">
        <f t="shared" ca="1" si="8"/>
        <v>5</v>
      </c>
      <c r="O49" s="136">
        <f t="shared" ca="1" si="9"/>
        <v>3.2590583346360766</v>
      </c>
      <c r="P49" s="136">
        <f t="shared" ca="1" si="10"/>
        <v>32.590583346360766</v>
      </c>
      <c r="Q49" s="136">
        <f t="shared" ca="1" si="11"/>
        <v>32.590583346360766</v>
      </c>
      <c r="R49" s="136">
        <f t="shared" ca="1" si="12"/>
        <v>3.2590583346360766</v>
      </c>
      <c r="S49" s="136">
        <f t="shared" ca="1" si="13"/>
        <v>3.2590583346360766</v>
      </c>
      <c r="T49" s="104">
        <f t="shared" ca="1" si="14"/>
        <v>6.5006734798941029E-6</v>
      </c>
      <c r="U49" s="87">
        <f t="shared" ca="1" si="15"/>
        <v>1185.3003125517403</v>
      </c>
      <c r="V49" s="104">
        <f t="shared" ca="1" si="16"/>
        <v>2.3642566399093611E-3</v>
      </c>
      <c r="W49" s="133">
        <f t="shared" ca="1" si="17"/>
        <v>0</v>
      </c>
      <c r="X49" s="104">
        <f t="shared" ca="1" si="18"/>
        <v>0</v>
      </c>
      <c r="Y49" s="135">
        <f t="shared" ca="1" si="19"/>
        <v>0</v>
      </c>
      <c r="AE49" s="104"/>
    </row>
    <row r="50" spans="1:31" x14ac:dyDescent="0.2">
      <c r="A50" s="98">
        <v>0</v>
      </c>
      <c r="B50" s="98">
        <v>1</v>
      </c>
      <c r="C50" s="98">
        <f t="shared" si="0"/>
        <v>5</v>
      </c>
      <c r="D50" s="98">
        <f t="shared" si="1"/>
        <v>4</v>
      </c>
      <c r="E50" s="98">
        <f t="shared" si="2"/>
        <v>0</v>
      </c>
      <c r="F50" s="118">
        <f t="shared" ca="1" si="3"/>
        <v>0.179518300416</v>
      </c>
      <c r="G50" s="98">
        <v>1</v>
      </c>
      <c r="H50" s="98">
        <v>1</v>
      </c>
      <c r="I50" s="98">
        <v>7</v>
      </c>
      <c r="J50" s="118">
        <f t="shared" si="4"/>
        <v>0</v>
      </c>
      <c r="K50" s="118">
        <f t="shared" ca="1" si="5"/>
        <v>0</v>
      </c>
      <c r="L50" s="133">
        <f t="shared" ca="1" si="6"/>
        <v>420</v>
      </c>
      <c r="M50" s="130">
        <f t="shared" ca="1" si="7"/>
        <v>580</v>
      </c>
      <c r="N50" s="100">
        <f t="shared" ca="1" si="8"/>
        <v>3</v>
      </c>
      <c r="O50" s="136">
        <f t="shared" ca="1" si="9"/>
        <v>2.0946097612518035</v>
      </c>
      <c r="P50" s="136">
        <f t="shared" ca="1" si="10"/>
        <v>20.946097612518034</v>
      </c>
      <c r="Q50" s="136">
        <f t="shared" ca="1" si="11"/>
        <v>20.946097612518034</v>
      </c>
      <c r="R50" s="136">
        <f t="shared" ca="1" si="12"/>
        <v>2.0946097612518035</v>
      </c>
      <c r="S50" s="136">
        <f t="shared" ca="1" si="13"/>
        <v>2.0946097612518035</v>
      </c>
      <c r="T50" s="104">
        <f t="shared" ca="1" si="14"/>
        <v>0</v>
      </c>
      <c r="U50" s="87">
        <f t="shared" ca="1" si="15"/>
        <v>1194.1775349459019</v>
      </c>
      <c r="V50" s="104">
        <f t="shared" ca="1" si="16"/>
        <v>0</v>
      </c>
      <c r="W50" s="133">
        <f t="shared" ca="1" si="17"/>
        <v>19493.681670767</v>
      </c>
      <c r="X50" s="104">
        <f t="shared" ca="1" si="18"/>
        <v>0</v>
      </c>
      <c r="Y50" s="135">
        <f t="shared" ca="1" si="19"/>
        <v>0</v>
      </c>
      <c r="AE50" s="104"/>
    </row>
    <row r="51" spans="1:31" x14ac:dyDescent="0.2">
      <c r="A51" s="98">
        <v>0</v>
      </c>
      <c r="B51" s="98">
        <v>1</v>
      </c>
      <c r="C51" s="98">
        <f t="shared" si="0"/>
        <v>5</v>
      </c>
      <c r="D51" s="98">
        <f t="shared" si="1"/>
        <v>4</v>
      </c>
      <c r="E51" s="98">
        <f t="shared" si="2"/>
        <v>0</v>
      </c>
      <c r="F51" s="118">
        <f t="shared" ca="1" si="3"/>
        <v>0.179518300416</v>
      </c>
      <c r="G51" s="98">
        <v>1</v>
      </c>
      <c r="H51" s="98">
        <v>1</v>
      </c>
      <c r="I51" s="98">
        <v>6</v>
      </c>
      <c r="J51" s="118">
        <f t="shared" si="4"/>
        <v>0</v>
      </c>
      <c r="K51" s="118">
        <f t="shared" ca="1" si="5"/>
        <v>0</v>
      </c>
      <c r="L51" s="133">
        <f t="shared" ca="1" si="6"/>
        <v>408</v>
      </c>
      <c r="M51" s="130">
        <f t="shared" ca="1" si="7"/>
        <v>592</v>
      </c>
      <c r="N51" s="100">
        <f t="shared" ca="1" si="8"/>
        <v>3</v>
      </c>
      <c r="O51" s="136">
        <f t="shared" ca="1" si="9"/>
        <v>2.0946097612518035</v>
      </c>
      <c r="P51" s="136">
        <f t="shared" ca="1" si="10"/>
        <v>20.946097612518034</v>
      </c>
      <c r="Q51" s="136">
        <f t="shared" ca="1" si="11"/>
        <v>20.946097612518034</v>
      </c>
      <c r="R51" s="136">
        <f t="shared" ca="1" si="12"/>
        <v>2.0946097612518035</v>
      </c>
      <c r="S51" s="136">
        <f t="shared" ca="1" si="13"/>
        <v>2.0946097612518035</v>
      </c>
      <c r="T51" s="104">
        <f t="shared" ca="1" si="14"/>
        <v>0</v>
      </c>
      <c r="U51" s="87">
        <f t="shared" ca="1" si="15"/>
        <v>1182.1775349459019</v>
      </c>
      <c r="V51" s="104">
        <f t="shared" ca="1" si="16"/>
        <v>0</v>
      </c>
      <c r="W51" s="133">
        <f t="shared" ca="1" si="17"/>
        <v>17358.557719971053</v>
      </c>
      <c r="X51" s="104">
        <f t="shared" ca="1" si="18"/>
        <v>0</v>
      </c>
      <c r="Y51" s="135">
        <f t="shared" ca="1" si="19"/>
        <v>0</v>
      </c>
      <c r="AE51" s="104"/>
    </row>
    <row r="52" spans="1:31" x14ac:dyDescent="0.2">
      <c r="A52" s="98">
        <v>0</v>
      </c>
      <c r="B52" s="98">
        <v>1</v>
      </c>
      <c r="C52" s="98">
        <f t="shared" si="0"/>
        <v>5</v>
      </c>
      <c r="D52" s="98">
        <f t="shared" si="1"/>
        <v>4</v>
      </c>
      <c r="E52" s="98">
        <f t="shared" si="2"/>
        <v>0</v>
      </c>
      <c r="F52" s="118">
        <f t="shared" ca="1" si="3"/>
        <v>0.179518300416</v>
      </c>
      <c r="G52" s="98">
        <v>1</v>
      </c>
      <c r="H52" s="98">
        <v>1</v>
      </c>
      <c r="I52" s="98">
        <v>5</v>
      </c>
      <c r="J52" s="118">
        <f t="shared" si="4"/>
        <v>0</v>
      </c>
      <c r="K52" s="118">
        <f t="shared" ca="1" si="5"/>
        <v>0</v>
      </c>
      <c r="L52" s="133">
        <f t="shared" ca="1" si="6"/>
        <v>396</v>
      </c>
      <c r="M52" s="130">
        <f t="shared" ca="1" si="7"/>
        <v>604</v>
      </c>
      <c r="N52" s="100">
        <f t="shared" ca="1" si="8"/>
        <v>3</v>
      </c>
      <c r="O52" s="136">
        <f t="shared" ca="1" si="9"/>
        <v>2.0946097612518035</v>
      </c>
      <c r="P52" s="136">
        <f t="shared" ca="1" si="10"/>
        <v>20.946097612518034</v>
      </c>
      <c r="Q52" s="136">
        <f t="shared" ca="1" si="11"/>
        <v>20.946097612518034</v>
      </c>
      <c r="R52" s="136">
        <f t="shared" ca="1" si="12"/>
        <v>2.0946097612518035</v>
      </c>
      <c r="S52" s="136">
        <f t="shared" ca="1" si="13"/>
        <v>2.0946097612518035</v>
      </c>
      <c r="T52" s="104">
        <f t="shared" ca="1" si="14"/>
        <v>0</v>
      </c>
      <c r="U52" s="87">
        <f t="shared" ca="1" si="15"/>
        <v>1170.1775349459019</v>
      </c>
      <c r="V52" s="104">
        <f t="shared" ca="1" si="16"/>
        <v>0</v>
      </c>
      <c r="W52" s="133">
        <f t="shared" ca="1" si="17"/>
        <v>15223.433769175106</v>
      </c>
      <c r="X52" s="104">
        <f t="shared" ca="1" si="18"/>
        <v>0</v>
      </c>
      <c r="Y52" s="135">
        <f t="shared" ca="1" si="19"/>
        <v>0</v>
      </c>
      <c r="AE52" s="104"/>
    </row>
    <row r="53" spans="1:31" x14ac:dyDescent="0.2">
      <c r="A53" s="98">
        <v>0</v>
      </c>
      <c r="B53" s="98">
        <v>1</v>
      </c>
      <c r="C53" s="98">
        <f t="shared" si="0"/>
        <v>5</v>
      </c>
      <c r="D53" s="98">
        <f t="shared" si="1"/>
        <v>4</v>
      </c>
      <c r="E53" s="98">
        <f t="shared" si="2"/>
        <v>0</v>
      </c>
      <c r="F53" s="118">
        <f t="shared" ca="1" si="3"/>
        <v>0.179518300416</v>
      </c>
      <c r="G53" s="98">
        <v>1</v>
      </c>
      <c r="H53" s="98">
        <v>1</v>
      </c>
      <c r="I53" s="98">
        <v>4</v>
      </c>
      <c r="J53" s="118">
        <f t="shared" ca="1" si="4"/>
        <v>0</v>
      </c>
      <c r="K53" s="118">
        <f t="shared" ca="1" si="5"/>
        <v>0</v>
      </c>
      <c r="L53" s="133">
        <f t="shared" ca="1" si="6"/>
        <v>384</v>
      </c>
      <c r="M53" s="130">
        <f t="shared" ca="1" si="7"/>
        <v>616</v>
      </c>
      <c r="N53" s="100">
        <f t="shared" ca="1" si="8"/>
        <v>3</v>
      </c>
      <c r="O53" s="136">
        <f t="shared" ca="1" si="9"/>
        <v>2.0946097612518035</v>
      </c>
      <c r="P53" s="136">
        <f t="shared" ca="1" si="10"/>
        <v>20.946097612518034</v>
      </c>
      <c r="Q53" s="136">
        <f t="shared" ca="1" si="11"/>
        <v>20.946097612518034</v>
      </c>
      <c r="R53" s="136">
        <f t="shared" ca="1" si="12"/>
        <v>2.0946097612518035</v>
      </c>
      <c r="S53" s="136">
        <f t="shared" ca="1" si="13"/>
        <v>2.0946097612518035</v>
      </c>
      <c r="T53" s="104">
        <f t="shared" ca="1" si="14"/>
        <v>0</v>
      </c>
      <c r="U53" s="87">
        <f t="shared" ca="1" si="15"/>
        <v>1158.1775349459019</v>
      </c>
      <c r="V53" s="104">
        <f t="shared" ca="1" si="16"/>
        <v>0</v>
      </c>
      <c r="W53" s="133">
        <f t="shared" ca="1" si="17"/>
        <v>13088.309818379159</v>
      </c>
      <c r="X53" s="104">
        <f t="shared" ca="1" si="18"/>
        <v>0</v>
      </c>
      <c r="Y53" s="135">
        <f t="shared" ca="1" si="19"/>
        <v>0</v>
      </c>
      <c r="AE53" s="104"/>
    </row>
    <row r="54" spans="1:31" x14ac:dyDescent="0.2">
      <c r="A54" s="98">
        <v>0</v>
      </c>
      <c r="B54" s="98">
        <v>1</v>
      </c>
      <c r="C54" s="98">
        <f t="shared" si="0"/>
        <v>5</v>
      </c>
      <c r="D54" s="98">
        <f t="shared" si="1"/>
        <v>4</v>
      </c>
      <c r="E54" s="98">
        <f t="shared" si="2"/>
        <v>0</v>
      </c>
      <c r="F54" s="118">
        <f t="shared" ca="1" si="3"/>
        <v>0.179518300416</v>
      </c>
      <c r="G54" s="98">
        <v>1</v>
      </c>
      <c r="H54" s="98">
        <v>1</v>
      </c>
      <c r="I54" s="98">
        <v>3</v>
      </c>
      <c r="J54" s="118">
        <f t="shared" ca="1" si="4"/>
        <v>0</v>
      </c>
      <c r="K54" s="118">
        <f t="shared" ca="1" si="5"/>
        <v>0</v>
      </c>
      <c r="L54" s="133">
        <f t="shared" ca="1" si="6"/>
        <v>372</v>
      </c>
      <c r="M54" s="130">
        <f t="shared" ca="1" si="7"/>
        <v>628</v>
      </c>
      <c r="N54" s="100">
        <f t="shared" ca="1" si="8"/>
        <v>4</v>
      </c>
      <c r="O54" s="136">
        <f t="shared" ca="1" si="9"/>
        <v>2.6618557453501217</v>
      </c>
      <c r="P54" s="136">
        <f t="shared" ca="1" si="10"/>
        <v>24.349573517107945</v>
      </c>
      <c r="Q54" s="136">
        <f t="shared" ca="1" si="11"/>
        <v>20.946097612518034</v>
      </c>
      <c r="R54" s="136">
        <f t="shared" ca="1" si="12"/>
        <v>2.2647835564812988</v>
      </c>
      <c r="S54" s="136">
        <f t="shared" ca="1" si="13"/>
        <v>2.5308219230234101</v>
      </c>
      <c r="T54" s="104">
        <f t="shared" ca="1" si="14"/>
        <v>0</v>
      </c>
      <c r="U54" s="87">
        <f t="shared" ca="1" si="15"/>
        <v>1300.1875613842344</v>
      </c>
      <c r="V54" s="104">
        <f t="shared" ca="1" si="16"/>
        <v>0</v>
      </c>
      <c r="W54" s="133">
        <f t="shared" ca="1" si="17"/>
        <v>10953.185867583212</v>
      </c>
      <c r="X54" s="104">
        <f t="shared" ca="1" si="18"/>
        <v>0</v>
      </c>
      <c r="Y54" s="135">
        <f t="shared" ca="1" si="19"/>
        <v>0</v>
      </c>
      <c r="AE54" s="104"/>
    </row>
    <row r="55" spans="1:31" x14ac:dyDescent="0.2">
      <c r="A55" s="98">
        <v>0</v>
      </c>
      <c r="B55" s="98">
        <v>1</v>
      </c>
      <c r="C55" s="98">
        <f t="shared" si="0"/>
        <v>5</v>
      </c>
      <c r="D55" s="98">
        <f t="shared" si="1"/>
        <v>4</v>
      </c>
      <c r="E55" s="98">
        <f t="shared" si="2"/>
        <v>0</v>
      </c>
      <c r="F55" s="118">
        <f t="shared" ca="1" si="3"/>
        <v>0.179518300416</v>
      </c>
      <c r="G55" s="98">
        <v>1</v>
      </c>
      <c r="H55" s="98">
        <v>1</v>
      </c>
      <c r="I55" s="98">
        <v>2</v>
      </c>
      <c r="J55" s="118">
        <f t="shared" ca="1" si="4"/>
        <v>0</v>
      </c>
      <c r="K55" s="118">
        <f t="shared" ca="1" si="5"/>
        <v>0</v>
      </c>
      <c r="L55" s="133">
        <f t="shared" ca="1" si="6"/>
        <v>360</v>
      </c>
      <c r="M55" s="130">
        <f t="shared" ca="1" si="7"/>
        <v>640</v>
      </c>
      <c r="N55" s="100">
        <f t="shared" ca="1" si="8"/>
        <v>4</v>
      </c>
      <c r="O55" s="136">
        <f t="shared" ca="1" si="9"/>
        <v>2.6618557453501217</v>
      </c>
      <c r="P55" s="136">
        <f t="shared" ca="1" si="10"/>
        <v>26.618557453501214</v>
      </c>
      <c r="Q55" s="136">
        <f t="shared" ca="1" si="11"/>
        <v>25.48406548530458</v>
      </c>
      <c r="R55" s="136">
        <f t="shared" ca="1" si="12"/>
        <v>2.6051311469402898</v>
      </c>
      <c r="S55" s="136">
        <f t="shared" ca="1" si="13"/>
        <v>2.6431366278748771</v>
      </c>
      <c r="T55" s="104">
        <f t="shared" ca="1" si="14"/>
        <v>0</v>
      </c>
      <c r="U55" s="87">
        <f t="shared" ca="1" si="15"/>
        <v>1327.8416384125694</v>
      </c>
      <c r="V55" s="104">
        <f t="shared" ca="1" si="16"/>
        <v>0</v>
      </c>
      <c r="W55" s="133">
        <f t="shared" ca="1" si="17"/>
        <v>8818.0619167872646</v>
      </c>
      <c r="X55" s="104">
        <f t="shared" ca="1" si="18"/>
        <v>0</v>
      </c>
      <c r="Y55" s="135">
        <f t="shared" ca="1" si="19"/>
        <v>0</v>
      </c>
      <c r="AE55" s="104"/>
    </row>
    <row r="56" spans="1:31" x14ac:dyDescent="0.2">
      <c r="A56" s="98">
        <v>0</v>
      </c>
      <c r="B56" s="98">
        <v>1</v>
      </c>
      <c r="C56" s="98">
        <f t="shared" si="0"/>
        <v>5</v>
      </c>
      <c r="D56" s="98">
        <f t="shared" si="1"/>
        <v>4</v>
      </c>
      <c r="E56" s="98">
        <f t="shared" si="2"/>
        <v>0</v>
      </c>
      <c r="F56" s="118">
        <f t="shared" ca="1" si="3"/>
        <v>0.179518300416</v>
      </c>
      <c r="G56" s="98">
        <v>1</v>
      </c>
      <c r="H56" s="98">
        <v>1</v>
      </c>
      <c r="I56" s="98">
        <v>1</v>
      </c>
      <c r="J56" s="118">
        <f t="shared" ca="1" si="4"/>
        <v>0</v>
      </c>
      <c r="K56" s="118">
        <f t="shared" ca="1" si="5"/>
        <v>0</v>
      </c>
      <c r="L56" s="133">
        <f t="shared" ca="1" si="6"/>
        <v>348</v>
      </c>
      <c r="M56" s="130">
        <f t="shared" ca="1" si="7"/>
        <v>652</v>
      </c>
      <c r="N56" s="100">
        <f t="shared" ca="1" si="8"/>
        <v>4</v>
      </c>
      <c r="O56" s="136">
        <f t="shared" ca="1" si="9"/>
        <v>2.6618557453501217</v>
      </c>
      <c r="P56" s="136">
        <f t="shared" ca="1" si="10"/>
        <v>26.618557453501214</v>
      </c>
      <c r="Q56" s="136">
        <f t="shared" ca="1" si="11"/>
        <v>26.618557453501214</v>
      </c>
      <c r="R56" s="136">
        <f t="shared" ca="1" si="12"/>
        <v>2.6618557453501213</v>
      </c>
      <c r="S56" s="136">
        <f t="shared" ca="1" si="13"/>
        <v>2.6618557453501213</v>
      </c>
      <c r="T56" s="104">
        <f t="shared" ca="1" si="14"/>
        <v>0</v>
      </c>
      <c r="U56" s="87">
        <f t="shared" ca="1" si="15"/>
        <v>1322.4506512506252</v>
      </c>
      <c r="V56" s="104">
        <f t="shared" ca="1" si="16"/>
        <v>0</v>
      </c>
      <c r="W56" s="133">
        <f t="shared" ca="1" si="17"/>
        <v>6682.9379659913157</v>
      </c>
      <c r="X56" s="104">
        <f t="shared" ca="1" si="18"/>
        <v>0</v>
      </c>
      <c r="Y56" s="135">
        <f t="shared" ca="1" si="19"/>
        <v>0</v>
      </c>
      <c r="AE56" s="104"/>
    </row>
    <row r="57" spans="1:31" x14ac:dyDescent="0.2">
      <c r="A57" s="98">
        <v>0</v>
      </c>
      <c r="B57" s="98">
        <v>1</v>
      </c>
      <c r="C57" s="98">
        <f t="shared" si="0"/>
        <v>5</v>
      </c>
      <c r="D57" s="98">
        <f t="shared" si="1"/>
        <v>4</v>
      </c>
      <c r="E57" s="98">
        <f t="shared" si="2"/>
        <v>0</v>
      </c>
      <c r="F57" s="118">
        <f t="shared" ca="1" si="3"/>
        <v>0.179518300416</v>
      </c>
      <c r="G57" s="98">
        <v>1</v>
      </c>
      <c r="H57" s="98">
        <v>1</v>
      </c>
      <c r="I57" s="98">
        <v>0</v>
      </c>
      <c r="J57" s="118">
        <f t="shared" ca="1" si="4"/>
        <v>0</v>
      </c>
      <c r="K57" s="118">
        <f t="shared" ca="1" si="5"/>
        <v>0</v>
      </c>
      <c r="L57" s="133">
        <f t="shared" ca="1" si="6"/>
        <v>336</v>
      </c>
      <c r="M57" s="130">
        <f t="shared" ca="1" si="7"/>
        <v>664</v>
      </c>
      <c r="N57" s="100">
        <f t="shared" ca="1" si="8"/>
        <v>4</v>
      </c>
      <c r="O57" s="136">
        <f t="shared" ca="1" si="9"/>
        <v>2.6618557453501217</v>
      </c>
      <c r="P57" s="136">
        <f t="shared" ca="1" si="10"/>
        <v>26.618557453501214</v>
      </c>
      <c r="Q57" s="136">
        <f t="shared" ca="1" si="11"/>
        <v>26.618557453501214</v>
      </c>
      <c r="R57" s="136">
        <f t="shared" ca="1" si="12"/>
        <v>2.6618557453501213</v>
      </c>
      <c r="S57" s="136">
        <f t="shared" ca="1" si="13"/>
        <v>2.6618557453501213</v>
      </c>
      <c r="T57" s="104">
        <f t="shared" ca="1" si="14"/>
        <v>0</v>
      </c>
      <c r="U57" s="87">
        <f t="shared" ca="1" si="15"/>
        <v>1310.4506512506252</v>
      </c>
      <c r="V57" s="104">
        <f t="shared" ca="1" si="16"/>
        <v>0</v>
      </c>
      <c r="W57" s="133">
        <f t="shared" ca="1" si="17"/>
        <v>4547.8140151953685</v>
      </c>
      <c r="X57" s="104">
        <f t="shared" ca="1" si="18"/>
        <v>0</v>
      </c>
      <c r="Y57" s="135">
        <f t="shared" ca="1" si="19"/>
        <v>0</v>
      </c>
      <c r="AE57" s="104"/>
    </row>
    <row r="58" spans="1:31" x14ac:dyDescent="0.2">
      <c r="A58" s="98">
        <v>0</v>
      </c>
      <c r="B58" s="98">
        <v>1</v>
      </c>
      <c r="C58" s="98">
        <f t="shared" si="0"/>
        <v>5</v>
      </c>
      <c r="D58" s="98">
        <f t="shared" si="1"/>
        <v>4</v>
      </c>
      <c r="E58" s="98">
        <f t="shared" si="2"/>
        <v>0</v>
      </c>
      <c r="F58" s="118">
        <f t="shared" ca="1" si="3"/>
        <v>0.179518300416</v>
      </c>
      <c r="G58" s="98">
        <v>1</v>
      </c>
      <c r="H58" s="98">
        <v>0</v>
      </c>
      <c r="I58" s="98">
        <v>7</v>
      </c>
      <c r="J58" s="118">
        <f t="shared" si="4"/>
        <v>0</v>
      </c>
      <c r="K58" s="118">
        <f t="shared" ca="1" si="5"/>
        <v>0</v>
      </c>
      <c r="L58" s="133">
        <f t="shared" ca="1" si="6"/>
        <v>252</v>
      </c>
      <c r="M58" s="130">
        <f t="shared" ca="1" si="7"/>
        <v>748</v>
      </c>
      <c r="N58" s="100">
        <f t="shared" ca="1" si="8"/>
        <v>4</v>
      </c>
      <c r="O58" s="136">
        <f t="shared" ca="1" si="9"/>
        <v>2.6618557453501217</v>
      </c>
      <c r="P58" s="136">
        <f t="shared" ca="1" si="10"/>
        <v>26.618557453501214</v>
      </c>
      <c r="Q58" s="136">
        <f t="shared" ca="1" si="11"/>
        <v>26.618557453501214</v>
      </c>
      <c r="R58" s="136">
        <f t="shared" ca="1" si="12"/>
        <v>2.6618557453501213</v>
      </c>
      <c r="S58" s="136">
        <f t="shared" ca="1" si="13"/>
        <v>2.6618557453501213</v>
      </c>
      <c r="T58" s="104">
        <f t="shared" ca="1" si="14"/>
        <v>0</v>
      </c>
      <c r="U58" s="87">
        <f t="shared" ca="1" si="15"/>
        <v>1226.4506512506252</v>
      </c>
      <c r="V58" s="104">
        <f t="shared" ca="1" si="16"/>
        <v>0</v>
      </c>
      <c r="W58" s="133">
        <f t="shared" ca="1" si="17"/>
        <v>17358.557719971053</v>
      </c>
      <c r="X58" s="104">
        <f t="shared" ca="1" si="18"/>
        <v>0</v>
      </c>
      <c r="Y58" s="135">
        <f t="shared" ca="1" si="19"/>
        <v>0</v>
      </c>
      <c r="AE58" s="104"/>
    </row>
    <row r="59" spans="1:31" x14ac:dyDescent="0.2">
      <c r="A59" s="98">
        <v>0</v>
      </c>
      <c r="B59" s="98">
        <v>1</v>
      </c>
      <c r="C59" s="98">
        <f t="shared" si="0"/>
        <v>5</v>
      </c>
      <c r="D59" s="98">
        <f t="shared" si="1"/>
        <v>4</v>
      </c>
      <c r="E59" s="98">
        <f t="shared" si="2"/>
        <v>0</v>
      </c>
      <c r="F59" s="118">
        <f t="shared" ca="1" si="3"/>
        <v>0.179518300416</v>
      </c>
      <c r="G59" s="98">
        <v>1</v>
      </c>
      <c r="H59" s="98">
        <v>0</v>
      </c>
      <c r="I59" s="98">
        <v>6</v>
      </c>
      <c r="J59" s="118">
        <f t="shared" si="4"/>
        <v>0</v>
      </c>
      <c r="K59" s="118">
        <f t="shared" ca="1" si="5"/>
        <v>0</v>
      </c>
      <c r="L59" s="133">
        <f t="shared" ca="1" si="6"/>
        <v>240</v>
      </c>
      <c r="M59" s="130">
        <f t="shared" ca="1" si="7"/>
        <v>760</v>
      </c>
      <c r="N59" s="100">
        <f t="shared" ca="1" si="8"/>
        <v>4</v>
      </c>
      <c r="O59" s="136">
        <f t="shared" ca="1" si="9"/>
        <v>2.6618557453501217</v>
      </c>
      <c r="P59" s="136">
        <f t="shared" ca="1" si="10"/>
        <v>26.618557453501214</v>
      </c>
      <c r="Q59" s="136">
        <f t="shared" ca="1" si="11"/>
        <v>26.618557453501214</v>
      </c>
      <c r="R59" s="136">
        <f t="shared" ca="1" si="12"/>
        <v>2.6618557453501213</v>
      </c>
      <c r="S59" s="136">
        <f t="shared" ca="1" si="13"/>
        <v>2.6618557453501213</v>
      </c>
      <c r="T59" s="104">
        <f t="shared" ca="1" si="14"/>
        <v>0</v>
      </c>
      <c r="U59" s="87">
        <f t="shared" ca="1" si="15"/>
        <v>1214.4506512506252</v>
      </c>
      <c r="V59" s="104">
        <f t="shared" ca="1" si="16"/>
        <v>0</v>
      </c>
      <c r="W59" s="133">
        <f t="shared" ca="1" si="17"/>
        <v>15223.433769175106</v>
      </c>
      <c r="X59" s="104">
        <f t="shared" ca="1" si="18"/>
        <v>0</v>
      </c>
      <c r="Y59" s="135">
        <f t="shared" ca="1" si="19"/>
        <v>0</v>
      </c>
      <c r="AE59" s="104"/>
    </row>
    <row r="60" spans="1:31" x14ac:dyDescent="0.2">
      <c r="A60" s="98">
        <v>0</v>
      </c>
      <c r="B60" s="98">
        <v>1</v>
      </c>
      <c r="C60" s="98">
        <f t="shared" si="0"/>
        <v>5</v>
      </c>
      <c r="D60" s="98">
        <f t="shared" si="1"/>
        <v>4</v>
      </c>
      <c r="E60" s="98">
        <f t="shared" si="2"/>
        <v>0</v>
      </c>
      <c r="F60" s="118">
        <f t="shared" ca="1" si="3"/>
        <v>0.179518300416</v>
      </c>
      <c r="G60" s="98">
        <v>1</v>
      </c>
      <c r="H60" s="98">
        <v>0</v>
      </c>
      <c r="I60" s="98">
        <v>5</v>
      </c>
      <c r="J60" s="118">
        <f t="shared" si="4"/>
        <v>0</v>
      </c>
      <c r="K60" s="118">
        <f t="shared" ca="1" si="5"/>
        <v>0</v>
      </c>
      <c r="L60" s="133">
        <f t="shared" ca="1" si="6"/>
        <v>228</v>
      </c>
      <c r="M60" s="130">
        <f t="shared" ca="1" si="7"/>
        <v>772</v>
      </c>
      <c r="N60" s="100">
        <f t="shared" ca="1" si="8"/>
        <v>4</v>
      </c>
      <c r="O60" s="136">
        <f t="shared" ca="1" si="9"/>
        <v>2.6618557453501217</v>
      </c>
      <c r="P60" s="136">
        <f t="shared" ca="1" si="10"/>
        <v>26.618557453501214</v>
      </c>
      <c r="Q60" s="136">
        <f t="shared" ca="1" si="11"/>
        <v>26.618557453501214</v>
      </c>
      <c r="R60" s="136">
        <f t="shared" ca="1" si="12"/>
        <v>2.6618557453501213</v>
      </c>
      <c r="S60" s="136">
        <f t="shared" ca="1" si="13"/>
        <v>2.6618557453501213</v>
      </c>
      <c r="T60" s="104">
        <f t="shared" ca="1" si="14"/>
        <v>0</v>
      </c>
      <c r="U60" s="87">
        <f t="shared" ca="1" si="15"/>
        <v>1202.4506512506252</v>
      </c>
      <c r="V60" s="104">
        <f t="shared" ca="1" si="16"/>
        <v>0</v>
      </c>
      <c r="W60" s="133">
        <f t="shared" ca="1" si="17"/>
        <v>13088.309818379159</v>
      </c>
      <c r="X60" s="104">
        <f t="shared" ca="1" si="18"/>
        <v>0</v>
      </c>
      <c r="Y60" s="135">
        <f t="shared" ca="1" si="19"/>
        <v>0</v>
      </c>
      <c r="AE60" s="104"/>
    </row>
    <row r="61" spans="1:31" x14ac:dyDescent="0.2">
      <c r="A61" s="98">
        <v>0</v>
      </c>
      <c r="B61" s="98">
        <v>1</v>
      </c>
      <c r="C61" s="98">
        <f t="shared" si="0"/>
        <v>5</v>
      </c>
      <c r="D61" s="98">
        <f t="shared" si="1"/>
        <v>4</v>
      </c>
      <c r="E61" s="98">
        <f t="shared" si="2"/>
        <v>0</v>
      </c>
      <c r="F61" s="118">
        <f t="shared" ca="1" si="3"/>
        <v>0.179518300416</v>
      </c>
      <c r="G61" s="98">
        <v>1</v>
      </c>
      <c r="H61" s="98">
        <v>0</v>
      </c>
      <c r="I61" s="98">
        <v>4</v>
      </c>
      <c r="J61" s="118">
        <f t="shared" ca="1" si="4"/>
        <v>0.77378093749999999</v>
      </c>
      <c r="K61" s="118">
        <f t="shared" ca="1" si="5"/>
        <v>0.13890783879429913</v>
      </c>
      <c r="L61" s="133">
        <f t="shared" ca="1" si="6"/>
        <v>216</v>
      </c>
      <c r="M61" s="130">
        <f t="shared" ca="1" si="7"/>
        <v>784</v>
      </c>
      <c r="N61" s="100">
        <f t="shared" ca="1" si="8"/>
        <v>4</v>
      </c>
      <c r="O61" s="136">
        <f t="shared" ca="1" si="9"/>
        <v>2.6618557453501217</v>
      </c>
      <c r="P61" s="136">
        <f t="shared" ca="1" si="10"/>
        <v>26.618557453501214</v>
      </c>
      <c r="Q61" s="136">
        <f t="shared" ca="1" si="11"/>
        <v>26.618557453501214</v>
      </c>
      <c r="R61" s="136">
        <f t="shared" ca="1" si="12"/>
        <v>2.6618557453501213</v>
      </c>
      <c r="S61" s="136">
        <f t="shared" ca="1" si="13"/>
        <v>2.6618557453501213</v>
      </c>
      <c r="T61" s="104">
        <f t="shared" ca="1" si="14"/>
        <v>0.36975262876877363</v>
      </c>
      <c r="U61" s="87">
        <f t="shared" ca="1" si="15"/>
        <v>1190.4506512506252</v>
      </c>
      <c r="V61" s="104">
        <f t="shared" ca="1" si="16"/>
        <v>165.36292715649026</v>
      </c>
      <c r="W61" s="133">
        <f t="shared" ca="1" si="17"/>
        <v>10953.185867583212</v>
      </c>
      <c r="X61" s="104">
        <f t="shared" ca="1" si="18"/>
        <v>1521.4833767782443</v>
      </c>
      <c r="Y61" s="135">
        <f t="shared" ca="1" si="19"/>
        <v>30.004093179568613</v>
      </c>
      <c r="AE61" s="104"/>
    </row>
    <row r="62" spans="1:31" x14ac:dyDescent="0.2">
      <c r="A62" s="98">
        <v>0</v>
      </c>
      <c r="B62" s="98">
        <v>1</v>
      </c>
      <c r="C62" s="98">
        <f t="shared" si="0"/>
        <v>5</v>
      </c>
      <c r="D62" s="98">
        <f t="shared" si="1"/>
        <v>4</v>
      </c>
      <c r="E62" s="98">
        <f t="shared" si="2"/>
        <v>0</v>
      </c>
      <c r="F62" s="118">
        <f t="shared" ca="1" si="3"/>
        <v>0.179518300416</v>
      </c>
      <c r="G62" s="98">
        <v>1</v>
      </c>
      <c r="H62" s="98">
        <v>0</v>
      </c>
      <c r="I62" s="98">
        <v>3</v>
      </c>
      <c r="J62" s="118">
        <f t="shared" ca="1" si="4"/>
        <v>0.16290125000000011</v>
      </c>
      <c r="K62" s="118">
        <f t="shared" ca="1" si="5"/>
        <v>2.924375553564194E-2</v>
      </c>
      <c r="L62" s="133">
        <f t="shared" ca="1" si="6"/>
        <v>204</v>
      </c>
      <c r="M62" s="130">
        <f t="shared" ca="1" si="7"/>
        <v>796</v>
      </c>
      <c r="N62" s="100">
        <f t="shared" ca="1" si="8"/>
        <v>4</v>
      </c>
      <c r="O62" s="136">
        <f t="shared" ca="1" si="9"/>
        <v>2.6618557453501217</v>
      </c>
      <c r="P62" s="136">
        <f t="shared" ca="1" si="10"/>
        <v>26.618557453501214</v>
      </c>
      <c r="Q62" s="136">
        <f t="shared" ca="1" si="11"/>
        <v>26.618557453501214</v>
      </c>
      <c r="R62" s="136">
        <f t="shared" ca="1" si="12"/>
        <v>2.6618557453501213</v>
      </c>
      <c r="S62" s="136">
        <f t="shared" ca="1" si="13"/>
        <v>2.6618557453501213</v>
      </c>
      <c r="T62" s="104">
        <f t="shared" ca="1" si="14"/>
        <v>7.7842658688162911E-2</v>
      </c>
      <c r="U62" s="87">
        <f t="shared" ca="1" si="15"/>
        <v>1178.4506512506252</v>
      </c>
      <c r="V62" s="104">
        <f t="shared" ca="1" si="16"/>
        <v>34.462322755991323</v>
      </c>
      <c r="W62" s="133">
        <f t="shared" ca="1" si="17"/>
        <v>8818.0619167872646</v>
      </c>
      <c r="X62" s="104">
        <f t="shared" ca="1" si="18"/>
        <v>257.87324699268095</v>
      </c>
      <c r="Y62" s="135">
        <f t="shared" ca="1" si="19"/>
        <v>5.9657261292709558</v>
      </c>
      <c r="AE62" s="104"/>
    </row>
    <row r="63" spans="1:31" x14ac:dyDescent="0.2">
      <c r="A63" s="98">
        <v>0</v>
      </c>
      <c r="B63" s="98">
        <v>1</v>
      </c>
      <c r="C63" s="98">
        <f t="shared" si="0"/>
        <v>5</v>
      </c>
      <c r="D63" s="98">
        <f t="shared" si="1"/>
        <v>4</v>
      </c>
      <c r="E63" s="98">
        <f t="shared" si="2"/>
        <v>0</v>
      </c>
      <c r="F63" s="118">
        <f t="shared" ca="1" si="3"/>
        <v>0.179518300416</v>
      </c>
      <c r="G63" s="98">
        <v>1</v>
      </c>
      <c r="H63" s="98">
        <v>0</v>
      </c>
      <c r="I63" s="98">
        <v>2</v>
      </c>
      <c r="J63" s="118">
        <f t="shared" ca="1" si="4"/>
        <v>1.2860625000000021E-2</v>
      </c>
      <c r="K63" s="118">
        <f t="shared" ca="1" si="5"/>
        <v>2.308717542287524E-3</v>
      </c>
      <c r="L63" s="133">
        <f t="shared" ca="1" si="6"/>
        <v>192</v>
      </c>
      <c r="M63" s="130">
        <f t="shared" ca="1" si="7"/>
        <v>808</v>
      </c>
      <c r="N63" s="100">
        <f t="shared" ca="1" si="8"/>
        <v>4</v>
      </c>
      <c r="O63" s="136">
        <f t="shared" ca="1" si="9"/>
        <v>2.6618557453501217</v>
      </c>
      <c r="P63" s="136">
        <f t="shared" ca="1" si="10"/>
        <v>26.618557453501214</v>
      </c>
      <c r="Q63" s="136">
        <f t="shared" ca="1" si="11"/>
        <v>26.618557453501214</v>
      </c>
      <c r="R63" s="136">
        <f t="shared" ca="1" si="12"/>
        <v>2.6618557453501213</v>
      </c>
      <c r="S63" s="136">
        <f t="shared" ca="1" si="13"/>
        <v>2.6618557453501213</v>
      </c>
      <c r="T63" s="104">
        <f t="shared" ca="1" si="14"/>
        <v>6.1454730543286573E-3</v>
      </c>
      <c r="U63" s="87">
        <f t="shared" ca="1" si="15"/>
        <v>1166.4506512506252</v>
      </c>
      <c r="V63" s="104">
        <f t="shared" ca="1" si="16"/>
        <v>2.6930050807550252</v>
      </c>
      <c r="W63" s="133">
        <f t="shared" ca="1" si="17"/>
        <v>6682.9379659913157</v>
      </c>
      <c r="X63" s="104">
        <f t="shared" ca="1" si="18"/>
        <v>15.429016116103455</v>
      </c>
      <c r="Y63" s="135">
        <f t="shared" ca="1" si="19"/>
        <v>0.4432737681192046</v>
      </c>
      <c r="AE63" s="104"/>
    </row>
    <row r="64" spans="1:31" x14ac:dyDescent="0.2">
      <c r="A64" s="98">
        <v>0</v>
      </c>
      <c r="B64" s="98">
        <v>1</v>
      </c>
      <c r="C64" s="98">
        <f t="shared" si="0"/>
        <v>5</v>
      </c>
      <c r="D64" s="98">
        <f t="shared" si="1"/>
        <v>4</v>
      </c>
      <c r="E64" s="98">
        <f t="shared" si="2"/>
        <v>0</v>
      </c>
      <c r="F64" s="118">
        <f t="shared" ca="1" si="3"/>
        <v>0.179518300416</v>
      </c>
      <c r="G64" s="98">
        <v>1</v>
      </c>
      <c r="H64" s="98">
        <v>0</v>
      </c>
      <c r="I64" s="98">
        <v>1</v>
      </c>
      <c r="J64" s="118">
        <f t="shared" ca="1" si="4"/>
        <v>4.5125000000000118E-4</v>
      </c>
      <c r="K64" s="118">
        <f t="shared" ca="1" si="5"/>
        <v>8.1007633062720212E-5</v>
      </c>
      <c r="L64" s="133">
        <f t="shared" ca="1" si="6"/>
        <v>180</v>
      </c>
      <c r="M64" s="130">
        <f t="shared" ca="1" si="7"/>
        <v>820</v>
      </c>
      <c r="N64" s="100">
        <f t="shared" ca="1" si="8"/>
        <v>4</v>
      </c>
      <c r="O64" s="136">
        <f t="shared" ca="1" si="9"/>
        <v>2.6618557453501217</v>
      </c>
      <c r="P64" s="136">
        <f t="shared" ca="1" si="10"/>
        <v>26.618557453501214</v>
      </c>
      <c r="Q64" s="136">
        <f t="shared" ca="1" si="11"/>
        <v>26.618557453501214</v>
      </c>
      <c r="R64" s="136">
        <f t="shared" ca="1" si="12"/>
        <v>2.6618557453501213</v>
      </c>
      <c r="S64" s="136">
        <f t="shared" ca="1" si="13"/>
        <v>2.6618557453501213</v>
      </c>
      <c r="T64" s="104">
        <f t="shared" ca="1" si="14"/>
        <v>2.1563063348521624E-4</v>
      </c>
      <c r="U64" s="87">
        <f t="shared" ca="1" si="15"/>
        <v>1154.4506512506252</v>
      </c>
      <c r="V64" s="104">
        <f t="shared" ca="1" si="16"/>
        <v>9.3519314745529034E-2</v>
      </c>
      <c r="W64" s="133">
        <f t="shared" ca="1" si="17"/>
        <v>4547.8140151953685</v>
      </c>
      <c r="X64" s="104">
        <f t="shared" ca="1" si="18"/>
        <v>0.3684076489804427</v>
      </c>
      <c r="Y64" s="135">
        <f t="shared" ca="1" si="19"/>
        <v>1.4581373951289639E-2</v>
      </c>
      <c r="AE64" s="104"/>
    </row>
    <row r="65" spans="1:31" x14ac:dyDescent="0.2">
      <c r="A65" s="98">
        <v>0</v>
      </c>
      <c r="B65" s="98">
        <v>1</v>
      </c>
      <c r="C65" s="98">
        <f t="shared" si="0"/>
        <v>5</v>
      </c>
      <c r="D65" s="98">
        <f t="shared" si="1"/>
        <v>4</v>
      </c>
      <c r="E65" s="98">
        <f t="shared" si="2"/>
        <v>0</v>
      </c>
      <c r="F65" s="118">
        <f t="shared" ca="1" si="3"/>
        <v>0.179518300416</v>
      </c>
      <c r="G65" s="98">
        <v>1</v>
      </c>
      <c r="H65" s="98">
        <v>0</v>
      </c>
      <c r="I65" s="98">
        <v>0</v>
      </c>
      <c r="J65" s="118">
        <f t="shared" ca="1" si="4"/>
        <v>5.9375000000000207E-6</v>
      </c>
      <c r="K65" s="118">
        <f t="shared" ca="1" si="5"/>
        <v>1.0658899087200037E-6</v>
      </c>
      <c r="L65" s="133">
        <f t="shared" ca="1" si="6"/>
        <v>168</v>
      </c>
      <c r="M65" s="130">
        <f t="shared" ca="1" si="7"/>
        <v>832</v>
      </c>
      <c r="N65" s="100">
        <f t="shared" ca="1" si="8"/>
        <v>5</v>
      </c>
      <c r="O65" s="136">
        <f t="shared" ca="1" si="9"/>
        <v>3.2590583346360766</v>
      </c>
      <c r="P65" s="136">
        <f t="shared" ca="1" si="10"/>
        <v>28.410165221359076</v>
      </c>
      <c r="Q65" s="136">
        <f t="shared" ca="1" si="11"/>
        <v>26.618557453501214</v>
      </c>
      <c r="R65" s="136">
        <f t="shared" ca="1" si="12"/>
        <v>2.7514361337430144</v>
      </c>
      <c r="S65" s="136">
        <f t="shared" ca="1" si="13"/>
        <v>3.091543008341366</v>
      </c>
      <c r="T65" s="104">
        <f t="shared" ca="1" si="14"/>
        <v>3.2952444949649442E-6</v>
      </c>
      <c r="U65" s="87">
        <f t="shared" ca="1" si="15"/>
        <v>1294.1569825567776</v>
      </c>
      <c r="V65" s="104">
        <f t="shared" ca="1" si="16"/>
        <v>1.3794288680067991E-3</v>
      </c>
      <c r="W65" s="133">
        <f t="shared" ca="1" si="17"/>
        <v>2412.6900643994204</v>
      </c>
      <c r="X65" s="104">
        <f t="shared" ca="1" si="18"/>
        <v>2.5716619925123581E-3</v>
      </c>
      <c r="Y65" s="135">
        <f t="shared" ca="1" si="19"/>
        <v>1.7906950466496061E-4</v>
      </c>
      <c r="AE65" s="104"/>
    </row>
    <row r="66" spans="1:31" x14ac:dyDescent="0.2">
      <c r="A66" s="98">
        <v>0</v>
      </c>
      <c r="B66" s="98">
        <v>1</v>
      </c>
      <c r="C66" s="98">
        <f t="shared" si="0"/>
        <v>5</v>
      </c>
      <c r="D66" s="98">
        <f t="shared" si="1"/>
        <v>4</v>
      </c>
      <c r="E66" s="98">
        <f t="shared" si="2"/>
        <v>0</v>
      </c>
      <c r="F66" s="118">
        <f t="shared" ca="1" si="3"/>
        <v>0.179518300416</v>
      </c>
      <c r="G66" s="98">
        <v>0</v>
      </c>
      <c r="H66" s="98">
        <v>1</v>
      </c>
      <c r="I66" s="98">
        <v>7</v>
      </c>
      <c r="J66" s="118">
        <f t="shared" si="4"/>
        <v>0</v>
      </c>
      <c r="K66" s="118">
        <f t="shared" ca="1" si="5"/>
        <v>0</v>
      </c>
      <c r="L66" s="133">
        <f t="shared" ca="1" si="6"/>
        <v>252</v>
      </c>
      <c r="M66" s="130">
        <f t="shared" ca="1" si="7"/>
        <v>748</v>
      </c>
      <c r="N66" s="100">
        <f t="shared" ca="1" si="8"/>
        <v>4</v>
      </c>
      <c r="O66" s="136">
        <f t="shared" ca="1" si="9"/>
        <v>2.6618557453501217</v>
      </c>
      <c r="P66" s="136">
        <f t="shared" ca="1" si="10"/>
        <v>26.618557453501214</v>
      </c>
      <c r="Q66" s="136">
        <f t="shared" ca="1" si="11"/>
        <v>26.618557453501214</v>
      </c>
      <c r="R66" s="136">
        <f t="shared" ca="1" si="12"/>
        <v>2.6618557453501213</v>
      </c>
      <c r="S66" s="136">
        <f t="shared" ca="1" si="13"/>
        <v>2.6618557453501213</v>
      </c>
      <c r="T66" s="104">
        <f t="shared" ca="1" si="14"/>
        <v>0</v>
      </c>
      <c r="U66" s="87">
        <f t="shared" ca="1" si="15"/>
        <v>1226.4506512506252</v>
      </c>
      <c r="V66" s="104">
        <f t="shared" ca="1" si="16"/>
        <v>0</v>
      </c>
      <c r="W66" s="133">
        <f t="shared" ca="1" si="17"/>
        <v>17080.991606367581</v>
      </c>
      <c r="X66" s="104">
        <f t="shared" ca="1" si="18"/>
        <v>0</v>
      </c>
      <c r="Y66" s="135">
        <f t="shared" ca="1" si="19"/>
        <v>0</v>
      </c>
      <c r="AE66" s="104"/>
    </row>
    <row r="67" spans="1:31" x14ac:dyDescent="0.2">
      <c r="A67" s="98">
        <v>0</v>
      </c>
      <c r="B67" s="98">
        <v>1</v>
      </c>
      <c r="C67" s="98">
        <f t="shared" si="0"/>
        <v>5</v>
      </c>
      <c r="D67" s="98">
        <f t="shared" si="1"/>
        <v>4</v>
      </c>
      <c r="E67" s="98">
        <f t="shared" si="2"/>
        <v>0</v>
      </c>
      <c r="F67" s="118">
        <f t="shared" ca="1" si="3"/>
        <v>0.179518300416</v>
      </c>
      <c r="G67" s="98">
        <v>0</v>
      </c>
      <c r="H67" s="98">
        <v>1</v>
      </c>
      <c r="I67" s="98">
        <v>6</v>
      </c>
      <c r="J67" s="118">
        <f t="shared" si="4"/>
        <v>0</v>
      </c>
      <c r="K67" s="118">
        <f t="shared" ca="1" si="5"/>
        <v>0</v>
      </c>
      <c r="L67" s="133">
        <f t="shared" ca="1" si="6"/>
        <v>240</v>
      </c>
      <c r="M67" s="130">
        <f t="shared" ca="1" si="7"/>
        <v>760</v>
      </c>
      <c r="N67" s="100">
        <f t="shared" ca="1" si="8"/>
        <v>4</v>
      </c>
      <c r="O67" s="136">
        <f t="shared" ca="1" si="9"/>
        <v>2.6618557453501217</v>
      </c>
      <c r="P67" s="136">
        <f t="shared" ca="1" si="10"/>
        <v>26.618557453501214</v>
      </c>
      <c r="Q67" s="136">
        <f t="shared" ca="1" si="11"/>
        <v>26.618557453501214</v>
      </c>
      <c r="R67" s="136">
        <f t="shared" ca="1" si="12"/>
        <v>2.6618557453501213</v>
      </c>
      <c r="S67" s="136">
        <f t="shared" ca="1" si="13"/>
        <v>2.6618557453501213</v>
      </c>
      <c r="T67" s="104">
        <f t="shared" ca="1" si="14"/>
        <v>0</v>
      </c>
      <c r="U67" s="87">
        <f t="shared" ca="1" si="15"/>
        <v>1214.4506512506252</v>
      </c>
      <c r="V67" s="104">
        <f t="shared" ca="1" si="16"/>
        <v>0</v>
      </c>
      <c r="W67" s="133">
        <f t="shared" ca="1" si="17"/>
        <v>14945.867655571634</v>
      </c>
      <c r="X67" s="104">
        <f t="shared" ca="1" si="18"/>
        <v>0</v>
      </c>
      <c r="Y67" s="135">
        <f t="shared" ca="1" si="19"/>
        <v>0</v>
      </c>
      <c r="AE67" s="104"/>
    </row>
    <row r="68" spans="1:31" x14ac:dyDescent="0.2">
      <c r="A68" s="98">
        <v>0</v>
      </c>
      <c r="B68" s="98">
        <v>1</v>
      </c>
      <c r="C68" s="98">
        <f t="shared" si="0"/>
        <v>5</v>
      </c>
      <c r="D68" s="98">
        <f t="shared" si="1"/>
        <v>4</v>
      </c>
      <c r="E68" s="98">
        <f t="shared" si="2"/>
        <v>0</v>
      </c>
      <c r="F68" s="118">
        <f t="shared" ca="1" si="3"/>
        <v>0.179518300416</v>
      </c>
      <c r="G68" s="98">
        <v>0</v>
      </c>
      <c r="H68" s="98">
        <v>1</v>
      </c>
      <c r="I68" s="98">
        <v>5</v>
      </c>
      <c r="J68" s="118">
        <f t="shared" si="4"/>
        <v>0</v>
      </c>
      <c r="K68" s="118">
        <f t="shared" ca="1" si="5"/>
        <v>0</v>
      </c>
      <c r="L68" s="133">
        <f t="shared" ca="1" si="6"/>
        <v>228</v>
      </c>
      <c r="M68" s="130">
        <f t="shared" ca="1" si="7"/>
        <v>772</v>
      </c>
      <c r="N68" s="100">
        <f t="shared" ca="1" si="8"/>
        <v>4</v>
      </c>
      <c r="O68" s="136">
        <f t="shared" ca="1" si="9"/>
        <v>2.6618557453501217</v>
      </c>
      <c r="P68" s="136">
        <f t="shared" ca="1" si="10"/>
        <v>26.618557453501214</v>
      </c>
      <c r="Q68" s="136">
        <f t="shared" ca="1" si="11"/>
        <v>26.618557453501214</v>
      </c>
      <c r="R68" s="136">
        <f t="shared" ca="1" si="12"/>
        <v>2.6618557453501213</v>
      </c>
      <c r="S68" s="136">
        <f t="shared" ca="1" si="13"/>
        <v>2.6618557453501213</v>
      </c>
      <c r="T68" s="104">
        <f t="shared" ca="1" si="14"/>
        <v>0</v>
      </c>
      <c r="U68" s="87">
        <f t="shared" ca="1" si="15"/>
        <v>1202.4506512506252</v>
      </c>
      <c r="V68" s="104">
        <f t="shared" ca="1" si="16"/>
        <v>0</v>
      </c>
      <c r="W68" s="133">
        <f t="shared" ca="1" si="17"/>
        <v>12810.743704775685</v>
      </c>
      <c r="X68" s="104">
        <f t="shared" ca="1" si="18"/>
        <v>0</v>
      </c>
      <c r="Y68" s="135">
        <f t="shared" ca="1" si="19"/>
        <v>0</v>
      </c>
      <c r="AE68" s="104"/>
    </row>
    <row r="69" spans="1:31" x14ac:dyDescent="0.2">
      <c r="A69" s="98">
        <v>0</v>
      </c>
      <c r="B69" s="98">
        <v>1</v>
      </c>
      <c r="C69" s="98">
        <f t="shared" si="0"/>
        <v>5</v>
      </c>
      <c r="D69" s="98">
        <f t="shared" si="1"/>
        <v>4</v>
      </c>
      <c r="E69" s="98">
        <f t="shared" si="2"/>
        <v>0</v>
      </c>
      <c r="F69" s="118">
        <f t="shared" ca="1" si="3"/>
        <v>0.179518300416</v>
      </c>
      <c r="G69" s="98">
        <v>0</v>
      </c>
      <c r="H69" s="98">
        <v>1</v>
      </c>
      <c r="I69" s="98">
        <v>4</v>
      </c>
      <c r="J69" s="118">
        <f t="shared" ca="1" si="4"/>
        <v>0</v>
      </c>
      <c r="K69" s="118">
        <f t="shared" ca="1" si="5"/>
        <v>0</v>
      </c>
      <c r="L69" s="133">
        <f t="shared" ca="1" si="6"/>
        <v>216</v>
      </c>
      <c r="M69" s="130">
        <f t="shared" ca="1" si="7"/>
        <v>784</v>
      </c>
      <c r="N69" s="100">
        <f t="shared" ca="1" si="8"/>
        <v>4</v>
      </c>
      <c r="O69" s="136">
        <f t="shared" ca="1" si="9"/>
        <v>2.6618557453501217</v>
      </c>
      <c r="P69" s="136">
        <f t="shared" ca="1" si="10"/>
        <v>26.618557453501214</v>
      </c>
      <c r="Q69" s="136">
        <f t="shared" ca="1" si="11"/>
        <v>26.618557453501214</v>
      </c>
      <c r="R69" s="136">
        <f t="shared" ca="1" si="12"/>
        <v>2.6618557453501213</v>
      </c>
      <c r="S69" s="136">
        <f t="shared" ca="1" si="13"/>
        <v>2.6618557453501213</v>
      </c>
      <c r="T69" s="104">
        <f t="shared" ca="1" si="14"/>
        <v>0</v>
      </c>
      <c r="U69" s="87">
        <f t="shared" ca="1" si="15"/>
        <v>1190.4506512506252</v>
      </c>
      <c r="V69" s="104">
        <f t="shared" ca="1" si="16"/>
        <v>0</v>
      </c>
      <c r="W69" s="133">
        <f t="shared" ca="1" si="17"/>
        <v>10675.619753979738</v>
      </c>
      <c r="X69" s="104">
        <f t="shared" ca="1" si="18"/>
        <v>0</v>
      </c>
      <c r="Y69" s="135">
        <f t="shared" ca="1" si="19"/>
        <v>0</v>
      </c>
      <c r="AE69" s="104"/>
    </row>
    <row r="70" spans="1:31" x14ac:dyDescent="0.2">
      <c r="A70" s="98">
        <v>0</v>
      </c>
      <c r="B70" s="98">
        <v>1</v>
      </c>
      <c r="C70" s="98">
        <f t="shared" si="0"/>
        <v>5</v>
      </c>
      <c r="D70" s="98">
        <f t="shared" si="1"/>
        <v>4</v>
      </c>
      <c r="E70" s="98">
        <f t="shared" si="2"/>
        <v>0</v>
      </c>
      <c r="F70" s="118">
        <f t="shared" ca="1" si="3"/>
        <v>0.179518300416</v>
      </c>
      <c r="G70" s="98">
        <v>0</v>
      </c>
      <c r="H70" s="98">
        <v>1</v>
      </c>
      <c r="I70" s="98">
        <v>3</v>
      </c>
      <c r="J70" s="118">
        <f t="shared" ca="1" si="4"/>
        <v>0</v>
      </c>
      <c r="K70" s="118">
        <f t="shared" ca="1" si="5"/>
        <v>0</v>
      </c>
      <c r="L70" s="133">
        <f t="shared" ca="1" si="6"/>
        <v>204</v>
      </c>
      <c r="M70" s="130">
        <f t="shared" ca="1" si="7"/>
        <v>796</v>
      </c>
      <c r="N70" s="100">
        <f t="shared" ca="1" si="8"/>
        <v>4</v>
      </c>
      <c r="O70" s="136">
        <f t="shared" ca="1" si="9"/>
        <v>2.6618557453501217</v>
      </c>
      <c r="P70" s="136">
        <f t="shared" ca="1" si="10"/>
        <v>26.618557453501214</v>
      </c>
      <c r="Q70" s="136">
        <f t="shared" ca="1" si="11"/>
        <v>26.618557453501214</v>
      </c>
      <c r="R70" s="136">
        <f t="shared" ca="1" si="12"/>
        <v>2.6618557453501213</v>
      </c>
      <c r="S70" s="136">
        <f t="shared" ca="1" si="13"/>
        <v>2.6618557453501213</v>
      </c>
      <c r="T70" s="104">
        <f t="shared" ca="1" si="14"/>
        <v>0</v>
      </c>
      <c r="U70" s="87">
        <f t="shared" ca="1" si="15"/>
        <v>1178.4506512506252</v>
      </c>
      <c r="V70" s="104">
        <f t="shared" ca="1" si="16"/>
        <v>0</v>
      </c>
      <c r="W70" s="133">
        <f t="shared" ca="1" si="17"/>
        <v>8540.4958031837905</v>
      </c>
      <c r="X70" s="104">
        <f t="shared" ca="1" si="18"/>
        <v>0</v>
      </c>
      <c r="Y70" s="135">
        <f t="shared" ca="1" si="19"/>
        <v>0</v>
      </c>
      <c r="AE70" s="104"/>
    </row>
    <row r="71" spans="1:31" x14ac:dyDescent="0.2">
      <c r="A71" s="98">
        <v>0</v>
      </c>
      <c r="B71" s="98">
        <v>1</v>
      </c>
      <c r="C71" s="98">
        <f t="shared" si="0"/>
        <v>5</v>
      </c>
      <c r="D71" s="98">
        <f t="shared" si="1"/>
        <v>4</v>
      </c>
      <c r="E71" s="98">
        <f t="shared" si="2"/>
        <v>0</v>
      </c>
      <c r="F71" s="118">
        <f t="shared" ca="1" si="3"/>
        <v>0.179518300416</v>
      </c>
      <c r="G71" s="98">
        <v>0</v>
      </c>
      <c r="H71" s="98">
        <v>1</v>
      </c>
      <c r="I71" s="98">
        <v>2</v>
      </c>
      <c r="J71" s="118">
        <f t="shared" ca="1" si="4"/>
        <v>0</v>
      </c>
      <c r="K71" s="118">
        <f t="shared" ca="1" si="5"/>
        <v>0</v>
      </c>
      <c r="L71" s="133">
        <f t="shared" ca="1" si="6"/>
        <v>192</v>
      </c>
      <c r="M71" s="130">
        <f t="shared" ca="1" si="7"/>
        <v>808</v>
      </c>
      <c r="N71" s="100">
        <f t="shared" ca="1" si="8"/>
        <v>4</v>
      </c>
      <c r="O71" s="136">
        <f t="shared" ca="1" si="9"/>
        <v>2.6618557453501217</v>
      </c>
      <c r="P71" s="136">
        <f t="shared" ca="1" si="10"/>
        <v>26.618557453501214</v>
      </c>
      <c r="Q71" s="136">
        <f t="shared" ca="1" si="11"/>
        <v>26.618557453501214</v>
      </c>
      <c r="R71" s="136">
        <f t="shared" ca="1" si="12"/>
        <v>2.6618557453501213</v>
      </c>
      <c r="S71" s="136">
        <f t="shared" ca="1" si="13"/>
        <v>2.6618557453501213</v>
      </c>
      <c r="T71" s="104">
        <f t="shared" ca="1" si="14"/>
        <v>0</v>
      </c>
      <c r="U71" s="87">
        <f t="shared" ca="1" si="15"/>
        <v>1166.4506512506252</v>
      </c>
      <c r="V71" s="104">
        <f t="shared" ca="1" si="16"/>
        <v>0</v>
      </c>
      <c r="W71" s="133">
        <f t="shared" ca="1" si="17"/>
        <v>6405.3718523878433</v>
      </c>
      <c r="X71" s="104">
        <f t="shared" ca="1" si="18"/>
        <v>0</v>
      </c>
      <c r="Y71" s="135">
        <f t="shared" ca="1" si="19"/>
        <v>0</v>
      </c>
      <c r="AE71" s="104"/>
    </row>
    <row r="72" spans="1:31" x14ac:dyDescent="0.2">
      <c r="A72" s="98">
        <v>0</v>
      </c>
      <c r="B72" s="98">
        <v>1</v>
      </c>
      <c r="C72" s="98">
        <f t="shared" si="0"/>
        <v>5</v>
      </c>
      <c r="D72" s="98">
        <f t="shared" si="1"/>
        <v>4</v>
      </c>
      <c r="E72" s="98">
        <f t="shared" si="2"/>
        <v>0</v>
      </c>
      <c r="F72" s="118">
        <f t="shared" ca="1" si="3"/>
        <v>0.179518300416</v>
      </c>
      <c r="G72" s="98">
        <v>0</v>
      </c>
      <c r="H72" s="98">
        <v>1</v>
      </c>
      <c r="I72" s="98">
        <v>1</v>
      </c>
      <c r="J72" s="118">
        <f t="shared" ca="1" si="4"/>
        <v>0</v>
      </c>
      <c r="K72" s="118">
        <f t="shared" ca="1" si="5"/>
        <v>0</v>
      </c>
      <c r="L72" s="133">
        <f t="shared" ca="1" si="6"/>
        <v>180</v>
      </c>
      <c r="M72" s="130">
        <f t="shared" ca="1" si="7"/>
        <v>820</v>
      </c>
      <c r="N72" s="100">
        <f t="shared" ca="1" si="8"/>
        <v>4</v>
      </c>
      <c r="O72" s="136">
        <f t="shared" ca="1" si="9"/>
        <v>2.6618557453501217</v>
      </c>
      <c r="P72" s="136">
        <f t="shared" ca="1" si="10"/>
        <v>26.618557453501214</v>
      </c>
      <c r="Q72" s="136">
        <f t="shared" ca="1" si="11"/>
        <v>26.618557453501214</v>
      </c>
      <c r="R72" s="136">
        <f t="shared" ca="1" si="12"/>
        <v>2.6618557453501213</v>
      </c>
      <c r="S72" s="136">
        <f t="shared" ca="1" si="13"/>
        <v>2.6618557453501213</v>
      </c>
      <c r="T72" s="104">
        <f t="shared" ca="1" si="14"/>
        <v>0</v>
      </c>
      <c r="U72" s="87">
        <f t="shared" ca="1" si="15"/>
        <v>1154.4506512506252</v>
      </c>
      <c r="V72" s="104">
        <f t="shared" ca="1" si="16"/>
        <v>0</v>
      </c>
      <c r="W72" s="133">
        <f t="shared" ca="1" si="17"/>
        <v>4270.2479015918952</v>
      </c>
      <c r="X72" s="104">
        <f t="shared" ca="1" si="18"/>
        <v>0</v>
      </c>
      <c r="Y72" s="135">
        <f t="shared" ca="1" si="19"/>
        <v>0</v>
      </c>
      <c r="AE72" s="104"/>
    </row>
    <row r="73" spans="1:31" x14ac:dyDescent="0.2">
      <c r="A73" s="98">
        <v>0</v>
      </c>
      <c r="B73" s="98">
        <v>1</v>
      </c>
      <c r="C73" s="98">
        <f t="shared" si="0"/>
        <v>5</v>
      </c>
      <c r="D73" s="98">
        <f t="shared" si="1"/>
        <v>4</v>
      </c>
      <c r="E73" s="98">
        <f t="shared" si="2"/>
        <v>0</v>
      </c>
      <c r="F73" s="118">
        <f t="shared" ca="1" si="3"/>
        <v>0.179518300416</v>
      </c>
      <c r="G73" s="98">
        <v>0</v>
      </c>
      <c r="H73" s="98">
        <v>1</v>
      </c>
      <c r="I73" s="98">
        <v>0</v>
      </c>
      <c r="J73" s="118">
        <f t="shared" ca="1" si="4"/>
        <v>0</v>
      </c>
      <c r="K73" s="118">
        <f t="shared" ca="1" si="5"/>
        <v>0</v>
      </c>
      <c r="L73" s="133">
        <f t="shared" ca="1" si="6"/>
        <v>168</v>
      </c>
      <c r="M73" s="130">
        <f t="shared" ca="1" si="7"/>
        <v>832</v>
      </c>
      <c r="N73" s="100">
        <f t="shared" ca="1" si="8"/>
        <v>5</v>
      </c>
      <c r="O73" s="136">
        <f t="shared" ca="1" si="9"/>
        <v>3.2590583346360766</v>
      </c>
      <c r="P73" s="136">
        <f t="shared" ca="1" si="10"/>
        <v>28.410165221359076</v>
      </c>
      <c r="Q73" s="136">
        <f t="shared" ca="1" si="11"/>
        <v>26.618557453501214</v>
      </c>
      <c r="R73" s="136">
        <f t="shared" ca="1" si="12"/>
        <v>2.7514361337430144</v>
      </c>
      <c r="S73" s="136">
        <f t="shared" ca="1" si="13"/>
        <v>3.091543008341366</v>
      </c>
      <c r="T73" s="104">
        <f t="shared" ca="1" si="14"/>
        <v>0</v>
      </c>
      <c r="U73" s="87">
        <f t="shared" ca="1" si="15"/>
        <v>1294.1569825567776</v>
      </c>
      <c r="V73" s="104">
        <f t="shared" ca="1" si="16"/>
        <v>0</v>
      </c>
      <c r="W73" s="133">
        <f t="shared" ca="1" si="17"/>
        <v>2135.1239507959476</v>
      </c>
      <c r="X73" s="104">
        <f t="shared" ca="1" si="18"/>
        <v>0</v>
      </c>
      <c r="Y73" s="135">
        <f t="shared" ca="1" si="19"/>
        <v>0</v>
      </c>
      <c r="AE73" s="104"/>
    </row>
    <row r="74" spans="1:31" x14ac:dyDescent="0.2">
      <c r="A74" s="98">
        <v>0</v>
      </c>
      <c r="B74" s="98">
        <v>1</v>
      </c>
      <c r="C74" s="98">
        <f t="shared" si="0"/>
        <v>5</v>
      </c>
      <c r="D74" s="98">
        <f t="shared" si="1"/>
        <v>4</v>
      </c>
      <c r="E74" s="98">
        <f t="shared" si="2"/>
        <v>0</v>
      </c>
      <c r="F74" s="118">
        <f t="shared" ca="1" si="3"/>
        <v>0.179518300416</v>
      </c>
      <c r="G74" s="98">
        <v>0</v>
      </c>
      <c r="H74" s="98">
        <v>0</v>
      </c>
      <c r="I74" s="98">
        <v>7</v>
      </c>
      <c r="J74" s="118">
        <f t="shared" si="4"/>
        <v>0</v>
      </c>
      <c r="K74" s="118">
        <f t="shared" ca="1" si="5"/>
        <v>0</v>
      </c>
      <c r="L74" s="133">
        <f t="shared" ca="1" si="6"/>
        <v>84</v>
      </c>
      <c r="M74" s="130">
        <f t="shared" ca="1" si="7"/>
        <v>916</v>
      </c>
      <c r="N74" s="100">
        <f t="shared" ca="1" si="8"/>
        <v>5</v>
      </c>
      <c r="O74" s="136">
        <f t="shared" ca="1" si="9"/>
        <v>3.2590583346360766</v>
      </c>
      <c r="P74" s="136">
        <f t="shared" ca="1" si="10"/>
        <v>32.590583346360766</v>
      </c>
      <c r="Q74" s="136">
        <f t="shared" ca="1" si="11"/>
        <v>32.590583346360766</v>
      </c>
      <c r="R74" s="136">
        <f t="shared" ca="1" si="12"/>
        <v>3.2590583346360766</v>
      </c>
      <c r="S74" s="136">
        <f t="shared" ca="1" si="13"/>
        <v>3.2590583346360766</v>
      </c>
      <c r="T74" s="104">
        <f t="shared" ca="1" si="14"/>
        <v>0</v>
      </c>
      <c r="U74" s="87">
        <f t="shared" ca="1" si="15"/>
        <v>1269.3003125517403</v>
      </c>
      <c r="V74" s="104">
        <f t="shared" ca="1" si="16"/>
        <v>0</v>
      </c>
      <c r="W74" s="133">
        <f t="shared" ca="1" si="17"/>
        <v>14945.867655571634</v>
      </c>
      <c r="X74" s="104">
        <f t="shared" ca="1" si="18"/>
        <v>0</v>
      </c>
      <c r="Y74" s="135">
        <f t="shared" ca="1" si="19"/>
        <v>0</v>
      </c>
      <c r="AE74" s="104"/>
    </row>
    <row r="75" spans="1:31" x14ac:dyDescent="0.2">
      <c r="A75" s="98">
        <v>0</v>
      </c>
      <c r="B75" s="98">
        <v>1</v>
      </c>
      <c r="C75" s="98">
        <f t="shared" si="0"/>
        <v>5</v>
      </c>
      <c r="D75" s="98">
        <f t="shared" si="1"/>
        <v>4</v>
      </c>
      <c r="E75" s="98">
        <f t="shared" si="2"/>
        <v>0</v>
      </c>
      <c r="F75" s="118">
        <f t="shared" ca="1" si="3"/>
        <v>0.179518300416</v>
      </c>
      <c r="G75" s="98">
        <v>0</v>
      </c>
      <c r="H75" s="98">
        <v>0</v>
      </c>
      <c r="I75" s="98">
        <v>6</v>
      </c>
      <c r="J75" s="118">
        <f t="shared" si="4"/>
        <v>0</v>
      </c>
      <c r="K75" s="118">
        <f t="shared" ca="1" si="5"/>
        <v>0</v>
      </c>
      <c r="L75" s="133">
        <f t="shared" ca="1" si="6"/>
        <v>72</v>
      </c>
      <c r="M75" s="130">
        <f t="shared" ca="1" si="7"/>
        <v>928</v>
      </c>
      <c r="N75" s="100">
        <f t="shared" ca="1" si="8"/>
        <v>5</v>
      </c>
      <c r="O75" s="136">
        <f t="shared" ca="1" si="9"/>
        <v>3.2590583346360766</v>
      </c>
      <c r="P75" s="136">
        <f t="shared" ca="1" si="10"/>
        <v>32.590583346360766</v>
      </c>
      <c r="Q75" s="136">
        <f t="shared" ca="1" si="11"/>
        <v>32.590583346360766</v>
      </c>
      <c r="R75" s="136">
        <f t="shared" ca="1" si="12"/>
        <v>3.2590583346360766</v>
      </c>
      <c r="S75" s="136">
        <f t="shared" ca="1" si="13"/>
        <v>3.2590583346360766</v>
      </c>
      <c r="T75" s="104">
        <f t="shared" ca="1" si="14"/>
        <v>0</v>
      </c>
      <c r="U75" s="87">
        <f t="shared" ca="1" si="15"/>
        <v>1257.3003125517403</v>
      </c>
      <c r="V75" s="104">
        <f t="shared" ca="1" si="16"/>
        <v>0</v>
      </c>
      <c r="W75" s="133">
        <f t="shared" ca="1" si="17"/>
        <v>12810.743704775687</v>
      </c>
      <c r="X75" s="104">
        <f t="shared" ca="1" si="18"/>
        <v>0</v>
      </c>
      <c r="Y75" s="135">
        <f t="shared" ca="1" si="19"/>
        <v>0</v>
      </c>
      <c r="AE75" s="104"/>
    </row>
    <row r="76" spans="1:31" x14ac:dyDescent="0.2">
      <c r="A76" s="98">
        <v>0</v>
      </c>
      <c r="B76" s="98">
        <v>1</v>
      </c>
      <c r="C76" s="98">
        <f t="shared" si="0"/>
        <v>5</v>
      </c>
      <c r="D76" s="98">
        <f t="shared" si="1"/>
        <v>4</v>
      </c>
      <c r="E76" s="98">
        <f t="shared" si="2"/>
        <v>0</v>
      </c>
      <c r="F76" s="118">
        <f t="shared" ca="1" si="3"/>
        <v>0.179518300416</v>
      </c>
      <c r="G76" s="98">
        <v>0</v>
      </c>
      <c r="H76" s="98">
        <v>0</v>
      </c>
      <c r="I76" s="98">
        <v>5</v>
      </c>
      <c r="J76" s="118">
        <f t="shared" si="4"/>
        <v>0</v>
      </c>
      <c r="K76" s="118">
        <f t="shared" ca="1" si="5"/>
        <v>0</v>
      </c>
      <c r="L76" s="133">
        <f t="shared" ca="1" si="6"/>
        <v>60</v>
      </c>
      <c r="M76" s="130">
        <f t="shared" ca="1" si="7"/>
        <v>940</v>
      </c>
      <c r="N76" s="100">
        <f t="shared" ca="1" si="8"/>
        <v>5</v>
      </c>
      <c r="O76" s="136">
        <f t="shared" ca="1" si="9"/>
        <v>3.2590583346360766</v>
      </c>
      <c r="P76" s="136">
        <f t="shared" ca="1" si="10"/>
        <v>32.590583346360766</v>
      </c>
      <c r="Q76" s="136">
        <f t="shared" ca="1" si="11"/>
        <v>32.590583346360766</v>
      </c>
      <c r="R76" s="136">
        <f t="shared" ca="1" si="12"/>
        <v>3.2590583346360766</v>
      </c>
      <c r="S76" s="136">
        <f t="shared" ca="1" si="13"/>
        <v>3.2590583346360766</v>
      </c>
      <c r="T76" s="104">
        <f t="shared" ca="1" si="14"/>
        <v>0</v>
      </c>
      <c r="U76" s="87">
        <f t="shared" ca="1" si="15"/>
        <v>1245.3003125517403</v>
      </c>
      <c r="V76" s="104">
        <f t="shared" ca="1" si="16"/>
        <v>0</v>
      </c>
      <c r="W76" s="133">
        <f t="shared" ca="1" si="17"/>
        <v>10675.619753979738</v>
      </c>
      <c r="X76" s="104">
        <f t="shared" ca="1" si="18"/>
        <v>0</v>
      </c>
      <c r="Y76" s="135">
        <f t="shared" ca="1" si="19"/>
        <v>0</v>
      </c>
      <c r="AE76" s="104"/>
    </row>
    <row r="77" spans="1:31" x14ac:dyDescent="0.2">
      <c r="A77" s="98">
        <v>0</v>
      </c>
      <c r="B77" s="98">
        <v>1</v>
      </c>
      <c r="C77" s="98">
        <f t="shared" si="0"/>
        <v>5</v>
      </c>
      <c r="D77" s="98">
        <f t="shared" si="1"/>
        <v>4</v>
      </c>
      <c r="E77" s="98">
        <f t="shared" si="2"/>
        <v>0</v>
      </c>
      <c r="F77" s="118">
        <f t="shared" ca="1" si="3"/>
        <v>0.179518300416</v>
      </c>
      <c r="G77" s="98">
        <v>0</v>
      </c>
      <c r="H77" s="98">
        <v>0</v>
      </c>
      <c r="I77" s="98">
        <v>4</v>
      </c>
      <c r="J77" s="118">
        <f t="shared" ca="1" si="4"/>
        <v>4.0725312499999999E-2</v>
      </c>
      <c r="K77" s="118">
        <f t="shared" ca="1" si="5"/>
        <v>7.3109388839104799E-3</v>
      </c>
      <c r="L77" s="133">
        <f t="shared" ca="1" si="6"/>
        <v>48</v>
      </c>
      <c r="M77" s="130">
        <f t="shared" ca="1" si="7"/>
        <v>952</v>
      </c>
      <c r="N77" s="100">
        <f t="shared" ca="1" si="8"/>
        <v>5</v>
      </c>
      <c r="O77" s="136">
        <f t="shared" ca="1" si="9"/>
        <v>3.2590583346360766</v>
      </c>
      <c r="P77" s="136">
        <f t="shared" ca="1" si="10"/>
        <v>32.590583346360766</v>
      </c>
      <c r="Q77" s="136">
        <f t="shared" ca="1" si="11"/>
        <v>32.590583346360766</v>
      </c>
      <c r="R77" s="136">
        <f t="shared" ca="1" si="12"/>
        <v>3.2590583346360766</v>
      </c>
      <c r="S77" s="136">
        <f t="shared" ca="1" si="13"/>
        <v>3.2590583346360766</v>
      </c>
      <c r="T77" s="104">
        <f t="shared" ca="1" si="14"/>
        <v>2.3826776303623426E-2</v>
      </c>
      <c r="U77" s="87">
        <f t="shared" ca="1" si="15"/>
        <v>1233.3003125517403</v>
      </c>
      <c r="V77" s="104">
        <f t="shared" ca="1" si="16"/>
        <v>9.0165832105734651</v>
      </c>
      <c r="W77" s="133">
        <f t="shared" ca="1" si="17"/>
        <v>8540.4958031837905</v>
      </c>
      <c r="X77" s="104">
        <f t="shared" ca="1" si="18"/>
        <v>62.439042855370637</v>
      </c>
      <c r="Y77" s="135">
        <f t="shared" ca="1" si="19"/>
        <v>0.35092506642770305</v>
      </c>
      <c r="AE77" s="104"/>
    </row>
    <row r="78" spans="1:31" x14ac:dyDescent="0.2">
      <c r="A78" s="98">
        <v>0</v>
      </c>
      <c r="B78" s="98">
        <v>1</v>
      </c>
      <c r="C78" s="98">
        <f t="shared" si="0"/>
        <v>5</v>
      </c>
      <c r="D78" s="98">
        <f t="shared" si="1"/>
        <v>4</v>
      </c>
      <c r="E78" s="98">
        <f t="shared" si="2"/>
        <v>0</v>
      </c>
      <c r="F78" s="118">
        <f t="shared" ca="1" si="3"/>
        <v>0.179518300416</v>
      </c>
      <c r="G78" s="98">
        <v>0</v>
      </c>
      <c r="H78" s="98">
        <v>0</v>
      </c>
      <c r="I78" s="98">
        <v>3</v>
      </c>
      <c r="J78" s="118">
        <f t="shared" ca="1" si="4"/>
        <v>8.5737500000000067E-3</v>
      </c>
      <c r="K78" s="118">
        <f t="shared" ca="1" si="5"/>
        <v>1.5391450281916812E-3</v>
      </c>
      <c r="L78" s="133">
        <f t="shared" ca="1" si="6"/>
        <v>36</v>
      </c>
      <c r="M78" s="130">
        <f t="shared" ca="1" si="7"/>
        <v>964</v>
      </c>
      <c r="N78" s="100">
        <f t="shared" ca="1" si="8"/>
        <v>5</v>
      </c>
      <c r="O78" s="136">
        <f t="shared" ca="1" si="9"/>
        <v>3.2590583346360766</v>
      </c>
      <c r="P78" s="136">
        <f t="shared" ca="1" si="10"/>
        <v>32.590583346360766</v>
      </c>
      <c r="Q78" s="136">
        <f t="shared" ca="1" si="11"/>
        <v>32.590583346360766</v>
      </c>
      <c r="R78" s="136">
        <f t="shared" ca="1" si="12"/>
        <v>3.2590583346360766</v>
      </c>
      <c r="S78" s="136">
        <f t="shared" ca="1" si="13"/>
        <v>3.2590583346360766</v>
      </c>
      <c r="T78" s="104">
        <f t="shared" ca="1" si="14"/>
        <v>5.0161634323417775E-3</v>
      </c>
      <c r="U78" s="87">
        <f t="shared" ca="1" si="15"/>
        <v>1221.3003125517403</v>
      </c>
      <c r="V78" s="104">
        <f t="shared" ca="1" si="16"/>
        <v>1.8797583039929573</v>
      </c>
      <c r="W78" s="133">
        <f t="shared" ca="1" si="17"/>
        <v>6405.3718523878433</v>
      </c>
      <c r="X78" s="104">
        <f t="shared" ca="1" si="18"/>
        <v>9.8587962403216878</v>
      </c>
      <c r="Y78" s="135">
        <f t="shared" ca="1" si="19"/>
        <v>5.540922101490052E-2</v>
      </c>
      <c r="AE78" s="104"/>
    </row>
    <row r="79" spans="1:31" x14ac:dyDescent="0.2">
      <c r="A79" s="98">
        <v>0</v>
      </c>
      <c r="B79" s="98">
        <v>1</v>
      </c>
      <c r="C79" s="98">
        <f t="shared" si="0"/>
        <v>5</v>
      </c>
      <c r="D79" s="98">
        <f t="shared" si="1"/>
        <v>4</v>
      </c>
      <c r="E79" s="98">
        <f t="shared" si="2"/>
        <v>0</v>
      </c>
      <c r="F79" s="118">
        <f t="shared" ca="1" si="3"/>
        <v>0.179518300416</v>
      </c>
      <c r="G79" s="98">
        <v>0</v>
      </c>
      <c r="H79" s="98">
        <v>0</v>
      </c>
      <c r="I79" s="98">
        <v>2</v>
      </c>
      <c r="J79" s="118">
        <f t="shared" ca="1" si="4"/>
        <v>6.7687500000000126E-4</v>
      </c>
      <c r="K79" s="118">
        <f t="shared" ca="1" si="5"/>
        <v>1.2151144959408022E-4</v>
      </c>
      <c r="L79" s="133">
        <f t="shared" ca="1" si="6"/>
        <v>24</v>
      </c>
      <c r="M79" s="130">
        <f t="shared" ca="1" si="7"/>
        <v>976</v>
      </c>
      <c r="N79" s="100">
        <f t="shared" ca="1" si="8"/>
        <v>5</v>
      </c>
      <c r="O79" s="136">
        <f t="shared" ca="1" si="9"/>
        <v>3.2590583346360766</v>
      </c>
      <c r="P79" s="136">
        <f t="shared" ca="1" si="10"/>
        <v>32.590583346360766</v>
      </c>
      <c r="Q79" s="136">
        <f t="shared" ca="1" si="11"/>
        <v>32.590583346360766</v>
      </c>
      <c r="R79" s="136">
        <f t="shared" ca="1" si="12"/>
        <v>3.2590583346360766</v>
      </c>
      <c r="S79" s="136">
        <f t="shared" ca="1" si="13"/>
        <v>3.2590583346360766</v>
      </c>
      <c r="T79" s="104">
        <f t="shared" ca="1" si="14"/>
        <v>3.9601290255329865E-4</v>
      </c>
      <c r="U79" s="87">
        <f t="shared" ca="1" si="15"/>
        <v>1209.3003125517403</v>
      </c>
      <c r="V79" s="104">
        <f t="shared" ca="1" si="16"/>
        <v>0.14694383397273625</v>
      </c>
      <c r="W79" s="133">
        <f t="shared" ca="1" si="17"/>
        <v>4270.2479015918952</v>
      </c>
      <c r="X79" s="104">
        <f t="shared" ca="1" si="18"/>
        <v>0.51888401264851047</v>
      </c>
      <c r="Y79" s="135">
        <f t="shared" ca="1" si="19"/>
        <v>2.9162747902579255E-3</v>
      </c>
      <c r="AE79" s="104"/>
    </row>
    <row r="80" spans="1:31" x14ac:dyDescent="0.2">
      <c r="A80" s="98">
        <v>0</v>
      </c>
      <c r="B80" s="98">
        <v>1</v>
      </c>
      <c r="C80" s="98">
        <f t="shared" si="0"/>
        <v>5</v>
      </c>
      <c r="D80" s="98">
        <f t="shared" si="1"/>
        <v>4</v>
      </c>
      <c r="E80" s="98">
        <f t="shared" si="2"/>
        <v>0</v>
      </c>
      <c r="F80" s="118">
        <f t="shared" ca="1" si="3"/>
        <v>0.179518300416</v>
      </c>
      <c r="G80" s="98">
        <v>0</v>
      </c>
      <c r="H80" s="98">
        <v>0</v>
      </c>
      <c r="I80" s="98">
        <v>1</v>
      </c>
      <c r="J80" s="118">
        <f t="shared" ca="1" si="4"/>
        <v>2.3750000000000062E-5</v>
      </c>
      <c r="K80" s="118">
        <f t="shared" ca="1" si="5"/>
        <v>4.2635596348800114E-6</v>
      </c>
      <c r="L80" s="133">
        <f t="shared" ca="1" si="6"/>
        <v>12</v>
      </c>
      <c r="M80" s="130">
        <f t="shared" ca="1" si="7"/>
        <v>988</v>
      </c>
      <c r="N80" s="100">
        <f t="shared" ca="1" si="8"/>
        <v>5</v>
      </c>
      <c r="O80" s="136">
        <f t="shared" ca="1" si="9"/>
        <v>3.2590583346360766</v>
      </c>
      <c r="P80" s="136">
        <f t="shared" ca="1" si="10"/>
        <v>32.590583346360766</v>
      </c>
      <c r="Q80" s="136">
        <f t="shared" ca="1" si="11"/>
        <v>32.590583346360766</v>
      </c>
      <c r="R80" s="136">
        <f t="shared" ca="1" si="12"/>
        <v>3.2590583346360766</v>
      </c>
      <c r="S80" s="136">
        <f t="shared" ca="1" si="13"/>
        <v>3.2590583346360766</v>
      </c>
      <c r="T80" s="104">
        <f t="shared" ca="1" si="14"/>
        <v>1.3895189563273649E-5</v>
      </c>
      <c r="U80" s="87">
        <f t="shared" ca="1" si="15"/>
        <v>1197.3003125517403</v>
      </c>
      <c r="V80" s="104">
        <f t="shared" ca="1" si="16"/>
        <v>5.1047612834248211E-3</v>
      </c>
      <c r="W80" s="133">
        <f t="shared" ca="1" si="17"/>
        <v>2135.1239507959476</v>
      </c>
      <c r="X80" s="104">
        <f t="shared" ca="1" si="18"/>
        <v>9.1032282920791383E-3</v>
      </c>
      <c r="Y80" s="135">
        <f t="shared" ca="1" si="19"/>
        <v>5.1162715618560133E-5</v>
      </c>
      <c r="AE80" s="104"/>
    </row>
    <row r="81" spans="1:31" x14ac:dyDescent="0.2">
      <c r="A81" s="98">
        <v>0</v>
      </c>
      <c r="B81" s="98">
        <v>1</v>
      </c>
      <c r="C81" s="98">
        <f t="shared" si="0"/>
        <v>5</v>
      </c>
      <c r="D81" s="98">
        <f t="shared" si="1"/>
        <v>4</v>
      </c>
      <c r="E81" s="98">
        <f t="shared" si="2"/>
        <v>0</v>
      </c>
      <c r="F81" s="118">
        <f t="shared" ca="1" si="3"/>
        <v>0.179518300416</v>
      </c>
      <c r="G81" s="98">
        <v>0</v>
      </c>
      <c r="H81" s="98">
        <v>0</v>
      </c>
      <c r="I81" s="98">
        <v>0</v>
      </c>
      <c r="J81" s="118">
        <f t="shared" ca="1" si="4"/>
        <v>3.1250000000000114E-7</v>
      </c>
      <c r="K81" s="118">
        <f t="shared" ca="1" si="5"/>
        <v>5.6099468880000206E-8</v>
      </c>
      <c r="L81" s="133">
        <f t="shared" ca="1" si="6"/>
        <v>0</v>
      </c>
      <c r="M81" s="130">
        <f t="shared" ca="1" si="7"/>
        <v>1000</v>
      </c>
      <c r="N81" s="100">
        <f t="shared" ca="1" si="8"/>
        <v>5</v>
      </c>
      <c r="O81" s="136">
        <f t="shared" ca="1" si="9"/>
        <v>3.2590583346360766</v>
      </c>
      <c r="P81" s="136">
        <f t="shared" ca="1" si="10"/>
        <v>32.590583346360766</v>
      </c>
      <c r="Q81" s="136">
        <f t="shared" ca="1" si="11"/>
        <v>32.590583346360766</v>
      </c>
      <c r="R81" s="136">
        <f t="shared" ca="1" si="12"/>
        <v>3.2590583346360766</v>
      </c>
      <c r="S81" s="136">
        <f t="shared" ca="1" si="13"/>
        <v>3.2590583346360766</v>
      </c>
      <c r="T81" s="104">
        <f t="shared" ca="1" si="14"/>
        <v>1.8283144162202189E-7</v>
      </c>
      <c r="U81" s="87">
        <f t="shared" ca="1" si="15"/>
        <v>1185.3003125517403</v>
      </c>
      <c r="V81" s="104">
        <f t="shared" ca="1" si="16"/>
        <v>6.6494717997450873E-5</v>
      </c>
      <c r="W81" s="133">
        <f t="shared" ca="1" si="17"/>
        <v>0</v>
      </c>
      <c r="X81" s="104">
        <f t="shared" ca="1" si="18"/>
        <v>0</v>
      </c>
      <c r="Y81" s="135">
        <f t="shared" ca="1" si="19"/>
        <v>0</v>
      </c>
      <c r="AE81" s="104"/>
    </row>
    <row r="82" spans="1:31" x14ac:dyDescent="0.2">
      <c r="A82" s="98">
        <v>0</v>
      </c>
      <c r="B82" s="98">
        <v>2</v>
      </c>
      <c r="C82" s="98">
        <f t="shared" ref="C82:C145" si="20">MIN(8, 1+$B$10+$B$9+A82+B82)</f>
        <v>6</v>
      </c>
      <c r="D82" s="98">
        <f t="shared" ref="D82:D145" si="21">C82-(1+$B$10)</f>
        <v>5</v>
      </c>
      <c r="E82" s="98">
        <f t="shared" ref="E82:E145" si="22">MIN(A82, C82-(1+$B$10+$B$9))</f>
        <v>0</v>
      </c>
      <c r="F82" s="118">
        <f t="shared" ref="F82:F145" ca="1" si="23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4.9318214399999991E-2</v>
      </c>
      <c r="G82" s="98">
        <v>1</v>
      </c>
      <c r="H82" s="98">
        <v>1</v>
      </c>
      <c r="I82" s="98">
        <v>7</v>
      </c>
      <c r="J82" s="118">
        <f t="shared" ref="J82:J145" si="24">POWER(95%,G82)*POWER(5%, 1-G82) * IF($B$10=0, IF(H82=0, 1, 0), POWER(Set1WSHitRate,H82)*POWER(1-Set1WSHitRate, 1-H82)) * IF(I82&lt;=D82, POWER(Set1WSHitRate, I82)*POWER(1-Set1WSHitRate, D82-I82)*COMBIN(D82,I82), 0)</f>
        <v>0</v>
      </c>
      <c r="K82" s="118">
        <f t="shared" ref="K82:K145" ca="1" si="25">F82*J82</f>
        <v>0</v>
      </c>
      <c r="L82" s="133">
        <f t="shared" ref="L82:L145" ca="1" si="26">MAX((G82+H82)*Set1WSTP + I82*$B$6, Set1SaveTP)</f>
        <v>420</v>
      </c>
      <c r="M82" s="130">
        <f t="shared" ref="M82:M145" ca="1" si="27">MAX(Set1MinTP-(L82+Set1Regain), 0)</f>
        <v>580</v>
      </c>
      <c r="N82" s="100">
        <f t="shared" ref="N82:N145" ca="1" si="28">CEILING(M82/Set1MeleeTP, 1)</f>
        <v>3</v>
      </c>
      <c r="O82" s="136">
        <f t="shared" ref="O82:O145" ca="1" si="29">VLOOKUP(N82,AvgRoundsSet1,2)</f>
        <v>2.0946097612518035</v>
      </c>
      <c r="P82" s="136">
        <f t="shared" ref="P82:P145" ca="1" si="30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20.946097612518034</v>
      </c>
      <c r="Q82" s="136">
        <f t="shared" ref="Q82:Q145" ca="1" si="31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20.946097612518034</v>
      </c>
      <c r="R82" s="136">
        <f t="shared" ref="R82:R145" ca="1" si="32">(P82+Q82)/20</f>
        <v>2.0946097612518035</v>
      </c>
      <c r="S82" s="136">
        <f t="shared" ref="S82:S145" ca="1" si="33">R82*Set1ConserveTP + O82*(1-Set1ConserveTP)</f>
        <v>2.0946097612518035</v>
      </c>
      <c r="T82" s="104">
        <f t="shared" ref="T82:T145" ca="1" si="34">K82*S82</f>
        <v>0</v>
      </c>
      <c r="U82" s="87">
        <f t="shared" ref="U82:U145" ca="1" si="35">MIN(L82+(S82+Set1OverTP)*AvgHitsPerRound1*Set1MeleeTP + Set1Regain + 105*Set1ConserveTP, 3000)</f>
        <v>1194.1775349459019</v>
      </c>
      <c r="V82" s="104">
        <f t="shared" ref="V82:V145" ca="1" si="36">U82*K82</f>
        <v>0</v>
      </c>
      <c r="W82" s="133">
        <f t="shared" ref="W82:W145" ca="1" si="37">G82*$K$10*((1-$L$10)*$L$14 + $L$10*$M$14*$M$10)*Set1WSDmg + H82*$K$13*((1-$L$13)*$L$14 + $L$13*$M$14*$M$11) + I82*$K$11*((1-$L$11)*$L$14 + $L$11*$M$14*$M$11) + E82*$K$12*$L$12*$M$10</f>
        <v>19493.681670767</v>
      </c>
      <c r="X82" s="104">
        <f t="shared" ref="X82:X145" ca="1" si="38">K82*W82</f>
        <v>0</v>
      </c>
      <c r="Y82" s="135">
        <f t="shared" ca="1" si="19"/>
        <v>0</v>
      </c>
      <c r="AE82" s="104"/>
    </row>
    <row r="83" spans="1:31" x14ac:dyDescent="0.2">
      <c r="A83" s="98">
        <v>0</v>
      </c>
      <c r="B83" s="98">
        <v>2</v>
      </c>
      <c r="C83" s="98">
        <f t="shared" si="20"/>
        <v>6</v>
      </c>
      <c r="D83" s="98">
        <f t="shared" si="21"/>
        <v>5</v>
      </c>
      <c r="E83" s="98">
        <f t="shared" si="22"/>
        <v>0</v>
      </c>
      <c r="F83" s="118">
        <f t="shared" ca="1" si="23"/>
        <v>4.9318214399999991E-2</v>
      </c>
      <c r="G83" s="98">
        <v>1</v>
      </c>
      <c r="H83" s="98">
        <v>1</v>
      </c>
      <c r="I83" s="98">
        <v>6</v>
      </c>
      <c r="J83" s="118">
        <f t="shared" si="24"/>
        <v>0</v>
      </c>
      <c r="K83" s="118">
        <f t="shared" ca="1" si="25"/>
        <v>0</v>
      </c>
      <c r="L83" s="133">
        <f t="shared" ca="1" si="26"/>
        <v>408</v>
      </c>
      <c r="M83" s="130">
        <f t="shared" ca="1" si="27"/>
        <v>592</v>
      </c>
      <c r="N83" s="100">
        <f t="shared" ca="1" si="28"/>
        <v>3</v>
      </c>
      <c r="O83" s="136">
        <f t="shared" ca="1" si="29"/>
        <v>2.0946097612518035</v>
      </c>
      <c r="P83" s="136">
        <f t="shared" ca="1" si="30"/>
        <v>20.946097612518034</v>
      </c>
      <c r="Q83" s="136">
        <f t="shared" ca="1" si="31"/>
        <v>20.946097612518034</v>
      </c>
      <c r="R83" s="136">
        <f t="shared" ca="1" si="32"/>
        <v>2.0946097612518035</v>
      </c>
      <c r="S83" s="136">
        <f t="shared" ca="1" si="33"/>
        <v>2.0946097612518035</v>
      </c>
      <c r="T83" s="104">
        <f t="shared" ca="1" si="34"/>
        <v>0</v>
      </c>
      <c r="U83" s="87">
        <f t="shared" ca="1" si="35"/>
        <v>1182.1775349459019</v>
      </c>
      <c r="V83" s="104">
        <f t="shared" ca="1" si="36"/>
        <v>0</v>
      </c>
      <c r="W83" s="133">
        <f t="shared" ca="1" si="37"/>
        <v>17358.557719971053</v>
      </c>
      <c r="X83" s="104">
        <f t="shared" ca="1" si="38"/>
        <v>0</v>
      </c>
      <c r="Y83" s="135">
        <f t="shared" ref="Y83:Y146" ca="1" si="39">K83*L83</f>
        <v>0</v>
      </c>
      <c r="AE83" s="104"/>
    </row>
    <row r="84" spans="1:31" x14ac:dyDescent="0.2">
      <c r="A84" s="98">
        <v>0</v>
      </c>
      <c r="B84" s="98">
        <v>2</v>
      </c>
      <c r="C84" s="98">
        <f t="shared" si="20"/>
        <v>6</v>
      </c>
      <c r="D84" s="98">
        <f t="shared" si="21"/>
        <v>5</v>
      </c>
      <c r="E84" s="98">
        <f t="shared" si="22"/>
        <v>0</v>
      </c>
      <c r="F84" s="118">
        <f t="shared" ca="1" si="23"/>
        <v>4.9318214399999991E-2</v>
      </c>
      <c r="G84" s="98">
        <v>1</v>
      </c>
      <c r="H84" s="98">
        <v>1</v>
      </c>
      <c r="I84" s="98">
        <v>5</v>
      </c>
      <c r="J84" s="118">
        <f t="shared" ca="1" si="24"/>
        <v>0</v>
      </c>
      <c r="K84" s="118">
        <f t="shared" ca="1" si="25"/>
        <v>0</v>
      </c>
      <c r="L84" s="133">
        <f t="shared" ca="1" si="26"/>
        <v>396</v>
      </c>
      <c r="M84" s="130">
        <f t="shared" ca="1" si="27"/>
        <v>604</v>
      </c>
      <c r="N84" s="100">
        <f t="shared" ca="1" si="28"/>
        <v>3</v>
      </c>
      <c r="O84" s="136">
        <f t="shared" ca="1" si="29"/>
        <v>2.0946097612518035</v>
      </c>
      <c r="P84" s="136">
        <f t="shared" ca="1" si="30"/>
        <v>20.946097612518034</v>
      </c>
      <c r="Q84" s="136">
        <f t="shared" ca="1" si="31"/>
        <v>20.946097612518034</v>
      </c>
      <c r="R84" s="136">
        <f t="shared" ca="1" si="32"/>
        <v>2.0946097612518035</v>
      </c>
      <c r="S84" s="136">
        <f t="shared" ca="1" si="33"/>
        <v>2.0946097612518035</v>
      </c>
      <c r="T84" s="104">
        <f t="shared" ca="1" si="34"/>
        <v>0</v>
      </c>
      <c r="U84" s="87">
        <f t="shared" ca="1" si="35"/>
        <v>1170.1775349459019</v>
      </c>
      <c r="V84" s="104">
        <f t="shared" ca="1" si="36"/>
        <v>0</v>
      </c>
      <c r="W84" s="133">
        <f t="shared" ca="1" si="37"/>
        <v>15223.433769175106</v>
      </c>
      <c r="X84" s="104">
        <f t="shared" ca="1" si="38"/>
        <v>0</v>
      </c>
      <c r="Y84" s="135">
        <f t="shared" ca="1" si="39"/>
        <v>0</v>
      </c>
      <c r="AE84" s="104"/>
    </row>
    <row r="85" spans="1:31" x14ac:dyDescent="0.2">
      <c r="A85" s="98">
        <v>0</v>
      </c>
      <c r="B85" s="98">
        <v>2</v>
      </c>
      <c r="C85" s="98">
        <f t="shared" si="20"/>
        <v>6</v>
      </c>
      <c r="D85" s="98">
        <f t="shared" si="21"/>
        <v>5</v>
      </c>
      <c r="E85" s="98">
        <f t="shared" si="22"/>
        <v>0</v>
      </c>
      <c r="F85" s="118">
        <f t="shared" ca="1" si="23"/>
        <v>4.9318214399999991E-2</v>
      </c>
      <c r="G85" s="98">
        <v>1</v>
      </c>
      <c r="H85" s="98">
        <v>1</v>
      </c>
      <c r="I85" s="98">
        <v>4</v>
      </c>
      <c r="J85" s="118">
        <f t="shared" ca="1" si="24"/>
        <v>0</v>
      </c>
      <c r="K85" s="118">
        <f t="shared" ca="1" si="25"/>
        <v>0</v>
      </c>
      <c r="L85" s="133">
        <f t="shared" ca="1" si="26"/>
        <v>384</v>
      </c>
      <c r="M85" s="130">
        <f t="shared" ca="1" si="27"/>
        <v>616</v>
      </c>
      <c r="N85" s="100">
        <f t="shared" ca="1" si="28"/>
        <v>3</v>
      </c>
      <c r="O85" s="136">
        <f t="shared" ca="1" si="29"/>
        <v>2.0946097612518035</v>
      </c>
      <c r="P85" s="136">
        <f t="shared" ca="1" si="30"/>
        <v>20.946097612518034</v>
      </c>
      <c r="Q85" s="136">
        <f t="shared" ca="1" si="31"/>
        <v>20.946097612518034</v>
      </c>
      <c r="R85" s="136">
        <f t="shared" ca="1" si="32"/>
        <v>2.0946097612518035</v>
      </c>
      <c r="S85" s="136">
        <f t="shared" ca="1" si="33"/>
        <v>2.0946097612518035</v>
      </c>
      <c r="T85" s="104">
        <f t="shared" ca="1" si="34"/>
        <v>0</v>
      </c>
      <c r="U85" s="87">
        <f t="shared" ca="1" si="35"/>
        <v>1158.1775349459019</v>
      </c>
      <c r="V85" s="104">
        <f t="shared" ca="1" si="36"/>
        <v>0</v>
      </c>
      <c r="W85" s="133">
        <f t="shared" ca="1" si="37"/>
        <v>13088.309818379159</v>
      </c>
      <c r="X85" s="104">
        <f t="shared" ca="1" si="38"/>
        <v>0</v>
      </c>
      <c r="Y85" s="135">
        <f t="shared" ca="1" si="39"/>
        <v>0</v>
      </c>
      <c r="AE85" s="104"/>
    </row>
    <row r="86" spans="1:31" x14ac:dyDescent="0.2">
      <c r="A86" s="98">
        <v>0</v>
      </c>
      <c r="B86" s="98">
        <v>2</v>
      </c>
      <c r="C86" s="98">
        <f t="shared" si="20"/>
        <v>6</v>
      </c>
      <c r="D86" s="98">
        <f t="shared" si="21"/>
        <v>5</v>
      </c>
      <c r="E86" s="98">
        <f t="shared" si="22"/>
        <v>0</v>
      </c>
      <c r="F86" s="118">
        <f t="shared" ca="1" si="23"/>
        <v>4.9318214399999991E-2</v>
      </c>
      <c r="G86" s="98">
        <v>1</v>
      </c>
      <c r="H86" s="98">
        <v>1</v>
      </c>
      <c r="I86" s="98">
        <v>3</v>
      </c>
      <c r="J86" s="118">
        <f t="shared" ca="1" si="24"/>
        <v>0</v>
      </c>
      <c r="K86" s="118">
        <f t="shared" ca="1" si="25"/>
        <v>0</v>
      </c>
      <c r="L86" s="133">
        <f t="shared" ca="1" si="26"/>
        <v>372</v>
      </c>
      <c r="M86" s="130">
        <f t="shared" ca="1" si="27"/>
        <v>628</v>
      </c>
      <c r="N86" s="100">
        <f t="shared" ca="1" si="28"/>
        <v>4</v>
      </c>
      <c r="O86" s="136">
        <f t="shared" ca="1" si="29"/>
        <v>2.6618557453501217</v>
      </c>
      <c r="P86" s="136">
        <f t="shared" ca="1" si="30"/>
        <v>24.349573517107945</v>
      </c>
      <c r="Q86" s="136">
        <f t="shared" ca="1" si="31"/>
        <v>20.946097612518034</v>
      </c>
      <c r="R86" s="136">
        <f t="shared" ca="1" si="32"/>
        <v>2.2647835564812988</v>
      </c>
      <c r="S86" s="136">
        <f t="shared" ca="1" si="33"/>
        <v>2.5308219230234101</v>
      </c>
      <c r="T86" s="104">
        <f t="shared" ca="1" si="34"/>
        <v>0</v>
      </c>
      <c r="U86" s="87">
        <f t="shared" ca="1" si="35"/>
        <v>1300.1875613842344</v>
      </c>
      <c r="V86" s="104">
        <f t="shared" ca="1" si="36"/>
        <v>0</v>
      </c>
      <c r="W86" s="133">
        <f t="shared" ca="1" si="37"/>
        <v>10953.185867583212</v>
      </c>
      <c r="X86" s="104">
        <f t="shared" ca="1" si="38"/>
        <v>0</v>
      </c>
      <c r="Y86" s="135">
        <f t="shared" ca="1" si="39"/>
        <v>0</v>
      </c>
      <c r="AE86" s="104"/>
    </row>
    <row r="87" spans="1:31" x14ac:dyDescent="0.2">
      <c r="A87" s="98">
        <v>0</v>
      </c>
      <c r="B87" s="98">
        <v>2</v>
      </c>
      <c r="C87" s="98">
        <f t="shared" si="20"/>
        <v>6</v>
      </c>
      <c r="D87" s="98">
        <f t="shared" si="21"/>
        <v>5</v>
      </c>
      <c r="E87" s="98">
        <f t="shared" si="22"/>
        <v>0</v>
      </c>
      <c r="F87" s="118">
        <f t="shared" ca="1" si="23"/>
        <v>4.9318214399999991E-2</v>
      </c>
      <c r="G87" s="98">
        <v>1</v>
      </c>
      <c r="H87" s="98">
        <v>1</v>
      </c>
      <c r="I87" s="98">
        <v>2</v>
      </c>
      <c r="J87" s="118">
        <f t="shared" ca="1" si="24"/>
        <v>0</v>
      </c>
      <c r="K87" s="118">
        <f t="shared" ca="1" si="25"/>
        <v>0</v>
      </c>
      <c r="L87" s="133">
        <f t="shared" ca="1" si="26"/>
        <v>360</v>
      </c>
      <c r="M87" s="130">
        <f t="shared" ca="1" si="27"/>
        <v>640</v>
      </c>
      <c r="N87" s="100">
        <f t="shared" ca="1" si="28"/>
        <v>4</v>
      </c>
      <c r="O87" s="136">
        <f t="shared" ca="1" si="29"/>
        <v>2.6618557453501217</v>
      </c>
      <c r="P87" s="136">
        <f t="shared" ca="1" si="30"/>
        <v>26.618557453501214</v>
      </c>
      <c r="Q87" s="136">
        <f t="shared" ca="1" si="31"/>
        <v>25.48406548530458</v>
      </c>
      <c r="R87" s="136">
        <f t="shared" ca="1" si="32"/>
        <v>2.6051311469402898</v>
      </c>
      <c r="S87" s="136">
        <f t="shared" ca="1" si="33"/>
        <v>2.6431366278748771</v>
      </c>
      <c r="T87" s="104">
        <f t="shared" ca="1" si="34"/>
        <v>0</v>
      </c>
      <c r="U87" s="87">
        <f t="shared" ca="1" si="35"/>
        <v>1327.8416384125694</v>
      </c>
      <c r="V87" s="104">
        <f t="shared" ca="1" si="36"/>
        <v>0</v>
      </c>
      <c r="W87" s="133">
        <f t="shared" ca="1" si="37"/>
        <v>8818.0619167872646</v>
      </c>
      <c r="X87" s="104">
        <f t="shared" ca="1" si="38"/>
        <v>0</v>
      </c>
      <c r="Y87" s="135">
        <f t="shared" ca="1" si="39"/>
        <v>0</v>
      </c>
      <c r="AE87" s="104"/>
    </row>
    <row r="88" spans="1:31" x14ac:dyDescent="0.2">
      <c r="A88" s="98">
        <v>0</v>
      </c>
      <c r="B88" s="98">
        <v>2</v>
      </c>
      <c r="C88" s="98">
        <f t="shared" si="20"/>
        <v>6</v>
      </c>
      <c r="D88" s="98">
        <f t="shared" si="21"/>
        <v>5</v>
      </c>
      <c r="E88" s="98">
        <f t="shared" si="22"/>
        <v>0</v>
      </c>
      <c r="F88" s="118">
        <f t="shared" ca="1" si="23"/>
        <v>4.9318214399999991E-2</v>
      </c>
      <c r="G88" s="98">
        <v>1</v>
      </c>
      <c r="H88" s="98">
        <v>1</v>
      </c>
      <c r="I88" s="98">
        <v>1</v>
      </c>
      <c r="J88" s="118">
        <f t="shared" ca="1" si="24"/>
        <v>0</v>
      </c>
      <c r="K88" s="118">
        <f t="shared" ca="1" si="25"/>
        <v>0</v>
      </c>
      <c r="L88" s="133">
        <f t="shared" ca="1" si="26"/>
        <v>348</v>
      </c>
      <c r="M88" s="130">
        <f t="shared" ca="1" si="27"/>
        <v>652</v>
      </c>
      <c r="N88" s="100">
        <f t="shared" ca="1" si="28"/>
        <v>4</v>
      </c>
      <c r="O88" s="136">
        <f t="shared" ca="1" si="29"/>
        <v>2.6618557453501217</v>
      </c>
      <c r="P88" s="136">
        <f t="shared" ca="1" si="30"/>
        <v>26.618557453501214</v>
      </c>
      <c r="Q88" s="136">
        <f t="shared" ca="1" si="31"/>
        <v>26.618557453501214</v>
      </c>
      <c r="R88" s="136">
        <f t="shared" ca="1" si="32"/>
        <v>2.6618557453501213</v>
      </c>
      <c r="S88" s="136">
        <f t="shared" ca="1" si="33"/>
        <v>2.6618557453501213</v>
      </c>
      <c r="T88" s="104">
        <f t="shared" ca="1" si="34"/>
        <v>0</v>
      </c>
      <c r="U88" s="87">
        <f t="shared" ca="1" si="35"/>
        <v>1322.4506512506252</v>
      </c>
      <c r="V88" s="104">
        <f t="shared" ca="1" si="36"/>
        <v>0</v>
      </c>
      <c r="W88" s="133">
        <f t="shared" ca="1" si="37"/>
        <v>6682.9379659913157</v>
      </c>
      <c r="X88" s="104">
        <f t="shared" ca="1" si="38"/>
        <v>0</v>
      </c>
      <c r="Y88" s="135">
        <f t="shared" ca="1" si="39"/>
        <v>0</v>
      </c>
      <c r="AE88" s="104"/>
    </row>
    <row r="89" spans="1:31" x14ac:dyDescent="0.2">
      <c r="A89" s="98">
        <v>0</v>
      </c>
      <c r="B89" s="98">
        <v>2</v>
      </c>
      <c r="C89" s="98">
        <f t="shared" si="20"/>
        <v>6</v>
      </c>
      <c r="D89" s="98">
        <f t="shared" si="21"/>
        <v>5</v>
      </c>
      <c r="E89" s="98">
        <f t="shared" si="22"/>
        <v>0</v>
      </c>
      <c r="F89" s="118">
        <f t="shared" ca="1" si="23"/>
        <v>4.9318214399999991E-2</v>
      </c>
      <c r="G89" s="98">
        <v>1</v>
      </c>
      <c r="H89" s="98">
        <v>1</v>
      </c>
      <c r="I89" s="98">
        <v>0</v>
      </c>
      <c r="J89" s="118">
        <f t="shared" ca="1" si="24"/>
        <v>0</v>
      </c>
      <c r="K89" s="118">
        <f t="shared" ca="1" si="25"/>
        <v>0</v>
      </c>
      <c r="L89" s="133">
        <f t="shared" ca="1" si="26"/>
        <v>336</v>
      </c>
      <c r="M89" s="130">
        <f t="shared" ca="1" si="27"/>
        <v>664</v>
      </c>
      <c r="N89" s="100">
        <f t="shared" ca="1" si="28"/>
        <v>4</v>
      </c>
      <c r="O89" s="136">
        <f t="shared" ca="1" si="29"/>
        <v>2.6618557453501217</v>
      </c>
      <c r="P89" s="136">
        <f t="shared" ca="1" si="30"/>
        <v>26.618557453501214</v>
      </c>
      <c r="Q89" s="136">
        <f t="shared" ca="1" si="31"/>
        <v>26.618557453501214</v>
      </c>
      <c r="R89" s="136">
        <f t="shared" ca="1" si="32"/>
        <v>2.6618557453501213</v>
      </c>
      <c r="S89" s="136">
        <f t="shared" ca="1" si="33"/>
        <v>2.6618557453501213</v>
      </c>
      <c r="T89" s="104">
        <f t="shared" ca="1" si="34"/>
        <v>0</v>
      </c>
      <c r="U89" s="87">
        <f t="shared" ca="1" si="35"/>
        <v>1310.4506512506252</v>
      </c>
      <c r="V89" s="104">
        <f t="shared" ca="1" si="36"/>
        <v>0</v>
      </c>
      <c r="W89" s="133">
        <f t="shared" ca="1" si="37"/>
        <v>4547.8140151953685</v>
      </c>
      <c r="X89" s="104">
        <f t="shared" ca="1" si="38"/>
        <v>0</v>
      </c>
      <c r="Y89" s="135">
        <f t="shared" ca="1" si="39"/>
        <v>0</v>
      </c>
      <c r="AE89" s="104"/>
    </row>
    <row r="90" spans="1:31" x14ac:dyDescent="0.2">
      <c r="A90" s="98">
        <v>0</v>
      </c>
      <c r="B90" s="98">
        <v>2</v>
      </c>
      <c r="C90" s="98">
        <f t="shared" si="20"/>
        <v>6</v>
      </c>
      <c r="D90" s="98">
        <f t="shared" si="21"/>
        <v>5</v>
      </c>
      <c r="E90" s="98">
        <f t="shared" si="22"/>
        <v>0</v>
      </c>
      <c r="F90" s="118">
        <f t="shared" ca="1" si="23"/>
        <v>4.9318214399999991E-2</v>
      </c>
      <c r="G90" s="98">
        <v>1</v>
      </c>
      <c r="H90" s="98">
        <v>0</v>
      </c>
      <c r="I90" s="98">
        <v>7</v>
      </c>
      <c r="J90" s="118">
        <f t="shared" si="24"/>
        <v>0</v>
      </c>
      <c r="K90" s="118">
        <f t="shared" ca="1" si="25"/>
        <v>0</v>
      </c>
      <c r="L90" s="133">
        <f t="shared" ca="1" si="26"/>
        <v>252</v>
      </c>
      <c r="M90" s="130">
        <f t="shared" ca="1" si="27"/>
        <v>748</v>
      </c>
      <c r="N90" s="100">
        <f t="shared" ca="1" si="28"/>
        <v>4</v>
      </c>
      <c r="O90" s="136">
        <f t="shared" ca="1" si="29"/>
        <v>2.6618557453501217</v>
      </c>
      <c r="P90" s="136">
        <f t="shared" ca="1" si="30"/>
        <v>26.618557453501214</v>
      </c>
      <c r="Q90" s="136">
        <f t="shared" ca="1" si="31"/>
        <v>26.618557453501214</v>
      </c>
      <c r="R90" s="136">
        <f t="shared" ca="1" si="32"/>
        <v>2.6618557453501213</v>
      </c>
      <c r="S90" s="136">
        <f t="shared" ca="1" si="33"/>
        <v>2.6618557453501213</v>
      </c>
      <c r="T90" s="104">
        <f t="shared" ca="1" si="34"/>
        <v>0</v>
      </c>
      <c r="U90" s="87">
        <f t="shared" ca="1" si="35"/>
        <v>1226.4506512506252</v>
      </c>
      <c r="V90" s="104">
        <f t="shared" ca="1" si="36"/>
        <v>0</v>
      </c>
      <c r="W90" s="133">
        <f t="shared" ca="1" si="37"/>
        <v>17358.557719971053</v>
      </c>
      <c r="X90" s="104">
        <f t="shared" ca="1" si="38"/>
        <v>0</v>
      </c>
      <c r="Y90" s="135">
        <f t="shared" ca="1" si="39"/>
        <v>0</v>
      </c>
      <c r="AE90" s="104"/>
    </row>
    <row r="91" spans="1:31" x14ac:dyDescent="0.2">
      <c r="A91" s="98">
        <v>0</v>
      </c>
      <c r="B91" s="98">
        <v>2</v>
      </c>
      <c r="C91" s="98">
        <f t="shared" si="20"/>
        <v>6</v>
      </c>
      <c r="D91" s="98">
        <f t="shared" si="21"/>
        <v>5</v>
      </c>
      <c r="E91" s="98">
        <f t="shared" si="22"/>
        <v>0</v>
      </c>
      <c r="F91" s="118">
        <f t="shared" ca="1" si="23"/>
        <v>4.9318214399999991E-2</v>
      </c>
      <c r="G91" s="98">
        <v>1</v>
      </c>
      <c r="H91" s="98">
        <v>0</v>
      </c>
      <c r="I91" s="98">
        <v>6</v>
      </c>
      <c r="J91" s="118">
        <f t="shared" si="24"/>
        <v>0</v>
      </c>
      <c r="K91" s="118">
        <f t="shared" ca="1" si="25"/>
        <v>0</v>
      </c>
      <c r="L91" s="133">
        <f t="shared" ca="1" si="26"/>
        <v>240</v>
      </c>
      <c r="M91" s="130">
        <f t="shared" ca="1" si="27"/>
        <v>760</v>
      </c>
      <c r="N91" s="100">
        <f t="shared" ca="1" si="28"/>
        <v>4</v>
      </c>
      <c r="O91" s="136">
        <f t="shared" ca="1" si="29"/>
        <v>2.6618557453501217</v>
      </c>
      <c r="P91" s="136">
        <f t="shared" ca="1" si="30"/>
        <v>26.618557453501214</v>
      </c>
      <c r="Q91" s="136">
        <f t="shared" ca="1" si="31"/>
        <v>26.618557453501214</v>
      </c>
      <c r="R91" s="136">
        <f t="shared" ca="1" si="32"/>
        <v>2.6618557453501213</v>
      </c>
      <c r="S91" s="136">
        <f t="shared" ca="1" si="33"/>
        <v>2.6618557453501213</v>
      </c>
      <c r="T91" s="104">
        <f t="shared" ca="1" si="34"/>
        <v>0</v>
      </c>
      <c r="U91" s="87">
        <f t="shared" ca="1" si="35"/>
        <v>1214.4506512506252</v>
      </c>
      <c r="V91" s="104">
        <f t="shared" ca="1" si="36"/>
        <v>0</v>
      </c>
      <c r="W91" s="133">
        <f t="shared" ca="1" si="37"/>
        <v>15223.433769175106</v>
      </c>
      <c r="X91" s="104">
        <f t="shared" ca="1" si="38"/>
        <v>0</v>
      </c>
      <c r="Y91" s="135">
        <f t="shared" ca="1" si="39"/>
        <v>0</v>
      </c>
      <c r="AE91" s="104"/>
    </row>
    <row r="92" spans="1:31" x14ac:dyDescent="0.2">
      <c r="A92" s="98">
        <v>0</v>
      </c>
      <c r="B92" s="98">
        <v>2</v>
      </c>
      <c r="C92" s="98">
        <f t="shared" si="20"/>
        <v>6</v>
      </c>
      <c r="D92" s="98">
        <f t="shared" si="21"/>
        <v>5</v>
      </c>
      <c r="E92" s="98">
        <f t="shared" si="22"/>
        <v>0</v>
      </c>
      <c r="F92" s="118">
        <f t="shared" ca="1" si="23"/>
        <v>4.9318214399999991E-2</v>
      </c>
      <c r="G92" s="98">
        <v>1</v>
      </c>
      <c r="H92" s="98">
        <v>0</v>
      </c>
      <c r="I92" s="98">
        <v>5</v>
      </c>
      <c r="J92" s="118">
        <f t="shared" ca="1" si="24"/>
        <v>0.73509189062499991</v>
      </c>
      <c r="K92" s="118">
        <f t="shared" ca="1" si="25"/>
        <v>3.6253419465545091E-2</v>
      </c>
      <c r="L92" s="133">
        <f t="shared" ca="1" si="26"/>
        <v>228</v>
      </c>
      <c r="M92" s="130">
        <f t="shared" ca="1" si="27"/>
        <v>772</v>
      </c>
      <c r="N92" s="100">
        <f t="shared" ca="1" si="28"/>
        <v>4</v>
      </c>
      <c r="O92" s="136">
        <f t="shared" ca="1" si="29"/>
        <v>2.6618557453501217</v>
      </c>
      <c r="P92" s="136">
        <f t="shared" ca="1" si="30"/>
        <v>26.618557453501214</v>
      </c>
      <c r="Q92" s="136">
        <f t="shared" ca="1" si="31"/>
        <v>26.618557453501214</v>
      </c>
      <c r="R92" s="136">
        <f t="shared" ca="1" si="32"/>
        <v>2.6618557453501213</v>
      </c>
      <c r="S92" s="136">
        <f t="shared" ca="1" si="33"/>
        <v>2.6618557453501213</v>
      </c>
      <c r="T92" s="104">
        <f t="shared" ca="1" si="34"/>
        <v>9.6501372892949119E-2</v>
      </c>
      <c r="U92" s="87">
        <f t="shared" ca="1" si="35"/>
        <v>1202.4506512506252</v>
      </c>
      <c r="V92" s="104">
        <f t="shared" ca="1" si="36"/>
        <v>43.592947846406787</v>
      </c>
      <c r="W92" s="133">
        <f t="shared" ca="1" si="37"/>
        <v>13088.309818379159</v>
      </c>
      <c r="X92" s="104">
        <f t="shared" ca="1" si="38"/>
        <v>474.49598594071193</v>
      </c>
      <c r="Y92" s="135">
        <f t="shared" ca="1" si="39"/>
        <v>8.2657796381442807</v>
      </c>
      <c r="AE92" s="104"/>
    </row>
    <row r="93" spans="1:31" x14ac:dyDescent="0.2">
      <c r="A93" s="98">
        <v>0</v>
      </c>
      <c r="B93" s="98">
        <v>2</v>
      </c>
      <c r="C93" s="98">
        <f t="shared" si="20"/>
        <v>6</v>
      </c>
      <c r="D93" s="98">
        <f t="shared" si="21"/>
        <v>5</v>
      </c>
      <c r="E93" s="98">
        <f t="shared" si="22"/>
        <v>0</v>
      </c>
      <c r="F93" s="118">
        <f t="shared" ca="1" si="23"/>
        <v>4.9318214399999991E-2</v>
      </c>
      <c r="G93" s="98">
        <v>1</v>
      </c>
      <c r="H93" s="98">
        <v>0</v>
      </c>
      <c r="I93" s="98">
        <v>4</v>
      </c>
      <c r="J93" s="118">
        <f t="shared" ca="1" si="24"/>
        <v>0.19344523437500014</v>
      </c>
      <c r="K93" s="118">
        <f t="shared" ca="1" si="25"/>
        <v>9.5403735435645055E-3</v>
      </c>
      <c r="L93" s="133">
        <f t="shared" ca="1" si="26"/>
        <v>216</v>
      </c>
      <c r="M93" s="130">
        <f t="shared" ca="1" si="27"/>
        <v>784</v>
      </c>
      <c r="N93" s="100">
        <f t="shared" ca="1" si="28"/>
        <v>4</v>
      </c>
      <c r="O93" s="136">
        <f t="shared" ca="1" si="29"/>
        <v>2.6618557453501217</v>
      </c>
      <c r="P93" s="136">
        <f t="shared" ca="1" si="30"/>
        <v>26.618557453501214</v>
      </c>
      <c r="Q93" s="136">
        <f t="shared" ca="1" si="31"/>
        <v>26.618557453501214</v>
      </c>
      <c r="R93" s="136">
        <f t="shared" ca="1" si="32"/>
        <v>2.6618557453501213</v>
      </c>
      <c r="S93" s="136">
        <f t="shared" ca="1" si="33"/>
        <v>2.6618557453501213</v>
      </c>
      <c r="T93" s="104">
        <f t="shared" ca="1" si="34"/>
        <v>2.5395098129723473E-2</v>
      </c>
      <c r="U93" s="87">
        <f t="shared" ca="1" si="35"/>
        <v>1190.4506512506252</v>
      </c>
      <c r="V93" s="104">
        <f t="shared" ca="1" si="36"/>
        <v>11.357343898110601</v>
      </c>
      <c r="W93" s="133">
        <f t="shared" ca="1" si="37"/>
        <v>10953.185867583212</v>
      </c>
      <c r="X93" s="104">
        <f t="shared" ca="1" si="38"/>
        <v>104.49748466883551</v>
      </c>
      <c r="Y93" s="135">
        <f t="shared" ca="1" si="39"/>
        <v>2.0607206854099331</v>
      </c>
      <c r="AE93" s="104"/>
    </row>
    <row r="94" spans="1:31" x14ac:dyDescent="0.2">
      <c r="A94" s="98">
        <v>0</v>
      </c>
      <c r="B94" s="98">
        <v>2</v>
      </c>
      <c r="C94" s="98">
        <f t="shared" si="20"/>
        <v>6</v>
      </c>
      <c r="D94" s="98">
        <f t="shared" si="21"/>
        <v>5</v>
      </c>
      <c r="E94" s="98">
        <f t="shared" si="22"/>
        <v>0</v>
      </c>
      <c r="F94" s="118">
        <f t="shared" ca="1" si="23"/>
        <v>4.9318214399999991E-2</v>
      </c>
      <c r="G94" s="98">
        <v>1</v>
      </c>
      <c r="H94" s="98">
        <v>0</v>
      </c>
      <c r="I94" s="98">
        <v>3</v>
      </c>
      <c r="J94" s="118">
        <f t="shared" ca="1" si="24"/>
        <v>2.0362656250000031E-2</v>
      </c>
      <c r="K94" s="118">
        <f t="shared" ca="1" si="25"/>
        <v>1.0042498466910014E-3</v>
      </c>
      <c r="L94" s="133">
        <f t="shared" ca="1" si="26"/>
        <v>204</v>
      </c>
      <c r="M94" s="130">
        <f t="shared" ca="1" si="27"/>
        <v>796</v>
      </c>
      <c r="N94" s="100">
        <f t="shared" ca="1" si="28"/>
        <v>4</v>
      </c>
      <c r="O94" s="136">
        <f t="shared" ca="1" si="29"/>
        <v>2.6618557453501217</v>
      </c>
      <c r="P94" s="136">
        <f t="shared" ca="1" si="30"/>
        <v>26.618557453501214</v>
      </c>
      <c r="Q94" s="136">
        <f t="shared" ca="1" si="31"/>
        <v>26.618557453501214</v>
      </c>
      <c r="R94" s="136">
        <f t="shared" ca="1" si="32"/>
        <v>2.6618557453501213</v>
      </c>
      <c r="S94" s="136">
        <f t="shared" ca="1" si="33"/>
        <v>2.6618557453501213</v>
      </c>
      <c r="T94" s="104">
        <f t="shared" ca="1" si="34"/>
        <v>2.6731682241814205E-3</v>
      </c>
      <c r="U94" s="87">
        <f t="shared" ca="1" si="35"/>
        <v>1178.4506512506252</v>
      </c>
      <c r="V94" s="104">
        <f t="shared" ca="1" si="36"/>
        <v>1.1834588858513511</v>
      </c>
      <c r="W94" s="133">
        <f t="shared" ca="1" si="37"/>
        <v>8818.0619167872646</v>
      </c>
      <c r="X94" s="104">
        <f t="shared" ca="1" si="38"/>
        <v>8.8555373280453686</v>
      </c>
      <c r="Y94" s="135">
        <f t="shared" ca="1" si="39"/>
        <v>0.20486696872496429</v>
      </c>
      <c r="AE94" s="104"/>
    </row>
    <row r="95" spans="1:31" x14ac:dyDescent="0.2">
      <c r="A95" s="98">
        <v>0</v>
      </c>
      <c r="B95" s="98">
        <v>2</v>
      </c>
      <c r="C95" s="98">
        <f t="shared" si="20"/>
        <v>6</v>
      </c>
      <c r="D95" s="98">
        <f t="shared" si="21"/>
        <v>5</v>
      </c>
      <c r="E95" s="98">
        <f t="shared" si="22"/>
        <v>0</v>
      </c>
      <c r="F95" s="118">
        <f t="shared" ca="1" si="23"/>
        <v>4.9318214399999991E-2</v>
      </c>
      <c r="G95" s="98">
        <v>1</v>
      </c>
      <c r="H95" s="98">
        <v>0</v>
      </c>
      <c r="I95" s="98">
        <v>2</v>
      </c>
      <c r="J95" s="118">
        <f t="shared" ca="1" si="24"/>
        <v>1.0717187500000028E-3</v>
      </c>
      <c r="K95" s="118">
        <f t="shared" ca="1" si="25"/>
        <v>5.2855255089000129E-5</v>
      </c>
      <c r="L95" s="133">
        <f t="shared" ca="1" si="26"/>
        <v>192</v>
      </c>
      <c r="M95" s="130">
        <f t="shared" ca="1" si="27"/>
        <v>808</v>
      </c>
      <c r="N95" s="100">
        <f t="shared" ca="1" si="28"/>
        <v>4</v>
      </c>
      <c r="O95" s="136">
        <f t="shared" ca="1" si="29"/>
        <v>2.6618557453501217</v>
      </c>
      <c r="P95" s="136">
        <f t="shared" ca="1" si="30"/>
        <v>26.618557453501214</v>
      </c>
      <c r="Q95" s="136">
        <f t="shared" ca="1" si="31"/>
        <v>26.618557453501214</v>
      </c>
      <c r="R95" s="136">
        <f t="shared" ca="1" si="32"/>
        <v>2.6618557453501213</v>
      </c>
      <c r="S95" s="136">
        <f t="shared" ca="1" si="33"/>
        <v>2.6618557453501213</v>
      </c>
      <c r="T95" s="104">
        <f t="shared" ca="1" si="34"/>
        <v>1.4069306443060124E-4</v>
      </c>
      <c r="U95" s="87">
        <f t="shared" ca="1" si="35"/>
        <v>1166.4506512506252</v>
      </c>
      <c r="V95" s="104">
        <f t="shared" ca="1" si="36"/>
        <v>6.1653046720582125E-2</v>
      </c>
      <c r="W95" s="133">
        <f t="shared" ca="1" si="37"/>
        <v>6682.9379659913157</v>
      </c>
      <c r="X95" s="104">
        <f t="shared" ca="1" si="38"/>
        <v>0.35322839093643466</v>
      </c>
      <c r="Y95" s="135">
        <f t="shared" ca="1" si="39"/>
        <v>1.0148208977088024E-2</v>
      </c>
      <c r="AE95" s="104"/>
    </row>
    <row r="96" spans="1:31" x14ac:dyDescent="0.2">
      <c r="A96" s="98">
        <v>0</v>
      </c>
      <c r="B96" s="98">
        <v>2</v>
      </c>
      <c r="C96" s="98">
        <f t="shared" si="20"/>
        <v>6</v>
      </c>
      <c r="D96" s="98">
        <f t="shared" si="21"/>
        <v>5</v>
      </c>
      <c r="E96" s="98">
        <f t="shared" si="22"/>
        <v>0</v>
      </c>
      <c r="F96" s="118">
        <f t="shared" ca="1" si="23"/>
        <v>4.9318214399999991E-2</v>
      </c>
      <c r="G96" s="98">
        <v>1</v>
      </c>
      <c r="H96" s="98">
        <v>0</v>
      </c>
      <c r="I96" s="98">
        <v>1</v>
      </c>
      <c r="J96" s="118">
        <f t="shared" ca="1" si="24"/>
        <v>2.8203125000000098E-5</v>
      </c>
      <c r="K96" s="118">
        <f t="shared" ca="1" si="25"/>
        <v>1.3909277655000045E-6</v>
      </c>
      <c r="L96" s="133">
        <f t="shared" ca="1" si="26"/>
        <v>180</v>
      </c>
      <c r="M96" s="130">
        <f t="shared" ca="1" si="27"/>
        <v>820</v>
      </c>
      <c r="N96" s="100">
        <f t="shared" ca="1" si="28"/>
        <v>4</v>
      </c>
      <c r="O96" s="136">
        <f t="shared" ca="1" si="29"/>
        <v>2.6618557453501217</v>
      </c>
      <c r="P96" s="136">
        <f t="shared" ca="1" si="30"/>
        <v>26.618557453501214</v>
      </c>
      <c r="Q96" s="136">
        <f t="shared" ca="1" si="31"/>
        <v>26.618557453501214</v>
      </c>
      <c r="R96" s="136">
        <f t="shared" ca="1" si="32"/>
        <v>2.6618557453501213</v>
      </c>
      <c r="S96" s="136">
        <f t="shared" ca="1" si="33"/>
        <v>2.6618557453501213</v>
      </c>
      <c r="T96" s="104">
        <f t="shared" ca="1" si="34"/>
        <v>3.702449063963193E-6</v>
      </c>
      <c r="U96" s="87">
        <f t="shared" ca="1" si="35"/>
        <v>1154.4506512506252</v>
      </c>
      <c r="V96" s="104">
        <f t="shared" ca="1" si="36"/>
        <v>1.6057574647240572E-3</v>
      </c>
      <c r="W96" s="133">
        <f t="shared" ca="1" si="37"/>
        <v>4547.8140151953685</v>
      </c>
      <c r="X96" s="104">
        <f t="shared" ca="1" si="38"/>
        <v>6.3256807860652972E-3</v>
      </c>
      <c r="Y96" s="135">
        <f t="shared" ca="1" si="39"/>
        <v>2.5036699779000082E-4</v>
      </c>
      <c r="AE96" s="104"/>
    </row>
    <row r="97" spans="1:31" x14ac:dyDescent="0.2">
      <c r="A97" s="98">
        <v>0</v>
      </c>
      <c r="B97" s="98">
        <v>2</v>
      </c>
      <c r="C97" s="98">
        <f t="shared" si="20"/>
        <v>6</v>
      </c>
      <c r="D97" s="98">
        <f t="shared" si="21"/>
        <v>5</v>
      </c>
      <c r="E97" s="98">
        <f t="shared" si="22"/>
        <v>0</v>
      </c>
      <c r="F97" s="118">
        <f t="shared" ca="1" si="23"/>
        <v>4.9318214399999991E-2</v>
      </c>
      <c r="G97" s="98">
        <v>1</v>
      </c>
      <c r="H97" s="98">
        <v>0</v>
      </c>
      <c r="I97" s="98">
        <v>0</v>
      </c>
      <c r="J97" s="118">
        <f t="shared" ca="1" si="24"/>
        <v>2.9687500000000134E-7</v>
      </c>
      <c r="K97" s="118">
        <f t="shared" ca="1" si="25"/>
        <v>1.4641344900000064E-8</v>
      </c>
      <c r="L97" s="133">
        <f t="shared" ca="1" si="26"/>
        <v>168</v>
      </c>
      <c r="M97" s="130">
        <f t="shared" ca="1" si="27"/>
        <v>832</v>
      </c>
      <c r="N97" s="100">
        <f t="shared" ca="1" si="28"/>
        <v>5</v>
      </c>
      <c r="O97" s="136">
        <f t="shared" ca="1" si="29"/>
        <v>3.2590583346360766</v>
      </c>
      <c r="P97" s="136">
        <f t="shared" ca="1" si="30"/>
        <v>28.410165221359076</v>
      </c>
      <c r="Q97" s="136">
        <f t="shared" ca="1" si="31"/>
        <v>26.618557453501214</v>
      </c>
      <c r="R97" s="136">
        <f t="shared" ca="1" si="32"/>
        <v>2.7514361337430144</v>
      </c>
      <c r="S97" s="136">
        <f t="shared" ca="1" si="33"/>
        <v>3.091543008341366</v>
      </c>
      <c r="T97" s="104">
        <f t="shared" ca="1" si="34"/>
        <v>4.5264347458309711E-8</v>
      </c>
      <c r="U97" s="87">
        <f t="shared" ca="1" si="35"/>
        <v>1294.1569825567776</v>
      </c>
      <c r="V97" s="104">
        <f t="shared" ca="1" si="36"/>
        <v>1.8948198736357146E-5</v>
      </c>
      <c r="W97" s="133">
        <f t="shared" ca="1" si="37"/>
        <v>2412.6900643994204</v>
      </c>
      <c r="X97" s="104">
        <f t="shared" ca="1" si="38"/>
        <v>3.5325027369675277E-5</v>
      </c>
      <c r="Y97" s="135">
        <f t="shared" ca="1" si="39"/>
        <v>2.4597459432000106E-6</v>
      </c>
      <c r="AE97" s="104"/>
    </row>
    <row r="98" spans="1:31" x14ac:dyDescent="0.2">
      <c r="A98" s="98">
        <v>0</v>
      </c>
      <c r="B98" s="98">
        <v>2</v>
      </c>
      <c r="C98" s="98">
        <f t="shared" si="20"/>
        <v>6</v>
      </c>
      <c r="D98" s="98">
        <f t="shared" si="21"/>
        <v>5</v>
      </c>
      <c r="E98" s="98">
        <f t="shared" si="22"/>
        <v>0</v>
      </c>
      <c r="F98" s="118">
        <f t="shared" ca="1" si="23"/>
        <v>4.9318214399999991E-2</v>
      </c>
      <c r="G98" s="98">
        <v>0</v>
      </c>
      <c r="H98" s="98">
        <v>1</v>
      </c>
      <c r="I98" s="98">
        <v>7</v>
      </c>
      <c r="J98" s="118">
        <f t="shared" si="24"/>
        <v>0</v>
      </c>
      <c r="K98" s="118">
        <f t="shared" ca="1" si="25"/>
        <v>0</v>
      </c>
      <c r="L98" s="133">
        <f t="shared" ca="1" si="26"/>
        <v>252</v>
      </c>
      <c r="M98" s="130">
        <f t="shared" ca="1" si="27"/>
        <v>748</v>
      </c>
      <c r="N98" s="100">
        <f t="shared" ca="1" si="28"/>
        <v>4</v>
      </c>
      <c r="O98" s="136">
        <f t="shared" ca="1" si="29"/>
        <v>2.6618557453501217</v>
      </c>
      <c r="P98" s="136">
        <f t="shared" ca="1" si="30"/>
        <v>26.618557453501214</v>
      </c>
      <c r="Q98" s="136">
        <f t="shared" ca="1" si="31"/>
        <v>26.618557453501214</v>
      </c>
      <c r="R98" s="136">
        <f t="shared" ca="1" si="32"/>
        <v>2.6618557453501213</v>
      </c>
      <c r="S98" s="136">
        <f t="shared" ca="1" si="33"/>
        <v>2.6618557453501213</v>
      </c>
      <c r="T98" s="104">
        <f t="shared" ca="1" si="34"/>
        <v>0</v>
      </c>
      <c r="U98" s="87">
        <f t="shared" ca="1" si="35"/>
        <v>1226.4506512506252</v>
      </c>
      <c r="V98" s="104">
        <f t="shared" ca="1" si="36"/>
        <v>0</v>
      </c>
      <c r="W98" s="133">
        <f t="shared" ca="1" si="37"/>
        <v>17080.991606367581</v>
      </c>
      <c r="X98" s="104">
        <f t="shared" ca="1" si="38"/>
        <v>0</v>
      </c>
      <c r="Y98" s="135">
        <f t="shared" ca="1" si="39"/>
        <v>0</v>
      </c>
      <c r="AE98" s="104"/>
    </row>
    <row r="99" spans="1:31" x14ac:dyDescent="0.2">
      <c r="A99" s="98">
        <v>0</v>
      </c>
      <c r="B99" s="98">
        <v>2</v>
      </c>
      <c r="C99" s="98">
        <f t="shared" si="20"/>
        <v>6</v>
      </c>
      <c r="D99" s="98">
        <f t="shared" si="21"/>
        <v>5</v>
      </c>
      <c r="E99" s="98">
        <f t="shared" si="22"/>
        <v>0</v>
      </c>
      <c r="F99" s="118">
        <f t="shared" ca="1" si="23"/>
        <v>4.9318214399999991E-2</v>
      </c>
      <c r="G99" s="98">
        <v>0</v>
      </c>
      <c r="H99" s="98">
        <v>1</v>
      </c>
      <c r="I99" s="98">
        <v>6</v>
      </c>
      <c r="J99" s="118">
        <f t="shared" si="24"/>
        <v>0</v>
      </c>
      <c r="K99" s="118">
        <f t="shared" ca="1" si="25"/>
        <v>0</v>
      </c>
      <c r="L99" s="133">
        <f t="shared" ca="1" si="26"/>
        <v>240</v>
      </c>
      <c r="M99" s="130">
        <f t="shared" ca="1" si="27"/>
        <v>760</v>
      </c>
      <c r="N99" s="100">
        <f t="shared" ca="1" si="28"/>
        <v>4</v>
      </c>
      <c r="O99" s="136">
        <f t="shared" ca="1" si="29"/>
        <v>2.6618557453501217</v>
      </c>
      <c r="P99" s="136">
        <f t="shared" ca="1" si="30"/>
        <v>26.618557453501214</v>
      </c>
      <c r="Q99" s="136">
        <f t="shared" ca="1" si="31"/>
        <v>26.618557453501214</v>
      </c>
      <c r="R99" s="136">
        <f t="shared" ca="1" si="32"/>
        <v>2.6618557453501213</v>
      </c>
      <c r="S99" s="136">
        <f t="shared" ca="1" si="33"/>
        <v>2.6618557453501213</v>
      </c>
      <c r="T99" s="104">
        <f t="shared" ca="1" si="34"/>
        <v>0</v>
      </c>
      <c r="U99" s="87">
        <f t="shared" ca="1" si="35"/>
        <v>1214.4506512506252</v>
      </c>
      <c r="V99" s="104">
        <f t="shared" ca="1" si="36"/>
        <v>0</v>
      </c>
      <c r="W99" s="133">
        <f t="shared" ca="1" si="37"/>
        <v>14945.867655571634</v>
      </c>
      <c r="X99" s="104">
        <f t="shared" ca="1" si="38"/>
        <v>0</v>
      </c>
      <c r="Y99" s="135">
        <f t="shared" ca="1" si="39"/>
        <v>0</v>
      </c>
      <c r="AE99" s="104"/>
    </row>
    <row r="100" spans="1:31" x14ac:dyDescent="0.2">
      <c r="A100" s="98">
        <v>0</v>
      </c>
      <c r="B100" s="98">
        <v>2</v>
      </c>
      <c r="C100" s="98">
        <f t="shared" si="20"/>
        <v>6</v>
      </c>
      <c r="D100" s="98">
        <f t="shared" si="21"/>
        <v>5</v>
      </c>
      <c r="E100" s="98">
        <f t="shared" si="22"/>
        <v>0</v>
      </c>
      <c r="F100" s="118">
        <f t="shared" ca="1" si="23"/>
        <v>4.9318214399999991E-2</v>
      </c>
      <c r="G100" s="98">
        <v>0</v>
      </c>
      <c r="H100" s="98">
        <v>1</v>
      </c>
      <c r="I100" s="98">
        <v>5</v>
      </c>
      <c r="J100" s="118">
        <f t="shared" ca="1" si="24"/>
        <v>0</v>
      </c>
      <c r="K100" s="118">
        <f t="shared" ca="1" si="25"/>
        <v>0</v>
      </c>
      <c r="L100" s="133">
        <f t="shared" ca="1" si="26"/>
        <v>228</v>
      </c>
      <c r="M100" s="130">
        <f t="shared" ca="1" si="27"/>
        <v>772</v>
      </c>
      <c r="N100" s="100">
        <f t="shared" ca="1" si="28"/>
        <v>4</v>
      </c>
      <c r="O100" s="136">
        <f t="shared" ca="1" si="29"/>
        <v>2.6618557453501217</v>
      </c>
      <c r="P100" s="136">
        <f t="shared" ca="1" si="30"/>
        <v>26.618557453501214</v>
      </c>
      <c r="Q100" s="136">
        <f t="shared" ca="1" si="31"/>
        <v>26.618557453501214</v>
      </c>
      <c r="R100" s="136">
        <f t="shared" ca="1" si="32"/>
        <v>2.6618557453501213</v>
      </c>
      <c r="S100" s="136">
        <f t="shared" ca="1" si="33"/>
        <v>2.6618557453501213</v>
      </c>
      <c r="T100" s="104">
        <f t="shared" ca="1" si="34"/>
        <v>0</v>
      </c>
      <c r="U100" s="87">
        <f t="shared" ca="1" si="35"/>
        <v>1202.4506512506252</v>
      </c>
      <c r="V100" s="104">
        <f t="shared" ca="1" si="36"/>
        <v>0</v>
      </c>
      <c r="W100" s="133">
        <f t="shared" ca="1" si="37"/>
        <v>12810.743704775685</v>
      </c>
      <c r="X100" s="104">
        <f t="shared" ca="1" si="38"/>
        <v>0</v>
      </c>
      <c r="Y100" s="135">
        <f t="shared" ca="1" si="39"/>
        <v>0</v>
      </c>
      <c r="AE100" s="104"/>
    </row>
    <row r="101" spans="1:31" x14ac:dyDescent="0.2">
      <c r="A101" s="98">
        <v>0</v>
      </c>
      <c r="B101" s="98">
        <v>2</v>
      </c>
      <c r="C101" s="98">
        <f t="shared" si="20"/>
        <v>6</v>
      </c>
      <c r="D101" s="98">
        <f t="shared" si="21"/>
        <v>5</v>
      </c>
      <c r="E101" s="98">
        <f t="shared" si="22"/>
        <v>0</v>
      </c>
      <c r="F101" s="118">
        <f t="shared" ca="1" si="23"/>
        <v>4.9318214399999991E-2</v>
      </c>
      <c r="G101" s="98">
        <v>0</v>
      </c>
      <c r="H101" s="98">
        <v>1</v>
      </c>
      <c r="I101" s="98">
        <v>4</v>
      </c>
      <c r="J101" s="118">
        <f t="shared" ca="1" si="24"/>
        <v>0</v>
      </c>
      <c r="K101" s="118">
        <f t="shared" ca="1" si="25"/>
        <v>0</v>
      </c>
      <c r="L101" s="133">
        <f t="shared" ca="1" si="26"/>
        <v>216</v>
      </c>
      <c r="M101" s="130">
        <f t="shared" ca="1" si="27"/>
        <v>784</v>
      </c>
      <c r="N101" s="100">
        <f t="shared" ca="1" si="28"/>
        <v>4</v>
      </c>
      <c r="O101" s="136">
        <f t="shared" ca="1" si="29"/>
        <v>2.6618557453501217</v>
      </c>
      <c r="P101" s="136">
        <f t="shared" ca="1" si="30"/>
        <v>26.618557453501214</v>
      </c>
      <c r="Q101" s="136">
        <f t="shared" ca="1" si="31"/>
        <v>26.618557453501214</v>
      </c>
      <c r="R101" s="136">
        <f t="shared" ca="1" si="32"/>
        <v>2.6618557453501213</v>
      </c>
      <c r="S101" s="136">
        <f t="shared" ca="1" si="33"/>
        <v>2.6618557453501213</v>
      </c>
      <c r="T101" s="104">
        <f t="shared" ca="1" si="34"/>
        <v>0</v>
      </c>
      <c r="U101" s="87">
        <f t="shared" ca="1" si="35"/>
        <v>1190.4506512506252</v>
      </c>
      <c r="V101" s="104">
        <f t="shared" ca="1" si="36"/>
        <v>0</v>
      </c>
      <c r="W101" s="133">
        <f t="shared" ca="1" si="37"/>
        <v>10675.619753979738</v>
      </c>
      <c r="X101" s="104">
        <f t="shared" ca="1" si="38"/>
        <v>0</v>
      </c>
      <c r="Y101" s="135">
        <f t="shared" ca="1" si="39"/>
        <v>0</v>
      </c>
      <c r="AE101" s="104"/>
    </row>
    <row r="102" spans="1:31" x14ac:dyDescent="0.2">
      <c r="A102" s="98">
        <v>0</v>
      </c>
      <c r="B102" s="98">
        <v>2</v>
      </c>
      <c r="C102" s="98">
        <f t="shared" si="20"/>
        <v>6</v>
      </c>
      <c r="D102" s="98">
        <f t="shared" si="21"/>
        <v>5</v>
      </c>
      <c r="E102" s="98">
        <f t="shared" si="22"/>
        <v>0</v>
      </c>
      <c r="F102" s="118">
        <f t="shared" ca="1" si="23"/>
        <v>4.9318214399999991E-2</v>
      </c>
      <c r="G102" s="98">
        <v>0</v>
      </c>
      <c r="H102" s="98">
        <v>1</v>
      </c>
      <c r="I102" s="98">
        <v>3</v>
      </c>
      <c r="J102" s="118">
        <f t="shared" ca="1" si="24"/>
        <v>0</v>
      </c>
      <c r="K102" s="118">
        <f t="shared" ca="1" si="25"/>
        <v>0</v>
      </c>
      <c r="L102" s="133">
        <f t="shared" ca="1" si="26"/>
        <v>204</v>
      </c>
      <c r="M102" s="130">
        <f t="shared" ca="1" si="27"/>
        <v>796</v>
      </c>
      <c r="N102" s="100">
        <f t="shared" ca="1" si="28"/>
        <v>4</v>
      </c>
      <c r="O102" s="136">
        <f t="shared" ca="1" si="29"/>
        <v>2.6618557453501217</v>
      </c>
      <c r="P102" s="136">
        <f t="shared" ca="1" si="30"/>
        <v>26.618557453501214</v>
      </c>
      <c r="Q102" s="136">
        <f t="shared" ca="1" si="31"/>
        <v>26.618557453501214</v>
      </c>
      <c r="R102" s="136">
        <f t="shared" ca="1" si="32"/>
        <v>2.6618557453501213</v>
      </c>
      <c r="S102" s="136">
        <f t="shared" ca="1" si="33"/>
        <v>2.6618557453501213</v>
      </c>
      <c r="T102" s="104">
        <f t="shared" ca="1" si="34"/>
        <v>0</v>
      </c>
      <c r="U102" s="87">
        <f t="shared" ca="1" si="35"/>
        <v>1178.4506512506252</v>
      </c>
      <c r="V102" s="104">
        <f t="shared" ca="1" si="36"/>
        <v>0</v>
      </c>
      <c r="W102" s="133">
        <f t="shared" ca="1" si="37"/>
        <v>8540.4958031837905</v>
      </c>
      <c r="X102" s="104">
        <f t="shared" ca="1" si="38"/>
        <v>0</v>
      </c>
      <c r="Y102" s="135">
        <f t="shared" ca="1" si="39"/>
        <v>0</v>
      </c>
      <c r="AE102" s="104"/>
    </row>
    <row r="103" spans="1:31" x14ac:dyDescent="0.2">
      <c r="A103" s="98">
        <v>0</v>
      </c>
      <c r="B103" s="98">
        <v>2</v>
      </c>
      <c r="C103" s="98">
        <f t="shared" si="20"/>
        <v>6</v>
      </c>
      <c r="D103" s="98">
        <f t="shared" si="21"/>
        <v>5</v>
      </c>
      <c r="E103" s="98">
        <f t="shared" si="22"/>
        <v>0</v>
      </c>
      <c r="F103" s="118">
        <f t="shared" ca="1" si="23"/>
        <v>4.9318214399999991E-2</v>
      </c>
      <c r="G103" s="98">
        <v>0</v>
      </c>
      <c r="H103" s="98">
        <v>1</v>
      </c>
      <c r="I103" s="98">
        <v>2</v>
      </c>
      <c r="J103" s="118">
        <f t="shared" ca="1" si="24"/>
        <v>0</v>
      </c>
      <c r="K103" s="118">
        <f t="shared" ca="1" si="25"/>
        <v>0</v>
      </c>
      <c r="L103" s="133">
        <f t="shared" ca="1" si="26"/>
        <v>192</v>
      </c>
      <c r="M103" s="130">
        <f t="shared" ca="1" si="27"/>
        <v>808</v>
      </c>
      <c r="N103" s="100">
        <f t="shared" ca="1" si="28"/>
        <v>4</v>
      </c>
      <c r="O103" s="136">
        <f t="shared" ca="1" si="29"/>
        <v>2.6618557453501217</v>
      </c>
      <c r="P103" s="136">
        <f t="shared" ca="1" si="30"/>
        <v>26.618557453501214</v>
      </c>
      <c r="Q103" s="136">
        <f t="shared" ca="1" si="31"/>
        <v>26.618557453501214</v>
      </c>
      <c r="R103" s="136">
        <f t="shared" ca="1" si="32"/>
        <v>2.6618557453501213</v>
      </c>
      <c r="S103" s="136">
        <f t="shared" ca="1" si="33"/>
        <v>2.6618557453501213</v>
      </c>
      <c r="T103" s="104">
        <f t="shared" ca="1" si="34"/>
        <v>0</v>
      </c>
      <c r="U103" s="87">
        <f t="shared" ca="1" si="35"/>
        <v>1166.4506512506252</v>
      </c>
      <c r="V103" s="104">
        <f t="shared" ca="1" si="36"/>
        <v>0</v>
      </c>
      <c r="W103" s="133">
        <f t="shared" ca="1" si="37"/>
        <v>6405.3718523878433</v>
      </c>
      <c r="X103" s="104">
        <f t="shared" ca="1" si="38"/>
        <v>0</v>
      </c>
      <c r="Y103" s="135">
        <f t="shared" ca="1" si="39"/>
        <v>0</v>
      </c>
      <c r="AE103" s="104"/>
    </row>
    <row r="104" spans="1:31" x14ac:dyDescent="0.2">
      <c r="A104" s="98">
        <v>0</v>
      </c>
      <c r="B104" s="98">
        <v>2</v>
      </c>
      <c r="C104" s="98">
        <f t="shared" si="20"/>
        <v>6</v>
      </c>
      <c r="D104" s="98">
        <f t="shared" si="21"/>
        <v>5</v>
      </c>
      <c r="E104" s="98">
        <f t="shared" si="22"/>
        <v>0</v>
      </c>
      <c r="F104" s="118">
        <f t="shared" ca="1" si="23"/>
        <v>4.9318214399999991E-2</v>
      </c>
      <c r="G104" s="98">
        <v>0</v>
      </c>
      <c r="H104" s="98">
        <v>1</v>
      </c>
      <c r="I104" s="98">
        <v>1</v>
      </c>
      <c r="J104" s="118">
        <f t="shared" ca="1" si="24"/>
        <v>0</v>
      </c>
      <c r="K104" s="118">
        <f t="shared" ca="1" si="25"/>
        <v>0</v>
      </c>
      <c r="L104" s="133">
        <f t="shared" ca="1" si="26"/>
        <v>180</v>
      </c>
      <c r="M104" s="130">
        <f t="shared" ca="1" si="27"/>
        <v>820</v>
      </c>
      <c r="N104" s="100">
        <f t="shared" ca="1" si="28"/>
        <v>4</v>
      </c>
      <c r="O104" s="136">
        <f t="shared" ca="1" si="29"/>
        <v>2.6618557453501217</v>
      </c>
      <c r="P104" s="136">
        <f t="shared" ca="1" si="30"/>
        <v>26.618557453501214</v>
      </c>
      <c r="Q104" s="136">
        <f t="shared" ca="1" si="31"/>
        <v>26.618557453501214</v>
      </c>
      <c r="R104" s="136">
        <f t="shared" ca="1" si="32"/>
        <v>2.6618557453501213</v>
      </c>
      <c r="S104" s="136">
        <f t="shared" ca="1" si="33"/>
        <v>2.6618557453501213</v>
      </c>
      <c r="T104" s="104">
        <f t="shared" ca="1" si="34"/>
        <v>0</v>
      </c>
      <c r="U104" s="87">
        <f t="shared" ca="1" si="35"/>
        <v>1154.4506512506252</v>
      </c>
      <c r="V104" s="104">
        <f t="shared" ca="1" si="36"/>
        <v>0</v>
      </c>
      <c r="W104" s="133">
        <f t="shared" ca="1" si="37"/>
        <v>4270.2479015918952</v>
      </c>
      <c r="X104" s="104">
        <f t="shared" ca="1" si="38"/>
        <v>0</v>
      </c>
      <c r="Y104" s="135">
        <f t="shared" ca="1" si="39"/>
        <v>0</v>
      </c>
      <c r="AE104" s="104"/>
    </row>
    <row r="105" spans="1:31" x14ac:dyDescent="0.2">
      <c r="A105" s="98">
        <v>0</v>
      </c>
      <c r="B105" s="98">
        <v>2</v>
      </c>
      <c r="C105" s="98">
        <f t="shared" si="20"/>
        <v>6</v>
      </c>
      <c r="D105" s="98">
        <f t="shared" si="21"/>
        <v>5</v>
      </c>
      <c r="E105" s="98">
        <f t="shared" si="22"/>
        <v>0</v>
      </c>
      <c r="F105" s="118">
        <f t="shared" ca="1" si="23"/>
        <v>4.9318214399999991E-2</v>
      </c>
      <c r="G105" s="98">
        <v>0</v>
      </c>
      <c r="H105" s="98">
        <v>1</v>
      </c>
      <c r="I105" s="98">
        <v>0</v>
      </c>
      <c r="J105" s="118">
        <f t="shared" ca="1" si="24"/>
        <v>0</v>
      </c>
      <c r="K105" s="118">
        <f t="shared" ca="1" si="25"/>
        <v>0</v>
      </c>
      <c r="L105" s="133">
        <f t="shared" ca="1" si="26"/>
        <v>168</v>
      </c>
      <c r="M105" s="130">
        <f t="shared" ca="1" si="27"/>
        <v>832</v>
      </c>
      <c r="N105" s="100">
        <f t="shared" ca="1" si="28"/>
        <v>5</v>
      </c>
      <c r="O105" s="136">
        <f t="shared" ca="1" si="29"/>
        <v>3.2590583346360766</v>
      </c>
      <c r="P105" s="136">
        <f t="shared" ca="1" si="30"/>
        <v>28.410165221359076</v>
      </c>
      <c r="Q105" s="136">
        <f t="shared" ca="1" si="31"/>
        <v>26.618557453501214</v>
      </c>
      <c r="R105" s="136">
        <f t="shared" ca="1" si="32"/>
        <v>2.7514361337430144</v>
      </c>
      <c r="S105" s="136">
        <f t="shared" ca="1" si="33"/>
        <v>3.091543008341366</v>
      </c>
      <c r="T105" s="104">
        <f t="shared" ca="1" si="34"/>
        <v>0</v>
      </c>
      <c r="U105" s="87">
        <f t="shared" ca="1" si="35"/>
        <v>1294.1569825567776</v>
      </c>
      <c r="V105" s="104">
        <f t="shared" ca="1" si="36"/>
        <v>0</v>
      </c>
      <c r="W105" s="133">
        <f t="shared" ca="1" si="37"/>
        <v>2135.1239507959476</v>
      </c>
      <c r="X105" s="104">
        <f t="shared" ca="1" si="38"/>
        <v>0</v>
      </c>
      <c r="Y105" s="135">
        <f t="shared" ca="1" si="39"/>
        <v>0</v>
      </c>
      <c r="AE105" s="104"/>
    </row>
    <row r="106" spans="1:31" x14ac:dyDescent="0.2">
      <c r="A106" s="98">
        <v>0</v>
      </c>
      <c r="B106" s="98">
        <v>2</v>
      </c>
      <c r="C106" s="98">
        <f t="shared" si="20"/>
        <v>6</v>
      </c>
      <c r="D106" s="98">
        <f t="shared" si="21"/>
        <v>5</v>
      </c>
      <c r="E106" s="98">
        <f t="shared" si="22"/>
        <v>0</v>
      </c>
      <c r="F106" s="118">
        <f t="shared" ca="1" si="23"/>
        <v>4.9318214399999991E-2</v>
      </c>
      <c r="G106" s="98">
        <v>0</v>
      </c>
      <c r="H106" s="98">
        <v>0</v>
      </c>
      <c r="I106" s="98">
        <v>7</v>
      </c>
      <c r="J106" s="118">
        <f t="shared" si="24"/>
        <v>0</v>
      </c>
      <c r="K106" s="118">
        <f t="shared" ca="1" si="25"/>
        <v>0</v>
      </c>
      <c r="L106" s="133">
        <f t="shared" ca="1" si="26"/>
        <v>84</v>
      </c>
      <c r="M106" s="130">
        <f t="shared" ca="1" si="27"/>
        <v>916</v>
      </c>
      <c r="N106" s="100">
        <f t="shared" ca="1" si="28"/>
        <v>5</v>
      </c>
      <c r="O106" s="136">
        <f t="shared" ca="1" si="29"/>
        <v>3.2590583346360766</v>
      </c>
      <c r="P106" s="136">
        <f t="shared" ca="1" si="30"/>
        <v>32.590583346360766</v>
      </c>
      <c r="Q106" s="136">
        <f t="shared" ca="1" si="31"/>
        <v>32.590583346360766</v>
      </c>
      <c r="R106" s="136">
        <f t="shared" ca="1" si="32"/>
        <v>3.2590583346360766</v>
      </c>
      <c r="S106" s="136">
        <f t="shared" ca="1" si="33"/>
        <v>3.2590583346360766</v>
      </c>
      <c r="T106" s="104">
        <f t="shared" ca="1" si="34"/>
        <v>0</v>
      </c>
      <c r="U106" s="87">
        <f t="shared" ca="1" si="35"/>
        <v>1269.3003125517403</v>
      </c>
      <c r="V106" s="104">
        <f t="shared" ca="1" si="36"/>
        <v>0</v>
      </c>
      <c r="W106" s="133">
        <f t="shared" ca="1" si="37"/>
        <v>14945.867655571634</v>
      </c>
      <c r="X106" s="104">
        <f t="shared" ca="1" si="38"/>
        <v>0</v>
      </c>
      <c r="Y106" s="135">
        <f t="shared" ca="1" si="39"/>
        <v>0</v>
      </c>
      <c r="AE106" s="104"/>
    </row>
    <row r="107" spans="1:31" x14ac:dyDescent="0.2">
      <c r="A107" s="98">
        <v>0</v>
      </c>
      <c r="B107" s="98">
        <v>2</v>
      </c>
      <c r="C107" s="98">
        <f t="shared" si="20"/>
        <v>6</v>
      </c>
      <c r="D107" s="98">
        <f t="shared" si="21"/>
        <v>5</v>
      </c>
      <c r="E107" s="98">
        <f t="shared" si="22"/>
        <v>0</v>
      </c>
      <c r="F107" s="118">
        <f t="shared" ca="1" si="23"/>
        <v>4.9318214399999991E-2</v>
      </c>
      <c r="G107" s="98">
        <v>0</v>
      </c>
      <c r="H107" s="98">
        <v>0</v>
      </c>
      <c r="I107" s="98">
        <v>6</v>
      </c>
      <c r="J107" s="118">
        <f t="shared" si="24"/>
        <v>0</v>
      </c>
      <c r="K107" s="118">
        <f t="shared" ca="1" si="25"/>
        <v>0</v>
      </c>
      <c r="L107" s="133">
        <f t="shared" ca="1" si="26"/>
        <v>72</v>
      </c>
      <c r="M107" s="130">
        <f t="shared" ca="1" si="27"/>
        <v>928</v>
      </c>
      <c r="N107" s="100">
        <f t="shared" ca="1" si="28"/>
        <v>5</v>
      </c>
      <c r="O107" s="136">
        <f t="shared" ca="1" si="29"/>
        <v>3.2590583346360766</v>
      </c>
      <c r="P107" s="136">
        <f t="shared" ca="1" si="30"/>
        <v>32.590583346360766</v>
      </c>
      <c r="Q107" s="136">
        <f t="shared" ca="1" si="31"/>
        <v>32.590583346360766</v>
      </c>
      <c r="R107" s="136">
        <f t="shared" ca="1" si="32"/>
        <v>3.2590583346360766</v>
      </c>
      <c r="S107" s="136">
        <f t="shared" ca="1" si="33"/>
        <v>3.2590583346360766</v>
      </c>
      <c r="T107" s="104">
        <f t="shared" ca="1" si="34"/>
        <v>0</v>
      </c>
      <c r="U107" s="87">
        <f t="shared" ca="1" si="35"/>
        <v>1257.3003125517403</v>
      </c>
      <c r="V107" s="104">
        <f t="shared" ca="1" si="36"/>
        <v>0</v>
      </c>
      <c r="W107" s="133">
        <f t="shared" ca="1" si="37"/>
        <v>12810.743704775687</v>
      </c>
      <c r="X107" s="104">
        <f t="shared" ca="1" si="38"/>
        <v>0</v>
      </c>
      <c r="Y107" s="135">
        <f t="shared" ca="1" si="39"/>
        <v>0</v>
      </c>
      <c r="AE107" s="104"/>
    </row>
    <row r="108" spans="1:31" x14ac:dyDescent="0.2">
      <c r="A108" s="98">
        <v>0</v>
      </c>
      <c r="B108" s="98">
        <v>2</v>
      </c>
      <c r="C108" s="98">
        <f t="shared" si="20"/>
        <v>6</v>
      </c>
      <c r="D108" s="98">
        <f t="shared" si="21"/>
        <v>5</v>
      </c>
      <c r="E108" s="98">
        <f t="shared" si="22"/>
        <v>0</v>
      </c>
      <c r="F108" s="118">
        <f t="shared" ca="1" si="23"/>
        <v>4.9318214399999991E-2</v>
      </c>
      <c r="G108" s="98">
        <v>0</v>
      </c>
      <c r="H108" s="98">
        <v>0</v>
      </c>
      <c r="I108" s="98">
        <v>5</v>
      </c>
      <c r="J108" s="118">
        <f t="shared" ca="1" si="24"/>
        <v>3.8689046875000001E-2</v>
      </c>
      <c r="K108" s="118">
        <f t="shared" ca="1" si="25"/>
        <v>1.9080747087128996E-3</v>
      </c>
      <c r="L108" s="133">
        <f t="shared" ca="1" si="26"/>
        <v>60</v>
      </c>
      <c r="M108" s="130">
        <f t="shared" ca="1" si="27"/>
        <v>940</v>
      </c>
      <c r="N108" s="100">
        <f t="shared" ca="1" si="28"/>
        <v>5</v>
      </c>
      <c r="O108" s="136">
        <f t="shared" ca="1" si="29"/>
        <v>3.2590583346360766</v>
      </c>
      <c r="P108" s="136">
        <f t="shared" ca="1" si="30"/>
        <v>32.590583346360766</v>
      </c>
      <c r="Q108" s="136">
        <f t="shared" ca="1" si="31"/>
        <v>32.590583346360766</v>
      </c>
      <c r="R108" s="136">
        <f t="shared" ca="1" si="32"/>
        <v>3.2590583346360766</v>
      </c>
      <c r="S108" s="136">
        <f t="shared" ca="1" si="33"/>
        <v>3.2590583346360766</v>
      </c>
      <c r="T108" s="104">
        <f t="shared" ca="1" si="34"/>
        <v>6.2185267825390798E-3</v>
      </c>
      <c r="U108" s="87">
        <f t="shared" ca="1" si="35"/>
        <v>1245.3003125517403</v>
      </c>
      <c r="V108" s="104">
        <f t="shared" ca="1" si="36"/>
        <v>2.3761260311322445</v>
      </c>
      <c r="W108" s="133">
        <f t="shared" ca="1" si="37"/>
        <v>10675.619753979738</v>
      </c>
      <c r="X108" s="104">
        <f t="shared" ca="1" si="38"/>
        <v>20.369880052404564</v>
      </c>
      <c r="Y108" s="135">
        <f t="shared" ca="1" si="39"/>
        <v>0.11448448252277398</v>
      </c>
      <c r="AE108" s="104"/>
    </row>
    <row r="109" spans="1:31" x14ac:dyDescent="0.2">
      <c r="A109" s="98">
        <v>0</v>
      </c>
      <c r="B109" s="98">
        <v>2</v>
      </c>
      <c r="C109" s="98">
        <f t="shared" si="20"/>
        <v>6</v>
      </c>
      <c r="D109" s="98">
        <f t="shared" si="21"/>
        <v>5</v>
      </c>
      <c r="E109" s="98">
        <f t="shared" si="22"/>
        <v>0</v>
      </c>
      <c r="F109" s="118">
        <f t="shared" ca="1" si="23"/>
        <v>4.9318214399999991E-2</v>
      </c>
      <c r="G109" s="98">
        <v>0</v>
      </c>
      <c r="H109" s="98">
        <v>0</v>
      </c>
      <c r="I109" s="98">
        <v>4</v>
      </c>
      <c r="J109" s="118">
        <f t="shared" ca="1" si="24"/>
        <v>1.0181328125000009E-2</v>
      </c>
      <c r="K109" s="118">
        <f t="shared" ca="1" si="25"/>
        <v>5.0212492334550027E-4</v>
      </c>
      <c r="L109" s="133">
        <f t="shared" ca="1" si="26"/>
        <v>48</v>
      </c>
      <c r="M109" s="130">
        <f t="shared" ca="1" si="27"/>
        <v>952</v>
      </c>
      <c r="N109" s="100">
        <f t="shared" ca="1" si="28"/>
        <v>5</v>
      </c>
      <c r="O109" s="136">
        <f t="shared" ca="1" si="29"/>
        <v>3.2590583346360766</v>
      </c>
      <c r="P109" s="136">
        <f t="shared" ca="1" si="30"/>
        <v>32.590583346360766</v>
      </c>
      <c r="Q109" s="136">
        <f t="shared" ca="1" si="31"/>
        <v>32.590583346360766</v>
      </c>
      <c r="R109" s="136">
        <f t="shared" ca="1" si="32"/>
        <v>3.2590583346360766</v>
      </c>
      <c r="S109" s="136">
        <f t="shared" ca="1" si="33"/>
        <v>3.2590583346360766</v>
      </c>
      <c r="T109" s="104">
        <f t="shared" ca="1" si="34"/>
        <v>1.6364544164576538E-3</v>
      </c>
      <c r="U109" s="87">
        <f t="shared" ca="1" si="35"/>
        <v>1233.3003125517403</v>
      </c>
      <c r="V109" s="104">
        <f t="shared" ca="1" si="36"/>
        <v>0.61927082490202412</v>
      </c>
      <c r="W109" s="133">
        <f t="shared" ca="1" si="37"/>
        <v>8540.4958031837905</v>
      </c>
      <c r="X109" s="104">
        <f t="shared" ca="1" si="38"/>
        <v>4.2883958005062279</v>
      </c>
      <c r="Y109" s="135">
        <f t="shared" ca="1" si="39"/>
        <v>2.4101996320584011E-2</v>
      </c>
      <c r="AE109" s="104"/>
    </row>
    <row r="110" spans="1:31" x14ac:dyDescent="0.2">
      <c r="A110" s="98">
        <v>0</v>
      </c>
      <c r="B110" s="98">
        <v>2</v>
      </c>
      <c r="C110" s="98">
        <f t="shared" si="20"/>
        <v>6</v>
      </c>
      <c r="D110" s="98">
        <f t="shared" si="21"/>
        <v>5</v>
      </c>
      <c r="E110" s="98">
        <f t="shared" si="22"/>
        <v>0</v>
      </c>
      <c r="F110" s="118">
        <f t="shared" ca="1" si="23"/>
        <v>4.9318214399999991E-2</v>
      </c>
      <c r="G110" s="98">
        <v>0</v>
      </c>
      <c r="H110" s="98">
        <v>0</v>
      </c>
      <c r="I110" s="98">
        <v>3</v>
      </c>
      <c r="J110" s="118">
        <f t="shared" ca="1" si="24"/>
        <v>1.0717187500000017E-3</v>
      </c>
      <c r="K110" s="118">
        <f t="shared" ca="1" si="25"/>
        <v>5.2855255089000075E-5</v>
      </c>
      <c r="L110" s="133">
        <f t="shared" ca="1" si="26"/>
        <v>36</v>
      </c>
      <c r="M110" s="130">
        <f t="shared" ca="1" si="27"/>
        <v>964</v>
      </c>
      <c r="N110" s="100">
        <f t="shared" ca="1" si="28"/>
        <v>5</v>
      </c>
      <c r="O110" s="136">
        <f t="shared" ca="1" si="29"/>
        <v>3.2590583346360766</v>
      </c>
      <c r="P110" s="136">
        <f t="shared" ca="1" si="30"/>
        <v>32.590583346360766</v>
      </c>
      <c r="Q110" s="136">
        <f t="shared" ca="1" si="31"/>
        <v>32.590583346360766</v>
      </c>
      <c r="R110" s="136">
        <f t="shared" ca="1" si="32"/>
        <v>3.2590583346360766</v>
      </c>
      <c r="S110" s="136">
        <f t="shared" ca="1" si="33"/>
        <v>3.2590583346360766</v>
      </c>
      <c r="T110" s="104">
        <f t="shared" ca="1" si="34"/>
        <v>1.722583596271216E-4</v>
      </c>
      <c r="U110" s="87">
        <f t="shared" ca="1" si="35"/>
        <v>1221.3003125517403</v>
      </c>
      <c r="V110" s="104">
        <f t="shared" ca="1" si="36"/>
        <v>6.4552139560197758E-2</v>
      </c>
      <c r="W110" s="133">
        <f t="shared" ca="1" si="37"/>
        <v>6405.3718523878433</v>
      </c>
      <c r="X110" s="104">
        <f t="shared" ca="1" si="38"/>
        <v>0.3385575631978604</v>
      </c>
      <c r="Y110" s="135">
        <f t="shared" ca="1" si="39"/>
        <v>1.9027891832040027E-3</v>
      </c>
      <c r="AE110" s="104"/>
    </row>
    <row r="111" spans="1:31" x14ac:dyDescent="0.2">
      <c r="A111" s="98">
        <v>0</v>
      </c>
      <c r="B111" s="98">
        <v>2</v>
      </c>
      <c r="C111" s="98">
        <f t="shared" si="20"/>
        <v>6</v>
      </c>
      <c r="D111" s="98">
        <f t="shared" si="21"/>
        <v>5</v>
      </c>
      <c r="E111" s="98">
        <f t="shared" si="22"/>
        <v>0</v>
      </c>
      <c r="F111" s="118">
        <f t="shared" ca="1" si="23"/>
        <v>4.9318214399999991E-2</v>
      </c>
      <c r="G111" s="98">
        <v>0</v>
      </c>
      <c r="H111" s="98">
        <v>0</v>
      </c>
      <c r="I111" s="98">
        <v>2</v>
      </c>
      <c r="J111" s="118">
        <f t="shared" ca="1" si="24"/>
        <v>5.6406250000000155E-5</v>
      </c>
      <c r="K111" s="118">
        <f t="shared" ca="1" si="25"/>
        <v>2.7818555310000069E-6</v>
      </c>
      <c r="L111" s="133">
        <f t="shared" ca="1" si="26"/>
        <v>24</v>
      </c>
      <c r="M111" s="130">
        <f t="shared" ca="1" si="27"/>
        <v>976</v>
      </c>
      <c r="N111" s="100">
        <f t="shared" ca="1" si="28"/>
        <v>5</v>
      </c>
      <c r="O111" s="136">
        <f t="shared" ca="1" si="29"/>
        <v>3.2590583346360766</v>
      </c>
      <c r="P111" s="136">
        <f t="shared" ca="1" si="30"/>
        <v>32.590583346360766</v>
      </c>
      <c r="Q111" s="136">
        <f t="shared" ca="1" si="31"/>
        <v>32.590583346360766</v>
      </c>
      <c r="R111" s="136">
        <f t="shared" ca="1" si="32"/>
        <v>3.2590583346360766</v>
      </c>
      <c r="S111" s="136">
        <f t="shared" ca="1" si="33"/>
        <v>3.2590583346360766</v>
      </c>
      <c r="T111" s="104">
        <f t="shared" ca="1" si="34"/>
        <v>9.0662294540590408E-6</v>
      </c>
      <c r="U111" s="87">
        <f t="shared" ca="1" si="35"/>
        <v>1209.3003125517403</v>
      </c>
      <c r="V111" s="104">
        <f t="shared" ca="1" si="36"/>
        <v>3.3640987631120959E-3</v>
      </c>
      <c r="W111" s="133">
        <f t="shared" ca="1" si="37"/>
        <v>4270.2479015918952</v>
      </c>
      <c r="X111" s="104">
        <f t="shared" ca="1" si="38"/>
        <v>1.1879212743784588E-2</v>
      </c>
      <c r="Y111" s="135">
        <f t="shared" ca="1" si="39"/>
        <v>6.6764532744000173E-5</v>
      </c>
      <c r="AE111" s="104"/>
    </row>
    <row r="112" spans="1:31" x14ac:dyDescent="0.2">
      <c r="A112" s="98">
        <v>0</v>
      </c>
      <c r="B112" s="98">
        <v>2</v>
      </c>
      <c r="C112" s="98">
        <f t="shared" si="20"/>
        <v>6</v>
      </c>
      <c r="D112" s="98">
        <f t="shared" si="21"/>
        <v>5</v>
      </c>
      <c r="E112" s="98">
        <f t="shared" si="22"/>
        <v>0</v>
      </c>
      <c r="F112" s="118">
        <f t="shared" ca="1" si="23"/>
        <v>4.9318214399999991E-2</v>
      </c>
      <c r="G112" s="98">
        <v>0</v>
      </c>
      <c r="H112" s="98">
        <v>0</v>
      </c>
      <c r="I112" s="98">
        <v>1</v>
      </c>
      <c r="J112" s="118">
        <f t="shared" ca="1" si="24"/>
        <v>1.4843750000000054E-6</v>
      </c>
      <c r="K112" s="118">
        <f t="shared" ca="1" si="25"/>
        <v>7.3206724500000246E-8</v>
      </c>
      <c r="L112" s="133">
        <f t="shared" ca="1" si="26"/>
        <v>12</v>
      </c>
      <c r="M112" s="130">
        <f t="shared" ca="1" si="27"/>
        <v>988</v>
      </c>
      <c r="N112" s="100">
        <f t="shared" ca="1" si="28"/>
        <v>5</v>
      </c>
      <c r="O112" s="136">
        <f t="shared" ca="1" si="29"/>
        <v>3.2590583346360766</v>
      </c>
      <c r="P112" s="136">
        <f t="shared" ca="1" si="30"/>
        <v>32.590583346360766</v>
      </c>
      <c r="Q112" s="136">
        <f t="shared" ca="1" si="31"/>
        <v>32.590583346360766</v>
      </c>
      <c r="R112" s="136">
        <f t="shared" ca="1" si="32"/>
        <v>3.2590583346360766</v>
      </c>
      <c r="S112" s="136">
        <f t="shared" ca="1" si="33"/>
        <v>3.2590583346360766</v>
      </c>
      <c r="T112" s="104">
        <f t="shared" ca="1" si="34"/>
        <v>2.3858498563313287E-7</v>
      </c>
      <c r="U112" s="87">
        <f t="shared" ca="1" si="35"/>
        <v>1197.3003125517403</v>
      </c>
      <c r="V112" s="104">
        <f t="shared" ca="1" si="36"/>
        <v>8.7650434124739442E-5</v>
      </c>
      <c r="W112" s="133">
        <f t="shared" ca="1" si="37"/>
        <v>2135.1239507959476</v>
      </c>
      <c r="X112" s="104">
        <f t="shared" ca="1" si="38"/>
        <v>1.5630543083927103E-4</v>
      </c>
      <c r="Y112" s="135">
        <f t="shared" ca="1" si="39"/>
        <v>8.7848069400000296E-7</v>
      </c>
      <c r="AE112" s="104"/>
    </row>
    <row r="113" spans="1:31" x14ac:dyDescent="0.2">
      <c r="A113" s="98">
        <v>0</v>
      </c>
      <c r="B113" s="98">
        <v>2</v>
      </c>
      <c r="C113" s="98">
        <f t="shared" si="20"/>
        <v>6</v>
      </c>
      <c r="D113" s="98">
        <f t="shared" si="21"/>
        <v>5</v>
      </c>
      <c r="E113" s="98">
        <f t="shared" si="22"/>
        <v>0</v>
      </c>
      <c r="F113" s="118">
        <f t="shared" ca="1" si="23"/>
        <v>4.9318214399999991E-2</v>
      </c>
      <c r="G113" s="98">
        <v>0</v>
      </c>
      <c r="H113" s="98">
        <v>0</v>
      </c>
      <c r="I113" s="98">
        <v>0</v>
      </c>
      <c r="J113" s="118">
        <f t="shared" ca="1" si="24"/>
        <v>1.5625000000000072E-8</v>
      </c>
      <c r="K113" s="118">
        <f t="shared" ca="1" si="25"/>
        <v>7.7059710000000342E-10</v>
      </c>
      <c r="L113" s="133">
        <f t="shared" ca="1" si="26"/>
        <v>0</v>
      </c>
      <c r="M113" s="130">
        <f t="shared" ca="1" si="27"/>
        <v>1000</v>
      </c>
      <c r="N113" s="100">
        <f t="shared" ca="1" si="28"/>
        <v>5</v>
      </c>
      <c r="O113" s="136">
        <f t="shared" ca="1" si="29"/>
        <v>3.2590583346360766</v>
      </c>
      <c r="P113" s="136">
        <f t="shared" ca="1" si="30"/>
        <v>32.590583346360766</v>
      </c>
      <c r="Q113" s="136">
        <f t="shared" ca="1" si="31"/>
        <v>32.590583346360766</v>
      </c>
      <c r="R113" s="136">
        <f t="shared" ca="1" si="32"/>
        <v>3.2590583346360766</v>
      </c>
      <c r="S113" s="136">
        <f t="shared" ca="1" si="33"/>
        <v>3.2590583346360766</v>
      </c>
      <c r="T113" s="104">
        <f t="shared" ca="1" si="34"/>
        <v>2.5114209014014014E-9</v>
      </c>
      <c r="U113" s="87">
        <f t="shared" ca="1" si="35"/>
        <v>1185.3003125517403</v>
      </c>
      <c r="V113" s="104">
        <f t="shared" ca="1" si="36"/>
        <v>9.1338898348146874E-7</v>
      </c>
      <c r="W113" s="133">
        <f t="shared" ca="1" si="37"/>
        <v>0</v>
      </c>
      <c r="X113" s="104">
        <f t="shared" ca="1" si="38"/>
        <v>0</v>
      </c>
      <c r="Y113" s="135">
        <f t="shared" ca="1" si="39"/>
        <v>0</v>
      </c>
      <c r="AE113" s="104"/>
    </row>
    <row r="114" spans="1:31" x14ac:dyDescent="0.2">
      <c r="A114" s="98">
        <v>0</v>
      </c>
      <c r="B114" s="98">
        <v>3</v>
      </c>
      <c r="C114" s="98">
        <f t="shared" si="20"/>
        <v>7</v>
      </c>
      <c r="D114" s="98">
        <f t="shared" si="21"/>
        <v>6</v>
      </c>
      <c r="E114" s="98">
        <f t="shared" si="22"/>
        <v>0</v>
      </c>
      <c r="F114" s="118">
        <f t="shared" ca="1" si="23"/>
        <v>1.6947839999999999E-2</v>
      </c>
      <c r="G114" s="98">
        <v>1</v>
      </c>
      <c r="H114" s="98">
        <v>1</v>
      </c>
      <c r="I114" s="98">
        <v>7</v>
      </c>
      <c r="J114" s="118">
        <f t="shared" si="24"/>
        <v>0</v>
      </c>
      <c r="K114" s="118">
        <f t="shared" ca="1" si="25"/>
        <v>0</v>
      </c>
      <c r="L114" s="133">
        <f t="shared" ca="1" si="26"/>
        <v>420</v>
      </c>
      <c r="M114" s="130">
        <f t="shared" ca="1" si="27"/>
        <v>580</v>
      </c>
      <c r="N114" s="100">
        <f t="shared" ca="1" si="28"/>
        <v>3</v>
      </c>
      <c r="O114" s="136">
        <f t="shared" ca="1" si="29"/>
        <v>2.0946097612518035</v>
      </c>
      <c r="P114" s="136">
        <f t="shared" ca="1" si="30"/>
        <v>20.946097612518034</v>
      </c>
      <c r="Q114" s="136">
        <f t="shared" ca="1" si="31"/>
        <v>20.946097612518034</v>
      </c>
      <c r="R114" s="136">
        <f t="shared" ca="1" si="32"/>
        <v>2.0946097612518035</v>
      </c>
      <c r="S114" s="136">
        <f t="shared" ca="1" si="33"/>
        <v>2.0946097612518035</v>
      </c>
      <c r="T114" s="104">
        <f t="shared" ca="1" si="34"/>
        <v>0</v>
      </c>
      <c r="U114" s="87">
        <f t="shared" ca="1" si="35"/>
        <v>1194.1775349459019</v>
      </c>
      <c r="V114" s="104">
        <f t="shared" ca="1" si="36"/>
        <v>0</v>
      </c>
      <c r="W114" s="133">
        <f t="shared" ca="1" si="37"/>
        <v>19493.681670767</v>
      </c>
      <c r="X114" s="104">
        <f t="shared" ca="1" si="38"/>
        <v>0</v>
      </c>
      <c r="Y114" s="135">
        <f t="shared" ca="1" si="39"/>
        <v>0</v>
      </c>
      <c r="AE114" s="104"/>
    </row>
    <row r="115" spans="1:31" x14ac:dyDescent="0.2">
      <c r="A115" s="98">
        <v>0</v>
      </c>
      <c r="B115" s="98">
        <v>3</v>
      </c>
      <c r="C115" s="98">
        <f t="shared" si="20"/>
        <v>7</v>
      </c>
      <c r="D115" s="98">
        <f t="shared" si="21"/>
        <v>6</v>
      </c>
      <c r="E115" s="98">
        <f t="shared" si="22"/>
        <v>0</v>
      </c>
      <c r="F115" s="118">
        <f t="shared" ca="1" si="23"/>
        <v>1.6947839999999999E-2</v>
      </c>
      <c r="G115" s="98">
        <v>1</v>
      </c>
      <c r="H115" s="98">
        <v>1</v>
      </c>
      <c r="I115" s="98">
        <v>6</v>
      </c>
      <c r="J115" s="118">
        <f t="shared" ca="1" si="24"/>
        <v>0</v>
      </c>
      <c r="K115" s="118">
        <f t="shared" ca="1" si="25"/>
        <v>0</v>
      </c>
      <c r="L115" s="133">
        <f t="shared" ca="1" si="26"/>
        <v>408</v>
      </c>
      <c r="M115" s="130">
        <f t="shared" ca="1" si="27"/>
        <v>592</v>
      </c>
      <c r="N115" s="100">
        <f t="shared" ca="1" si="28"/>
        <v>3</v>
      </c>
      <c r="O115" s="136">
        <f t="shared" ca="1" si="29"/>
        <v>2.0946097612518035</v>
      </c>
      <c r="P115" s="136">
        <f t="shared" ca="1" si="30"/>
        <v>20.946097612518034</v>
      </c>
      <c r="Q115" s="136">
        <f t="shared" ca="1" si="31"/>
        <v>20.946097612518034</v>
      </c>
      <c r="R115" s="136">
        <f t="shared" ca="1" si="32"/>
        <v>2.0946097612518035</v>
      </c>
      <c r="S115" s="136">
        <f t="shared" ca="1" si="33"/>
        <v>2.0946097612518035</v>
      </c>
      <c r="T115" s="104">
        <f t="shared" ca="1" si="34"/>
        <v>0</v>
      </c>
      <c r="U115" s="87">
        <f t="shared" ca="1" si="35"/>
        <v>1182.1775349459019</v>
      </c>
      <c r="V115" s="104">
        <f t="shared" ca="1" si="36"/>
        <v>0</v>
      </c>
      <c r="W115" s="133">
        <f t="shared" ca="1" si="37"/>
        <v>17358.557719971053</v>
      </c>
      <c r="X115" s="104">
        <f t="shared" ca="1" si="38"/>
        <v>0</v>
      </c>
      <c r="Y115" s="135">
        <f t="shared" ca="1" si="39"/>
        <v>0</v>
      </c>
      <c r="AE115" s="104"/>
    </row>
    <row r="116" spans="1:31" x14ac:dyDescent="0.2">
      <c r="A116" s="98">
        <v>0</v>
      </c>
      <c r="B116" s="98">
        <v>3</v>
      </c>
      <c r="C116" s="98">
        <f t="shared" si="20"/>
        <v>7</v>
      </c>
      <c r="D116" s="98">
        <f t="shared" si="21"/>
        <v>6</v>
      </c>
      <c r="E116" s="98">
        <f t="shared" si="22"/>
        <v>0</v>
      </c>
      <c r="F116" s="118">
        <f t="shared" ca="1" si="23"/>
        <v>1.6947839999999999E-2</v>
      </c>
      <c r="G116" s="98">
        <v>1</v>
      </c>
      <c r="H116" s="98">
        <v>1</v>
      </c>
      <c r="I116" s="98">
        <v>5</v>
      </c>
      <c r="J116" s="118">
        <f t="shared" ca="1" si="24"/>
        <v>0</v>
      </c>
      <c r="K116" s="118">
        <f t="shared" ca="1" si="25"/>
        <v>0</v>
      </c>
      <c r="L116" s="133">
        <f t="shared" ca="1" si="26"/>
        <v>396</v>
      </c>
      <c r="M116" s="130">
        <f t="shared" ca="1" si="27"/>
        <v>604</v>
      </c>
      <c r="N116" s="100">
        <f t="shared" ca="1" si="28"/>
        <v>3</v>
      </c>
      <c r="O116" s="136">
        <f t="shared" ca="1" si="29"/>
        <v>2.0946097612518035</v>
      </c>
      <c r="P116" s="136">
        <f t="shared" ca="1" si="30"/>
        <v>20.946097612518034</v>
      </c>
      <c r="Q116" s="136">
        <f t="shared" ca="1" si="31"/>
        <v>20.946097612518034</v>
      </c>
      <c r="R116" s="136">
        <f t="shared" ca="1" si="32"/>
        <v>2.0946097612518035</v>
      </c>
      <c r="S116" s="136">
        <f t="shared" ca="1" si="33"/>
        <v>2.0946097612518035</v>
      </c>
      <c r="T116" s="104">
        <f t="shared" ca="1" si="34"/>
        <v>0</v>
      </c>
      <c r="U116" s="87">
        <f t="shared" ca="1" si="35"/>
        <v>1170.1775349459019</v>
      </c>
      <c r="V116" s="104">
        <f t="shared" ca="1" si="36"/>
        <v>0</v>
      </c>
      <c r="W116" s="133">
        <f t="shared" ca="1" si="37"/>
        <v>15223.433769175106</v>
      </c>
      <c r="X116" s="104">
        <f t="shared" ca="1" si="38"/>
        <v>0</v>
      </c>
      <c r="Y116" s="135">
        <f t="shared" ca="1" si="39"/>
        <v>0</v>
      </c>
      <c r="AE116" s="104"/>
    </row>
    <row r="117" spans="1:31" x14ac:dyDescent="0.2">
      <c r="A117" s="98">
        <v>0</v>
      </c>
      <c r="B117" s="98">
        <v>3</v>
      </c>
      <c r="C117" s="98">
        <f t="shared" si="20"/>
        <v>7</v>
      </c>
      <c r="D117" s="98">
        <f t="shared" si="21"/>
        <v>6</v>
      </c>
      <c r="E117" s="98">
        <f t="shared" si="22"/>
        <v>0</v>
      </c>
      <c r="F117" s="118">
        <f t="shared" ca="1" si="23"/>
        <v>1.6947839999999999E-2</v>
      </c>
      <c r="G117" s="98">
        <v>1</v>
      </c>
      <c r="H117" s="98">
        <v>1</v>
      </c>
      <c r="I117" s="98">
        <v>4</v>
      </c>
      <c r="J117" s="118">
        <f t="shared" ca="1" si="24"/>
        <v>0</v>
      </c>
      <c r="K117" s="118">
        <f t="shared" ca="1" si="25"/>
        <v>0</v>
      </c>
      <c r="L117" s="133">
        <f t="shared" ca="1" si="26"/>
        <v>384</v>
      </c>
      <c r="M117" s="130">
        <f t="shared" ca="1" si="27"/>
        <v>616</v>
      </c>
      <c r="N117" s="100">
        <f t="shared" ca="1" si="28"/>
        <v>3</v>
      </c>
      <c r="O117" s="136">
        <f t="shared" ca="1" si="29"/>
        <v>2.0946097612518035</v>
      </c>
      <c r="P117" s="136">
        <f t="shared" ca="1" si="30"/>
        <v>20.946097612518034</v>
      </c>
      <c r="Q117" s="136">
        <f t="shared" ca="1" si="31"/>
        <v>20.946097612518034</v>
      </c>
      <c r="R117" s="136">
        <f t="shared" ca="1" si="32"/>
        <v>2.0946097612518035</v>
      </c>
      <c r="S117" s="136">
        <f t="shared" ca="1" si="33"/>
        <v>2.0946097612518035</v>
      </c>
      <c r="T117" s="104">
        <f t="shared" ca="1" si="34"/>
        <v>0</v>
      </c>
      <c r="U117" s="87">
        <f t="shared" ca="1" si="35"/>
        <v>1158.1775349459019</v>
      </c>
      <c r="V117" s="104">
        <f t="shared" ca="1" si="36"/>
        <v>0</v>
      </c>
      <c r="W117" s="133">
        <f t="shared" ca="1" si="37"/>
        <v>13088.309818379159</v>
      </c>
      <c r="X117" s="104">
        <f t="shared" ca="1" si="38"/>
        <v>0</v>
      </c>
      <c r="Y117" s="135">
        <f t="shared" ca="1" si="39"/>
        <v>0</v>
      </c>
      <c r="AE117" s="104"/>
    </row>
    <row r="118" spans="1:31" x14ac:dyDescent="0.2">
      <c r="A118" s="98">
        <v>0</v>
      </c>
      <c r="B118" s="98">
        <v>3</v>
      </c>
      <c r="C118" s="98">
        <f t="shared" si="20"/>
        <v>7</v>
      </c>
      <c r="D118" s="98">
        <f t="shared" si="21"/>
        <v>6</v>
      </c>
      <c r="E118" s="98">
        <f t="shared" si="22"/>
        <v>0</v>
      </c>
      <c r="F118" s="118">
        <f t="shared" ca="1" si="23"/>
        <v>1.6947839999999999E-2</v>
      </c>
      <c r="G118" s="98">
        <v>1</v>
      </c>
      <c r="H118" s="98">
        <v>1</v>
      </c>
      <c r="I118" s="98">
        <v>3</v>
      </c>
      <c r="J118" s="118">
        <f t="shared" ca="1" si="24"/>
        <v>0</v>
      </c>
      <c r="K118" s="118">
        <f t="shared" ca="1" si="25"/>
        <v>0</v>
      </c>
      <c r="L118" s="133">
        <f t="shared" ca="1" si="26"/>
        <v>372</v>
      </c>
      <c r="M118" s="130">
        <f t="shared" ca="1" si="27"/>
        <v>628</v>
      </c>
      <c r="N118" s="100">
        <f t="shared" ca="1" si="28"/>
        <v>4</v>
      </c>
      <c r="O118" s="136">
        <f t="shared" ca="1" si="29"/>
        <v>2.6618557453501217</v>
      </c>
      <c r="P118" s="136">
        <f t="shared" ca="1" si="30"/>
        <v>24.349573517107945</v>
      </c>
      <c r="Q118" s="136">
        <f t="shared" ca="1" si="31"/>
        <v>20.946097612518034</v>
      </c>
      <c r="R118" s="136">
        <f t="shared" ca="1" si="32"/>
        <v>2.2647835564812988</v>
      </c>
      <c r="S118" s="136">
        <f t="shared" ca="1" si="33"/>
        <v>2.5308219230234101</v>
      </c>
      <c r="T118" s="104">
        <f t="shared" ca="1" si="34"/>
        <v>0</v>
      </c>
      <c r="U118" s="87">
        <f t="shared" ca="1" si="35"/>
        <v>1300.1875613842344</v>
      </c>
      <c r="V118" s="104">
        <f t="shared" ca="1" si="36"/>
        <v>0</v>
      </c>
      <c r="W118" s="133">
        <f t="shared" ca="1" si="37"/>
        <v>10953.185867583212</v>
      </c>
      <c r="X118" s="104">
        <f t="shared" ca="1" si="38"/>
        <v>0</v>
      </c>
      <c r="Y118" s="135">
        <f t="shared" ca="1" si="39"/>
        <v>0</v>
      </c>
      <c r="AE118" s="104"/>
    </row>
    <row r="119" spans="1:31" x14ac:dyDescent="0.2">
      <c r="A119" s="98">
        <v>0</v>
      </c>
      <c r="B119" s="98">
        <v>3</v>
      </c>
      <c r="C119" s="98">
        <f t="shared" si="20"/>
        <v>7</v>
      </c>
      <c r="D119" s="98">
        <f t="shared" si="21"/>
        <v>6</v>
      </c>
      <c r="E119" s="98">
        <f t="shared" si="22"/>
        <v>0</v>
      </c>
      <c r="F119" s="118">
        <f t="shared" ca="1" si="23"/>
        <v>1.6947839999999999E-2</v>
      </c>
      <c r="G119" s="98">
        <v>1</v>
      </c>
      <c r="H119" s="98">
        <v>1</v>
      </c>
      <c r="I119" s="98">
        <v>2</v>
      </c>
      <c r="J119" s="118">
        <f t="shared" ca="1" si="24"/>
        <v>0</v>
      </c>
      <c r="K119" s="118">
        <f t="shared" ca="1" si="25"/>
        <v>0</v>
      </c>
      <c r="L119" s="133">
        <f t="shared" ca="1" si="26"/>
        <v>360</v>
      </c>
      <c r="M119" s="130">
        <f t="shared" ca="1" si="27"/>
        <v>640</v>
      </c>
      <c r="N119" s="100">
        <f t="shared" ca="1" si="28"/>
        <v>4</v>
      </c>
      <c r="O119" s="136">
        <f t="shared" ca="1" si="29"/>
        <v>2.6618557453501217</v>
      </c>
      <c r="P119" s="136">
        <f t="shared" ca="1" si="30"/>
        <v>26.618557453501214</v>
      </c>
      <c r="Q119" s="136">
        <f t="shared" ca="1" si="31"/>
        <v>25.48406548530458</v>
      </c>
      <c r="R119" s="136">
        <f t="shared" ca="1" si="32"/>
        <v>2.6051311469402898</v>
      </c>
      <c r="S119" s="136">
        <f t="shared" ca="1" si="33"/>
        <v>2.6431366278748771</v>
      </c>
      <c r="T119" s="104">
        <f t="shared" ca="1" si="34"/>
        <v>0</v>
      </c>
      <c r="U119" s="87">
        <f t="shared" ca="1" si="35"/>
        <v>1327.8416384125694</v>
      </c>
      <c r="V119" s="104">
        <f t="shared" ca="1" si="36"/>
        <v>0</v>
      </c>
      <c r="W119" s="133">
        <f t="shared" ca="1" si="37"/>
        <v>8818.0619167872646</v>
      </c>
      <c r="X119" s="104">
        <f t="shared" ca="1" si="38"/>
        <v>0</v>
      </c>
      <c r="Y119" s="135">
        <f t="shared" ca="1" si="39"/>
        <v>0</v>
      </c>
      <c r="AE119" s="104"/>
    </row>
    <row r="120" spans="1:31" x14ac:dyDescent="0.2">
      <c r="A120" s="98">
        <v>0</v>
      </c>
      <c r="B120" s="98">
        <v>3</v>
      </c>
      <c r="C120" s="98">
        <f t="shared" si="20"/>
        <v>7</v>
      </c>
      <c r="D120" s="98">
        <f t="shared" si="21"/>
        <v>6</v>
      </c>
      <c r="E120" s="98">
        <f t="shared" si="22"/>
        <v>0</v>
      </c>
      <c r="F120" s="118">
        <f t="shared" ca="1" si="23"/>
        <v>1.6947839999999999E-2</v>
      </c>
      <c r="G120" s="98">
        <v>1</v>
      </c>
      <c r="H120" s="98">
        <v>1</v>
      </c>
      <c r="I120" s="98">
        <v>1</v>
      </c>
      <c r="J120" s="118">
        <f t="shared" ca="1" si="24"/>
        <v>0</v>
      </c>
      <c r="K120" s="118">
        <f t="shared" ca="1" si="25"/>
        <v>0</v>
      </c>
      <c r="L120" s="133">
        <f t="shared" ca="1" si="26"/>
        <v>348</v>
      </c>
      <c r="M120" s="130">
        <f t="shared" ca="1" si="27"/>
        <v>652</v>
      </c>
      <c r="N120" s="100">
        <f t="shared" ca="1" si="28"/>
        <v>4</v>
      </c>
      <c r="O120" s="136">
        <f t="shared" ca="1" si="29"/>
        <v>2.6618557453501217</v>
      </c>
      <c r="P120" s="136">
        <f t="shared" ca="1" si="30"/>
        <v>26.618557453501214</v>
      </c>
      <c r="Q120" s="136">
        <f t="shared" ca="1" si="31"/>
        <v>26.618557453501214</v>
      </c>
      <c r="R120" s="136">
        <f t="shared" ca="1" si="32"/>
        <v>2.6618557453501213</v>
      </c>
      <c r="S120" s="136">
        <f t="shared" ca="1" si="33"/>
        <v>2.6618557453501213</v>
      </c>
      <c r="T120" s="104">
        <f t="shared" ca="1" si="34"/>
        <v>0</v>
      </c>
      <c r="U120" s="87">
        <f t="shared" ca="1" si="35"/>
        <v>1322.4506512506252</v>
      </c>
      <c r="V120" s="104">
        <f t="shared" ca="1" si="36"/>
        <v>0</v>
      </c>
      <c r="W120" s="133">
        <f t="shared" ca="1" si="37"/>
        <v>6682.9379659913157</v>
      </c>
      <c r="X120" s="104">
        <f t="shared" ca="1" si="38"/>
        <v>0</v>
      </c>
      <c r="Y120" s="135">
        <f t="shared" ca="1" si="39"/>
        <v>0</v>
      </c>
      <c r="AE120" s="104"/>
    </row>
    <row r="121" spans="1:31" x14ac:dyDescent="0.2">
      <c r="A121" s="98">
        <v>0</v>
      </c>
      <c r="B121" s="98">
        <v>3</v>
      </c>
      <c r="C121" s="98">
        <f t="shared" si="20"/>
        <v>7</v>
      </c>
      <c r="D121" s="98">
        <f t="shared" si="21"/>
        <v>6</v>
      </c>
      <c r="E121" s="98">
        <f t="shared" si="22"/>
        <v>0</v>
      </c>
      <c r="F121" s="118">
        <f t="shared" ca="1" si="23"/>
        <v>1.6947839999999999E-2</v>
      </c>
      <c r="G121" s="98">
        <v>1</v>
      </c>
      <c r="H121" s="98">
        <v>1</v>
      </c>
      <c r="I121" s="98">
        <v>0</v>
      </c>
      <c r="J121" s="118">
        <f t="shared" ca="1" si="24"/>
        <v>0</v>
      </c>
      <c r="K121" s="118">
        <f t="shared" ca="1" si="25"/>
        <v>0</v>
      </c>
      <c r="L121" s="133">
        <f t="shared" ca="1" si="26"/>
        <v>336</v>
      </c>
      <c r="M121" s="130">
        <f t="shared" ca="1" si="27"/>
        <v>664</v>
      </c>
      <c r="N121" s="100">
        <f t="shared" ca="1" si="28"/>
        <v>4</v>
      </c>
      <c r="O121" s="136">
        <f t="shared" ca="1" si="29"/>
        <v>2.6618557453501217</v>
      </c>
      <c r="P121" s="136">
        <f t="shared" ca="1" si="30"/>
        <v>26.618557453501214</v>
      </c>
      <c r="Q121" s="136">
        <f t="shared" ca="1" si="31"/>
        <v>26.618557453501214</v>
      </c>
      <c r="R121" s="136">
        <f t="shared" ca="1" si="32"/>
        <v>2.6618557453501213</v>
      </c>
      <c r="S121" s="136">
        <f t="shared" ca="1" si="33"/>
        <v>2.6618557453501213</v>
      </c>
      <c r="T121" s="104">
        <f t="shared" ca="1" si="34"/>
        <v>0</v>
      </c>
      <c r="U121" s="87">
        <f t="shared" ca="1" si="35"/>
        <v>1310.4506512506252</v>
      </c>
      <c r="V121" s="104">
        <f t="shared" ca="1" si="36"/>
        <v>0</v>
      </c>
      <c r="W121" s="133">
        <f t="shared" ca="1" si="37"/>
        <v>4547.8140151953685</v>
      </c>
      <c r="X121" s="104">
        <f t="shared" ca="1" si="38"/>
        <v>0</v>
      </c>
      <c r="Y121" s="135">
        <f t="shared" ca="1" si="39"/>
        <v>0</v>
      </c>
      <c r="AE121" s="104"/>
    </row>
    <row r="122" spans="1:31" x14ac:dyDescent="0.2">
      <c r="A122" s="98">
        <v>0</v>
      </c>
      <c r="B122" s="98">
        <v>3</v>
      </c>
      <c r="C122" s="98">
        <f t="shared" si="20"/>
        <v>7</v>
      </c>
      <c r="D122" s="98">
        <f t="shared" si="21"/>
        <v>6</v>
      </c>
      <c r="E122" s="98">
        <f t="shared" si="22"/>
        <v>0</v>
      </c>
      <c r="F122" s="118">
        <f t="shared" ca="1" si="23"/>
        <v>1.6947839999999999E-2</v>
      </c>
      <c r="G122" s="98">
        <v>1</v>
      </c>
      <c r="H122" s="98">
        <v>0</v>
      </c>
      <c r="I122" s="98">
        <v>7</v>
      </c>
      <c r="J122" s="118">
        <f t="shared" si="24"/>
        <v>0</v>
      </c>
      <c r="K122" s="118">
        <f t="shared" ca="1" si="25"/>
        <v>0</v>
      </c>
      <c r="L122" s="133">
        <f t="shared" ca="1" si="26"/>
        <v>252</v>
      </c>
      <c r="M122" s="130">
        <f t="shared" ca="1" si="27"/>
        <v>748</v>
      </c>
      <c r="N122" s="100">
        <f t="shared" ca="1" si="28"/>
        <v>4</v>
      </c>
      <c r="O122" s="136">
        <f t="shared" ca="1" si="29"/>
        <v>2.6618557453501217</v>
      </c>
      <c r="P122" s="136">
        <f t="shared" ca="1" si="30"/>
        <v>26.618557453501214</v>
      </c>
      <c r="Q122" s="136">
        <f t="shared" ca="1" si="31"/>
        <v>26.618557453501214</v>
      </c>
      <c r="R122" s="136">
        <f t="shared" ca="1" si="32"/>
        <v>2.6618557453501213</v>
      </c>
      <c r="S122" s="136">
        <f t="shared" ca="1" si="33"/>
        <v>2.6618557453501213</v>
      </c>
      <c r="T122" s="104">
        <f t="shared" ca="1" si="34"/>
        <v>0</v>
      </c>
      <c r="U122" s="87">
        <f t="shared" ca="1" si="35"/>
        <v>1226.4506512506252</v>
      </c>
      <c r="V122" s="104">
        <f t="shared" ca="1" si="36"/>
        <v>0</v>
      </c>
      <c r="W122" s="133">
        <f t="shared" ca="1" si="37"/>
        <v>17358.557719971053</v>
      </c>
      <c r="X122" s="104">
        <f t="shared" ca="1" si="38"/>
        <v>0</v>
      </c>
      <c r="Y122" s="135">
        <f t="shared" ca="1" si="39"/>
        <v>0</v>
      </c>
      <c r="AE122" s="104"/>
    </row>
    <row r="123" spans="1:31" x14ac:dyDescent="0.2">
      <c r="A123" s="98">
        <v>0</v>
      </c>
      <c r="B123" s="98">
        <v>3</v>
      </c>
      <c r="C123" s="98">
        <f t="shared" si="20"/>
        <v>7</v>
      </c>
      <c r="D123" s="98">
        <f t="shared" si="21"/>
        <v>6</v>
      </c>
      <c r="E123" s="98">
        <f t="shared" si="22"/>
        <v>0</v>
      </c>
      <c r="F123" s="118">
        <f t="shared" ca="1" si="23"/>
        <v>1.6947839999999999E-2</v>
      </c>
      <c r="G123" s="98">
        <v>1</v>
      </c>
      <c r="H123" s="98">
        <v>0</v>
      </c>
      <c r="I123" s="98">
        <v>6</v>
      </c>
      <c r="J123" s="118">
        <f t="shared" ca="1" si="24"/>
        <v>0.69833729609374984</v>
      </c>
      <c r="K123" s="118">
        <f t="shared" ca="1" si="25"/>
        <v>1.1835308760229497E-2</v>
      </c>
      <c r="L123" s="133">
        <f t="shared" ca="1" si="26"/>
        <v>240</v>
      </c>
      <c r="M123" s="130">
        <f t="shared" ca="1" si="27"/>
        <v>760</v>
      </c>
      <c r="N123" s="100">
        <f t="shared" ca="1" si="28"/>
        <v>4</v>
      </c>
      <c r="O123" s="136">
        <f t="shared" ca="1" si="29"/>
        <v>2.6618557453501217</v>
      </c>
      <c r="P123" s="136">
        <f t="shared" ca="1" si="30"/>
        <v>26.618557453501214</v>
      </c>
      <c r="Q123" s="136">
        <f t="shared" ca="1" si="31"/>
        <v>26.618557453501214</v>
      </c>
      <c r="R123" s="136">
        <f t="shared" ca="1" si="32"/>
        <v>2.6618557453501213</v>
      </c>
      <c r="S123" s="136">
        <f t="shared" ca="1" si="33"/>
        <v>2.6618557453501213</v>
      </c>
      <c r="T123" s="104">
        <f t="shared" ca="1" si="34"/>
        <v>3.1503884621409503E-2</v>
      </c>
      <c r="U123" s="87">
        <f t="shared" ca="1" si="35"/>
        <v>1214.4506512506252</v>
      </c>
      <c r="V123" s="104">
        <f t="shared" ca="1" si="36"/>
        <v>14.373398431612943</v>
      </c>
      <c r="W123" s="133">
        <f t="shared" ca="1" si="37"/>
        <v>15223.433769175106</v>
      </c>
      <c r="X123" s="104">
        <f t="shared" ca="1" si="38"/>
        <v>180.17403904909168</v>
      </c>
      <c r="Y123" s="135">
        <f t="shared" ca="1" si="39"/>
        <v>2.840474102455079</v>
      </c>
      <c r="AE123" s="104"/>
    </row>
    <row r="124" spans="1:31" x14ac:dyDescent="0.2">
      <c r="A124" s="98">
        <v>0</v>
      </c>
      <c r="B124" s="98">
        <v>3</v>
      </c>
      <c r="C124" s="98">
        <f t="shared" si="20"/>
        <v>7</v>
      </c>
      <c r="D124" s="98">
        <f t="shared" si="21"/>
        <v>6</v>
      </c>
      <c r="E124" s="98">
        <f t="shared" si="22"/>
        <v>0</v>
      </c>
      <c r="F124" s="118">
        <f t="shared" ca="1" si="23"/>
        <v>1.6947839999999999E-2</v>
      </c>
      <c r="G124" s="98">
        <v>1</v>
      </c>
      <c r="H124" s="98">
        <v>0</v>
      </c>
      <c r="I124" s="98">
        <v>5</v>
      </c>
      <c r="J124" s="118">
        <f t="shared" ca="1" si="24"/>
        <v>0.22052756718750019</v>
      </c>
      <c r="K124" s="118">
        <f t="shared" ca="1" si="25"/>
        <v>3.7374659242830031E-3</v>
      </c>
      <c r="L124" s="133">
        <f t="shared" ca="1" si="26"/>
        <v>228</v>
      </c>
      <c r="M124" s="130">
        <f t="shared" ca="1" si="27"/>
        <v>772</v>
      </c>
      <c r="N124" s="100">
        <f t="shared" ca="1" si="28"/>
        <v>4</v>
      </c>
      <c r="O124" s="136">
        <f t="shared" ca="1" si="29"/>
        <v>2.6618557453501217</v>
      </c>
      <c r="P124" s="136">
        <f t="shared" ca="1" si="30"/>
        <v>26.618557453501214</v>
      </c>
      <c r="Q124" s="136">
        <f t="shared" ca="1" si="31"/>
        <v>26.618557453501214</v>
      </c>
      <c r="R124" s="136">
        <f t="shared" ca="1" si="32"/>
        <v>2.6618557453501213</v>
      </c>
      <c r="S124" s="136">
        <f t="shared" ca="1" si="33"/>
        <v>2.6618557453501213</v>
      </c>
      <c r="T124" s="104">
        <f t="shared" ca="1" si="34"/>
        <v>9.9485951436030125E-3</v>
      </c>
      <c r="U124" s="87">
        <f t="shared" ca="1" si="35"/>
        <v>1202.4506512506252</v>
      </c>
      <c r="V124" s="104">
        <f t="shared" ca="1" si="36"/>
        <v>4.4941183346811169</v>
      </c>
      <c r="W124" s="133">
        <f t="shared" ca="1" si="37"/>
        <v>13088.309818379159</v>
      </c>
      <c r="X124" s="104">
        <f t="shared" ca="1" si="38"/>
        <v>48.917111952650771</v>
      </c>
      <c r="Y124" s="135">
        <f t="shared" ca="1" si="39"/>
        <v>0.85214223073652473</v>
      </c>
      <c r="AE124" s="104"/>
    </row>
    <row r="125" spans="1:31" x14ac:dyDescent="0.2">
      <c r="A125" s="98">
        <v>0</v>
      </c>
      <c r="B125" s="98">
        <v>3</v>
      </c>
      <c r="C125" s="98">
        <f t="shared" si="20"/>
        <v>7</v>
      </c>
      <c r="D125" s="98">
        <f t="shared" si="21"/>
        <v>6</v>
      </c>
      <c r="E125" s="98">
        <f t="shared" si="22"/>
        <v>0</v>
      </c>
      <c r="F125" s="118">
        <f t="shared" ca="1" si="23"/>
        <v>1.6947839999999999E-2</v>
      </c>
      <c r="G125" s="98">
        <v>1</v>
      </c>
      <c r="H125" s="98">
        <v>0</v>
      </c>
      <c r="I125" s="98">
        <v>4</v>
      </c>
      <c r="J125" s="118">
        <f t="shared" ca="1" si="24"/>
        <v>2.9016785156250047E-2</v>
      </c>
      <c r="K125" s="118">
        <f t="shared" ca="1" si="25"/>
        <v>4.9177183214250074E-4</v>
      </c>
      <c r="L125" s="133">
        <f t="shared" ca="1" si="26"/>
        <v>216</v>
      </c>
      <c r="M125" s="130">
        <f t="shared" ca="1" si="27"/>
        <v>784</v>
      </c>
      <c r="N125" s="100">
        <f t="shared" ca="1" si="28"/>
        <v>4</v>
      </c>
      <c r="O125" s="136">
        <f t="shared" ca="1" si="29"/>
        <v>2.6618557453501217</v>
      </c>
      <c r="P125" s="136">
        <f t="shared" ca="1" si="30"/>
        <v>26.618557453501214</v>
      </c>
      <c r="Q125" s="136">
        <f t="shared" ca="1" si="31"/>
        <v>26.618557453501214</v>
      </c>
      <c r="R125" s="136">
        <f t="shared" ca="1" si="32"/>
        <v>2.6618557453501213</v>
      </c>
      <c r="S125" s="136">
        <f t="shared" ca="1" si="33"/>
        <v>2.6618557453501213</v>
      </c>
      <c r="T125" s="104">
        <f t="shared" ca="1" si="34"/>
        <v>1.309025676789871E-3</v>
      </c>
      <c r="U125" s="87">
        <f t="shared" ca="1" si="35"/>
        <v>1190.4506512506252</v>
      </c>
      <c r="V125" s="104">
        <f t="shared" ca="1" si="36"/>
        <v>0.58543009784075317</v>
      </c>
      <c r="W125" s="133">
        <f t="shared" ca="1" si="37"/>
        <v>10953.185867583212</v>
      </c>
      <c r="X125" s="104">
        <f t="shared" ca="1" si="38"/>
        <v>5.3864682818987424</v>
      </c>
      <c r="Y125" s="135">
        <f t="shared" ca="1" si="39"/>
        <v>0.10622271574278017</v>
      </c>
      <c r="AE125" s="104"/>
    </row>
    <row r="126" spans="1:31" x14ac:dyDescent="0.2">
      <c r="A126" s="98">
        <v>0</v>
      </c>
      <c r="B126" s="98">
        <v>3</v>
      </c>
      <c r="C126" s="98">
        <f t="shared" si="20"/>
        <v>7</v>
      </c>
      <c r="D126" s="98">
        <f t="shared" si="21"/>
        <v>6</v>
      </c>
      <c r="E126" s="98">
        <f t="shared" si="22"/>
        <v>0</v>
      </c>
      <c r="F126" s="118">
        <f t="shared" ca="1" si="23"/>
        <v>1.6947839999999999E-2</v>
      </c>
      <c r="G126" s="98">
        <v>1</v>
      </c>
      <c r="H126" s="98">
        <v>0</v>
      </c>
      <c r="I126" s="98">
        <v>3</v>
      </c>
      <c r="J126" s="118">
        <f t="shared" ca="1" si="24"/>
        <v>2.0362656250000047E-3</v>
      </c>
      <c r="K126" s="118">
        <f t="shared" ca="1" si="25"/>
        <v>3.4510304010000076E-5</v>
      </c>
      <c r="L126" s="133">
        <f t="shared" ca="1" si="26"/>
        <v>204</v>
      </c>
      <c r="M126" s="130">
        <f t="shared" ca="1" si="27"/>
        <v>796</v>
      </c>
      <c r="N126" s="100">
        <f t="shared" ca="1" si="28"/>
        <v>4</v>
      </c>
      <c r="O126" s="136">
        <f t="shared" ca="1" si="29"/>
        <v>2.6618557453501217</v>
      </c>
      <c r="P126" s="136">
        <f t="shared" ca="1" si="30"/>
        <v>26.618557453501214</v>
      </c>
      <c r="Q126" s="136">
        <f t="shared" ca="1" si="31"/>
        <v>26.618557453501214</v>
      </c>
      <c r="R126" s="136">
        <f t="shared" ca="1" si="32"/>
        <v>2.6618557453501213</v>
      </c>
      <c r="S126" s="136">
        <f t="shared" ca="1" si="33"/>
        <v>2.6618557453501213</v>
      </c>
      <c r="T126" s="104">
        <f t="shared" ca="1" si="34"/>
        <v>9.1861451002798035E-5</v>
      </c>
      <c r="U126" s="87">
        <f t="shared" ca="1" si="35"/>
        <v>1178.4506512506252</v>
      </c>
      <c r="V126" s="104">
        <f t="shared" ca="1" si="36"/>
        <v>4.0668690235441653E-2</v>
      </c>
      <c r="W126" s="133">
        <f t="shared" ca="1" si="37"/>
        <v>8818.0619167872646</v>
      </c>
      <c r="X126" s="104">
        <f t="shared" ca="1" si="38"/>
        <v>0.30431399752733251</v>
      </c>
      <c r="Y126" s="135">
        <f t="shared" ca="1" si="39"/>
        <v>7.0401020180400151E-3</v>
      </c>
      <c r="AE126" s="104"/>
    </row>
    <row r="127" spans="1:31" x14ac:dyDescent="0.2">
      <c r="A127" s="98">
        <v>0</v>
      </c>
      <c r="B127" s="98">
        <v>3</v>
      </c>
      <c r="C127" s="98">
        <f t="shared" si="20"/>
        <v>7</v>
      </c>
      <c r="D127" s="98">
        <f t="shared" si="21"/>
        <v>6</v>
      </c>
      <c r="E127" s="98">
        <f t="shared" si="22"/>
        <v>0</v>
      </c>
      <c r="F127" s="118">
        <f t="shared" ca="1" si="23"/>
        <v>1.6947839999999999E-2</v>
      </c>
      <c r="G127" s="98">
        <v>1</v>
      </c>
      <c r="H127" s="98">
        <v>0</v>
      </c>
      <c r="I127" s="98">
        <v>2</v>
      </c>
      <c r="J127" s="118">
        <f t="shared" ca="1" si="24"/>
        <v>8.0378906250000291E-5</v>
      </c>
      <c r="K127" s="118">
        <f t="shared" ca="1" si="25"/>
        <v>1.3622488425000048E-6</v>
      </c>
      <c r="L127" s="133">
        <f t="shared" ca="1" si="26"/>
        <v>192</v>
      </c>
      <c r="M127" s="130">
        <f t="shared" ca="1" si="27"/>
        <v>808</v>
      </c>
      <c r="N127" s="100">
        <f t="shared" ca="1" si="28"/>
        <v>4</v>
      </c>
      <c r="O127" s="136">
        <f t="shared" ca="1" si="29"/>
        <v>2.6618557453501217</v>
      </c>
      <c r="P127" s="136">
        <f t="shared" ca="1" si="30"/>
        <v>26.618557453501214</v>
      </c>
      <c r="Q127" s="136">
        <f t="shared" ca="1" si="31"/>
        <v>26.618557453501214</v>
      </c>
      <c r="R127" s="136">
        <f t="shared" ca="1" si="32"/>
        <v>2.6618557453501213</v>
      </c>
      <c r="S127" s="136">
        <f t="shared" ca="1" si="33"/>
        <v>2.6618557453501213</v>
      </c>
      <c r="T127" s="104">
        <f t="shared" ca="1" si="34"/>
        <v>3.6261099080051905E-6</v>
      </c>
      <c r="U127" s="87">
        <f t="shared" ca="1" si="35"/>
        <v>1166.4506512506252</v>
      </c>
      <c r="V127" s="104">
        <f t="shared" ca="1" si="36"/>
        <v>1.588996049499541E-3</v>
      </c>
      <c r="W127" s="133">
        <f t="shared" ca="1" si="37"/>
        <v>6682.9379659913157</v>
      </c>
      <c r="X127" s="104">
        <f t="shared" ca="1" si="38"/>
        <v>9.1038245086710063E-3</v>
      </c>
      <c r="Y127" s="135">
        <f t="shared" ca="1" si="39"/>
        <v>2.6155177776000094E-4</v>
      </c>
      <c r="AE127" s="104"/>
    </row>
    <row r="128" spans="1:31" x14ac:dyDescent="0.2">
      <c r="A128" s="98">
        <v>0</v>
      </c>
      <c r="B128" s="98">
        <v>3</v>
      </c>
      <c r="C128" s="98">
        <f t="shared" si="20"/>
        <v>7</v>
      </c>
      <c r="D128" s="98">
        <f t="shared" si="21"/>
        <v>6</v>
      </c>
      <c r="E128" s="98">
        <f t="shared" si="22"/>
        <v>0</v>
      </c>
      <c r="F128" s="118">
        <f t="shared" ca="1" si="23"/>
        <v>1.6947839999999999E-2</v>
      </c>
      <c r="G128" s="98">
        <v>1</v>
      </c>
      <c r="H128" s="98">
        <v>0</v>
      </c>
      <c r="I128" s="98">
        <v>1</v>
      </c>
      <c r="J128" s="118">
        <f t="shared" ca="1" si="24"/>
        <v>1.6921875000000077E-6</v>
      </c>
      <c r="K128" s="118">
        <f t="shared" ca="1" si="25"/>
        <v>2.8678923000000129E-8</v>
      </c>
      <c r="L128" s="133">
        <f t="shared" ca="1" si="26"/>
        <v>180</v>
      </c>
      <c r="M128" s="130">
        <f t="shared" ca="1" si="27"/>
        <v>820</v>
      </c>
      <c r="N128" s="100">
        <f t="shared" ca="1" si="28"/>
        <v>4</v>
      </c>
      <c r="O128" s="136">
        <f t="shared" ca="1" si="29"/>
        <v>2.6618557453501217</v>
      </c>
      <c r="P128" s="136">
        <f t="shared" ca="1" si="30"/>
        <v>26.618557453501214</v>
      </c>
      <c r="Q128" s="136">
        <f t="shared" ca="1" si="31"/>
        <v>26.618557453501214</v>
      </c>
      <c r="R128" s="136">
        <f t="shared" ca="1" si="32"/>
        <v>2.6618557453501213</v>
      </c>
      <c r="S128" s="136">
        <f t="shared" ca="1" si="33"/>
        <v>2.6618557453501213</v>
      </c>
      <c r="T128" s="104">
        <f t="shared" ca="1" si="34"/>
        <v>7.6339155958004083E-8</v>
      </c>
      <c r="U128" s="87">
        <f t="shared" ca="1" si="35"/>
        <v>1154.4506512506252</v>
      </c>
      <c r="V128" s="104">
        <f t="shared" ca="1" si="36"/>
        <v>3.3108401334516681E-5</v>
      </c>
      <c r="W128" s="133">
        <f t="shared" ca="1" si="37"/>
        <v>4547.8140151953685</v>
      </c>
      <c r="X128" s="104">
        <f t="shared" ca="1" si="38"/>
        <v>1.3042640796010938E-4</v>
      </c>
      <c r="Y128" s="135">
        <f t="shared" ca="1" si="39"/>
        <v>5.162206140000023E-6</v>
      </c>
      <c r="AE128" s="104"/>
    </row>
    <row r="129" spans="1:31" x14ac:dyDescent="0.2">
      <c r="A129" s="98">
        <v>0</v>
      </c>
      <c r="B129" s="98">
        <v>3</v>
      </c>
      <c r="C129" s="98">
        <f t="shared" si="20"/>
        <v>7</v>
      </c>
      <c r="D129" s="98">
        <f t="shared" si="21"/>
        <v>6</v>
      </c>
      <c r="E129" s="98">
        <f t="shared" si="22"/>
        <v>0</v>
      </c>
      <c r="F129" s="118">
        <f t="shared" ca="1" si="23"/>
        <v>1.6947839999999999E-2</v>
      </c>
      <c r="G129" s="98">
        <v>1</v>
      </c>
      <c r="H129" s="98">
        <v>0</v>
      </c>
      <c r="I129" s="98">
        <v>0</v>
      </c>
      <c r="J129" s="118">
        <f t="shared" ca="1" si="24"/>
        <v>1.4843750000000078E-8</v>
      </c>
      <c r="K129" s="118">
        <f t="shared" ca="1" si="25"/>
        <v>2.5156950000000128E-10</v>
      </c>
      <c r="L129" s="133">
        <f t="shared" ca="1" si="26"/>
        <v>168</v>
      </c>
      <c r="M129" s="130">
        <f t="shared" ca="1" si="27"/>
        <v>832</v>
      </c>
      <c r="N129" s="100">
        <f t="shared" ca="1" si="28"/>
        <v>5</v>
      </c>
      <c r="O129" s="136">
        <f t="shared" ca="1" si="29"/>
        <v>3.2590583346360766</v>
      </c>
      <c r="P129" s="136">
        <f t="shared" ca="1" si="30"/>
        <v>28.410165221359076</v>
      </c>
      <c r="Q129" s="136">
        <f t="shared" ca="1" si="31"/>
        <v>26.618557453501214</v>
      </c>
      <c r="R129" s="136">
        <f t="shared" ca="1" si="32"/>
        <v>2.7514361337430144</v>
      </c>
      <c r="S129" s="136">
        <f t="shared" ca="1" si="33"/>
        <v>3.091543008341366</v>
      </c>
      <c r="T129" s="104">
        <f t="shared" ca="1" si="34"/>
        <v>7.7773792883693725E-10</v>
      </c>
      <c r="U129" s="87">
        <f t="shared" ca="1" si="35"/>
        <v>1294.1569825567776</v>
      </c>
      <c r="V129" s="104">
        <f t="shared" ca="1" si="36"/>
        <v>3.255704250233189E-7</v>
      </c>
      <c r="W129" s="133">
        <f t="shared" ca="1" si="37"/>
        <v>2412.6900643994204</v>
      </c>
      <c r="X129" s="104">
        <f t="shared" ca="1" si="38"/>
        <v>6.0695923315593305E-7</v>
      </c>
      <c r="Y129" s="135">
        <f t="shared" ca="1" si="39"/>
        <v>4.2263676000000215E-8</v>
      </c>
      <c r="AE129" s="104"/>
    </row>
    <row r="130" spans="1:31" x14ac:dyDescent="0.2">
      <c r="A130" s="98">
        <v>0</v>
      </c>
      <c r="B130" s="98">
        <v>3</v>
      </c>
      <c r="C130" s="98">
        <f t="shared" si="20"/>
        <v>7</v>
      </c>
      <c r="D130" s="98">
        <f t="shared" si="21"/>
        <v>6</v>
      </c>
      <c r="E130" s="98">
        <f t="shared" si="22"/>
        <v>0</v>
      </c>
      <c r="F130" s="118">
        <f t="shared" ca="1" si="23"/>
        <v>1.6947839999999999E-2</v>
      </c>
      <c r="G130" s="98">
        <v>0</v>
      </c>
      <c r="H130" s="98">
        <v>1</v>
      </c>
      <c r="I130" s="98">
        <v>7</v>
      </c>
      <c r="J130" s="118">
        <f t="shared" si="24"/>
        <v>0</v>
      </c>
      <c r="K130" s="118">
        <f t="shared" ca="1" si="25"/>
        <v>0</v>
      </c>
      <c r="L130" s="133">
        <f t="shared" ca="1" si="26"/>
        <v>252</v>
      </c>
      <c r="M130" s="130">
        <f t="shared" ca="1" si="27"/>
        <v>748</v>
      </c>
      <c r="N130" s="100">
        <f t="shared" ca="1" si="28"/>
        <v>4</v>
      </c>
      <c r="O130" s="136">
        <f t="shared" ca="1" si="29"/>
        <v>2.6618557453501217</v>
      </c>
      <c r="P130" s="136">
        <f t="shared" ca="1" si="30"/>
        <v>26.618557453501214</v>
      </c>
      <c r="Q130" s="136">
        <f t="shared" ca="1" si="31"/>
        <v>26.618557453501214</v>
      </c>
      <c r="R130" s="136">
        <f t="shared" ca="1" si="32"/>
        <v>2.6618557453501213</v>
      </c>
      <c r="S130" s="136">
        <f t="shared" ca="1" si="33"/>
        <v>2.6618557453501213</v>
      </c>
      <c r="T130" s="104">
        <f t="shared" ca="1" si="34"/>
        <v>0</v>
      </c>
      <c r="U130" s="87">
        <f t="shared" ca="1" si="35"/>
        <v>1226.4506512506252</v>
      </c>
      <c r="V130" s="104">
        <f t="shared" ca="1" si="36"/>
        <v>0</v>
      </c>
      <c r="W130" s="133">
        <f t="shared" ca="1" si="37"/>
        <v>17080.991606367581</v>
      </c>
      <c r="X130" s="104">
        <f t="shared" ca="1" si="38"/>
        <v>0</v>
      </c>
      <c r="Y130" s="135">
        <f t="shared" ca="1" si="39"/>
        <v>0</v>
      </c>
      <c r="AE130" s="104"/>
    </row>
    <row r="131" spans="1:31" x14ac:dyDescent="0.2">
      <c r="A131" s="98">
        <v>0</v>
      </c>
      <c r="B131" s="98">
        <v>3</v>
      </c>
      <c r="C131" s="98">
        <f t="shared" si="20"/>
        <v>7</v>
      </c>
      <c r="D131" s="98">
        <f t="shared" si="21"/>
        <v>6</v>
      </c>
      <c r="E131" s="98">
        <f t="shared" si="22"/>
        <v>0</v>
      </c>
      <c r="F131" s="118">
        <f t="shared" ca="1" si="23"/>
        <v>1.6947839999999999E-2</v>
      </c>
      <c r="G131" s="98">
        <v>0</v>
      </c>
      <c r="H131" s="98">
        <v>1</v>
      </c>
      <c r="I131" s="98">
        <v>6</v>
      </c>
      <c r="J131" s="118">
        <f t="shared" ca="1" si="24"/>
        <v>0</v>
      </c>
      <c r="K131" s="118">
        <f t="shared" ca="1" si="25"/>
        <v>0</v>
      </c>
      <c r="L131" s="133">
        <f t="shared" ca="1" si="26"/>
        <v>240</v>
      </c>
      <c r="M131" s="130">
        <f t="shared" ca="1" si="27"/>
        <v>760</v>
      </c>
      <c r="N131" s="100">
        <f t="shared" ca="1" si="28"/>
        <v>4</v>
      </c>
      <c r="O131" s="136">
        <f t="shared" ca="1" si="29"/>
        <v>2.6618557453501217</v>
      </c>
      <c r="P131" s="136">
        <f t="shared" ca="1" si="30"/>
        <v>26.618557453501214</v>
      </c>
      <c r="Q131" s="136">
        <f t="shared" ca="1" si="31"/>
        <v>26.618557453501214</v>
      </c>
      <c r="R131" s="136">
        <f t="shared" ca="1" si="32"/>
        <v>2.6618557453501213</v>
      </c>
      <c r="S131" s="136">
        <f t="shared" ca="1" si="33"/>
        <v>2.6618557453501213</v>
      </c>
      <c r="T131" s="104">
        <f t="shared" ca="1" si="34"/>
        <v>0</v>
      </c>
      <c r="U131" s="87">
        <f t="shared" ca="1" si="35"/>
        <v>1214.4506512506252</v>
      </c>
      <c r="V131" s="104">
        <f t="shared" ca="1" si="36"/>
        <v>0</v>
      </c>
      <c r="W131" s="133">
        <f t="shared" ca="1" si="37"/>
        <v>14945.867655571634</v>
      </c>
      <c r="X131" s="104">
        <f t="shared" ca="1" si="38"/>
        <v>0</v>
      </c>
      <c r="Y131" s="135">
        <f t="shared" ca="1" si="39"/>
        <v>0</v>
      </c>
      <c r="AE131" s="104"/>
    </row>
    <row r="132" spans="1:31" x14ac:dyDescent="0.2">
      <c r="A132" s="98">
        <v>0</v>
      </c>
      <c r="B132" s="98">
        <v>3</v>
      </c>
      <c r="C132" s="98">
        <f t="shared" si="20"/>
        <v>7</v>
      </c>
      <c r="D132" s="98">
        <f t="shared" si="21"/>
        <v>6</v>
      </c>
      <c r="E132" s="98">
        <f t="shared" si="22"/>
        <v>0</v>
      </c>
      <c r="F132" s="118">
        <f t="shared" ca="1" si="23"/>
        <v>1.6947839999999999E-2</v>
      </c>
      <c r="G132" s="98">
        <v>0</v>
      </c>
      <c r="H132" s="98">
        <v>1</v>
      </c>
      <c r="I132" s="98">
        <v>5</v>
      </c>
      <c r="J132" s="118">
        <f t="shared" ca="1" si="24"/>
        <v>0</v>
      </c>
      <c r="K132" s="118">
        <f t="shared" ca="1" si="25"/>
        <v>0</v>
      </c>
      <c r="L132" s="133">
        <f t="shared" ca="1" si="26"/>
        <v>228</v>
      </c>
      <c r="M132" s="130">
        <f t="shared" ca="1" si="27"/>
        <v>772</v>
      </c>
      <c r="N132" s="100">
        <f t="shared" ca="1" si="28"/>
        <v>4</v>
      </c>
      <c r="O132" s="136">
        <f t="shared" ca="1" si="29"/>
        <v>2.6618557453501217</v>
      </c>
      <c r="P132" s="136">
        <f t="shared" ca="1" si="30"/>
        <v>26.618557453501214</v>
      </c>
      <c r="Q132" s="136">
        <f t="shared" ca="1" si="31"/>
        <v>26.618557453501214</v>
      </c>
      <c r="R132" s="136">
        <f t="shared" ca="1" si="32"/>
        <v>2.6618557453501213</v>
      </c>
      <c r="S132" s="136">
        <f t="shared" ca="1" si="33"/>
        <v>2.6618557453501213</v>
      </c>
      <c r="T132" s="104">
        <f t="shared" ca="1" si="34"/>
        <v>0</v>
      </c>
      <c r="U132" s="87">
        <f t="shared" ca="1" si="35"/>
        <v>1202.4506512506252</v>
      </c>
      <c r="V132" s="104">
        <f t="shared" ca="1" si="36"/>
        <v>0</v>
      </c>
      <c r="W132" s="133">
        <f t="shared" ca="1" si="37"/>
        <v>12810.743704775685</v>
      </c>
      <c r="X132" s="104">
        <f t="shared" ca="1" si="38"/>
        <v>0</v>
      </c>
      <c r="Y132" s="135">
        <f t="shared" ca="1" si="39"/>
        <v>0</v>
      </c>
      <c r="AE132" s="104"/>
    </row>
    <row r="133" spans="1:31" x14ac:dyDescent="0.2">
      <c r="A133" s="98">
        <v>0</v>
      </c>
      <c r="B133" s="98">
        <v>3</v>
      </c>
      <c r="C133" s="98">
        <f t="shared" si="20"/>
        <v>7</v>
      </c>
      <c r="D133" s="98">
        <f t="shared" si="21"/>
        <v>6</v>
      </c>
      <c r="E133" s="98">
        <f t="shared" si="22"/>
        <v>0</v>
      </c>
      <c r="F133" s="118">
        <f t="shared" ca="1" si="23"/>
        <v>1.6947839999999999E-2</v>
      </c>
      <c r="G133" s="98">
        <v>0</v>
      </c>
      <c r="H133" s="98">
        <v>1</v>
      </c>
      <c r="I133" s="98">
        <v>4</v>
      </c>
      <c r="J133" s="118">
        <f t="shared" ca="1" si="24"/>
        <v>0</v>
      </c>
      <c r="K133" s="118">
        <f t="shared" ca="1" si="25"/>
        <v>0</v>
      </c>
      <c r="L133" s="133">
        <f t="shared" ca="1" si="26"/>
        <v>216</v>
      </c>
      <c r="M133" s="130">
        <f t="shared" ca="1" si="27"/>
        <v>784</v>
      </c>
      <c r="N133" s="100">
        <f t="shared" ca="1" si="28"/>
        <v>4</v>
      </c>
      <c r="O133" s="136">
        <f t="shared" ca="1" si="29"/>
        <v>2.6618557453501217</v>
      </c>
      <c r="P133" s="136">
        <f t="shared" ca="1" si="30"/>
        <v>26.618557453501214</v>
      </c>
      <c r="Q133" s="136">
        <f t="shared" ca="1" si="31"/>
        <v>26.618557453501214</v>
      </c>
      <c r="R133" s="136">
        <f t="shared" ca="1" si="32"/>
        <v>2.6618557453501213</v>
      </c>
      <c r="S133" s="136">
        <f t="shared" ca="1" si="33"/>
        <v>2.6618557453501213</v>
      </c>
      <c r="T133" s="104">
        <f t="shared" ca="1" si="34"/>
        <v>0</v>
      </c>
      <c r="U133" s="87">
        <f t="shared" ca="1" si="35"/>
        <v>1190.4506512506252</v>
      </c>
      <c r="V133" s="104">
        <f t="shared" ca="1" si="36"/>
        <v>0</v>
      </c>
      <c r="W133" s="133">
        <f t="shared" ca="1" si="37"/>
        <v>10675.619753979738</v>
      </c>
      <c r="X133" s="104">
        <f t="shared" ca="1" si="38"/>
        <v>0</v>
      </c>
      <c r="Y133" s="135">
        <f t="shared" ca="1" si="39"/>
        <v>0</v>
      </c>
      <c r="AE133" s="104"/>
    </row>
    <row r="134" spans="1:31" x14ac:dyDescent="0.2">
      <c r="A134" s="98">
        <v>0</v>
      </c>
      <c r="B134" s="98">
        <v>3</v>
      </c>
      <c r="C134" s="98">
        <f t="shared" si="20"/>
        <v>7</v>
      </c>
      <c r="D134" s="98">
        <f t="shared" si="21"/>
        <v>6</v>
      </c>
      <c r="E134" s="98">
        <f t="shared" si="22"/>
        <v>0</v>
      </c>
      <c r="F134" s="118">
        <f t="shared" ca="1" si="23"/>
        <v>1.6947839999999999E-2</v>
      </c>
      <c r="G134" s="98">
        <v>0</v>
      </c>
      <c r="H134" s="98">
        <v>1</v>
      </c>
      <c r="I134" s="98">
        <v>3</v>
      </c>
      <c r="J134" s="118">
        <f t="shared" ca="1" si="24"/>
        <v>0</v>
      </c>
      <c r="K134" s="118">
        <f t="shared" ca="1" si="25"/>
        <v>0</v>
      </c>
      <c r="L134" s="133">
        <f t="shared" ca="1" si="26"/>
        <v>204</v>
      </c>
      <c r="M134" s="130">
        <f t="shared" ca="1" si="27"/>
        <v>796</v>
      </c>
      <c r="N134" s="100">
        <f t="shared" ca="1" si="28"/>
        <v>4</v>
      </c>
      <c r="O134" s="136">
        <f t="shared" ca="1" si="29"/>
        <v>2.6618557453501217</v>
      </c>
      <c r="P134" s="136">
        <f t="shared" ca="1" si="30"/>
        <v>26.618557453501214</v>
      </c>
      <c r="Q134" s="136">
        <f t="shared" ca="1" si="31"/>
        <v>26.618557453501214</v>
      </c>
      <c r="R134" s="136">
        <f t="shared" ca="1" si="32"/>
        <v>2.6618557453501213</v>
      </c>
      <c r="S134" s="136">
        <f t="shared" ca="1" si="33"/>
        <v>2.6618557453501213</v>
      </c>
      <c r="T134" s="104">
        <f t="shared" ca="1" si="34"/>
        <v>0</v>
      </c>
      <c r="U134" s="87">
        <f t="shared" ca="1" si="35"/>
        <v>1178.4506512506252</v>
      </c>
      <c r="V134" s="104">
        <f t="shared" ca="1" si="36"/>
        <v>0</v>
      </c>
      <c r="W134" s="133">
        <f t="shared" ca="1" si="37"/>
        <v>8540.4958031837905</v>
      </c>
      <c r="X134" s="104">
        <f t="shared" ca="1" si="38"/>
        <v>0</v>
      </c>
      <c r="Y134" s="135">
        <f t="shared" ca="1" si="39"/>
        <v>0</v>
      </c>
      <c r="AE134" s="104"/>
    </row>
    <row r="135" spans="1:31" x14ac:dyDescent="0.2">
      <c r="A135" s="98">
        <v>0</v>
      </c>
      <c r="B135" s="98">
        <v>3</v>
      </c>
      <c r="C135" s="98">
        <f t="shared" si="20"/>
        <v>7</v>
      </c>
      <c r="D135" s="98">
        <f t="shared" si="21"/>
        <v>6</v>
      </c>
      <c r="E135" s="98">
        <f t="shared" si="22"/>
        <v>0</v>
      </c>
      <c r="F135" s="118">
        <f t="shared" ca="1" si="23"/>
        <v>1.6947839999999999E-2</v>
      </c>
      <c r="G135" s="98">
        <v>0</v>
      </c>
      <c r="H135" s="98">
        <v>1</v>
      </c>
      <c r="I135" s="98">
        <v>2</v>
      </c>
      <c r="J135" s="118">
        <f t="shared" ca="1" si="24"/>
        <v>0</v>
      </c>
      <c r="K135" s="118">
        <f t="shared" ca="1" si="25"/>
        <v>0</v>
      </c>
      <c r="L135" s="133">
        <f t="shared" ca="1" si="26"/>
        <v>192</v>
      </c>
      <c r="M135" s="130">
        <f t="shared" ca="1" si="27"/>
        <v>808</v>
      </c>
      <c r="N135" s="100">
        <f t="shared" ca="1" si="28"/>
        <v>4</v>
      </c>
      <c r="O135" s="136">
        <f t="shared" ca="1" si="29"/>
        <v>2.6618557453501217</v>
      </c>
      <c r="P135" s="136">
        <f t="shared" ca="1" si="30"/>
        <v>26.618557453501214</v>
      </c>
      <c r="Q135" s="136">
        <f t="shared" ca="1" si="31"/>
        <v>26.618557453501214</v>
      </c>
      <c r="R135" s="136">
        <f t="shared" ca="1" si="32"/>
        <v>2.6618557453501213</v>
      </c>
      <c r="S135" s="136">
        <f t="shared" ca="1" si="33"/>
        <v>2.6618557453501213</v>
      </c>
      <c r="T135" s="104">
        <f t="shared" ca="1" si="34"/>
        <v>0</v>
      </c>
      <c r="U135" s="87">
        <f t="shared" ca="1" si="35"/>
        <v>1166.4506512506252</v>
      </c>
      <c r="V135" s="104">
        <f t="shared" ca="1" si="36"/>
        <v>0</v>
      </c>
      <c r="W135" s="133">
        <f t="shared" ca="1" si="37"/>
        <v>6405.3718523878433</v>
      </c>
      <c r="X135" s="104">
        <f t="shared" ca="1" si="38"/>
        <v>0</v>
      </c>
      <c r="Y135" s="135">
        <f t="shared" ca="1" si="39"/>
        <v>0</v>
      </c>
      <c r="AE135" s="104"/>
    </row>
    <row r="136" spans="1:31" x14ac:dyDescent="0.2">
      <c r="A136" s="98">
        <v>0</v>
      </c>
      <c r="B136" s="98">
        <v>3</v>
      </c>
      <c r="C136" s="98">
        <f t="shared" si="20"/>
        <v>7</v>
      </c>
      <c r="D136" s="98">
        <f t="shared" si="21"/>
        <v>6</v>
      </c>
      <c r="E136" s="98">
        <f t="shared" si="22"/>
        <v>0</v>
      </c>
      <c r="F136" s="118">
        <f t="shared" ca="1" si="23"/>
        <v>1.6947839999999999E-2</v>
      </c>
      <c r="G136" s="98">
        <v>0</v>
      </c>
      <c r="H136" s="98">
        <v>1</v>
      </c>
      <c r="I136" s="98">
        <v>1</v>
      </c>
      <c r="J136" s="118">
        <f t="shared" ca="1" si="24"/>
        <v>0</v>
      </c>
      <c r="K136" s="118">
        <f t="shared" ca="1" si="25"/>
        <v>0</v>
      </c>
      <c r="L136" s="133">
        <f t="shared" ca="1" si="26"/>
        <v>180</v>
      </c>
      <c r="M136" s="130">
        <f t="shared" ca="1" si="27"/>
        <v>820</v>
      </c>
      <c r="N136" s="100">
        <f t="shared" ca="1" si="28"/>
        <v>4</v>
      </c>
      <c r="O136" s="136">
        <f t="shared" ca="1" si="29"/>
        <v>2.6618557453501217</v>
      </c>
      <c r="P136" s="136">
        <f t="shared" ca="1" si="30"/>
        <v>26.618557453501214</v>
      </c>
      <c r="Q136" s="136">
        <f t="shared" ca="1" si="31"/>
        <v>26.618557453501214</v>
      </c>
      <c r="R136" s="136">
        <f t="shared" ca="1" si="32"/>
        <v>2.6618557453501213</v>
      </c>
      <c r="S136" s="136">
        <f t="shared" ca="1" si="33"/>
        <v>2.6618557453501213</v>
      </c>
      <c r="T136" s="104">
        <f t="shared" ca="1" si="34"/>
        <v>0</v>
      </c>
      <c r="U136" s="87">
        <f t="shared" ca="1" si="35"/>
        <v>1154.4506512506252</v>
      </c>
      <c r="V136" s="104">
        <f t="shared" ca="1" si="36"/>
        <v>0</v>
      </c>
      <c r="W136" s="133">
        <f t="shared" ca="1" si="37"/>
        <v>4270.2479015918952</v>
      </c>
      <c r="X136" s="104">
        <f t="shared" ca="1" si="38"/>
        <v>0</v>
      </c>
      <c r="Y136" s="135">
        <f t="shared" ca="1" si="39"/>
        <v>0</v>
      </c>
      <c r="AE136" s="104"/>
    </row>
    <row r="137" spans="1:31" x14ac:dyDescent="0.2">
      <c r="A137" s="98">
        <v>0</v>
      </c>
      <c r="B137" s="98">
        <v>3</v>
      </c>
      <c r="C137" s="98">
        <f t="shared" si="20"/>
        <v>7</v>
      </c>
      <c r="D137" s="98">
        <f t="shared" si="21"/>
        <v>6</v>
      </c>
      <c r="E137" s="98">
        <f t="shared" si="22"/>
        <v>0</v>
      </c>
      <c r="F137" s="118">
        <f t="shared" ca="1" si="23"/>
        <v>1.6947839999999999E-2</v>
      </c>
      <c r="G137" s="98">
        <v>0</v>
      </c>
      <c r="H137" s="98">
        <v>1</v>
      </c>
      <c r="I137" s="98">
        <v>0</v>
      </c>
      <c r="J137" s="118">
        <f t="shared" ca="1" si="24"/>
        <v>0</v>
      </c>
      <c r="K137" s="118">
        <f t="shared" ca="1" si="25"/>
        <v>0</v>
      </c>
      <c r="L137" s="133">
        <f t="shared" ca="1" si="26"/>
        <v>168</v>
      </c>
      <c r="M137" s="130">
        <f t="shared" ca="1" si="27"/>
        <v>832</v>
      </c>
      <c r="N137" s="100">
        <f t="shared" ca="1" si="28"/>
        <v>5</v>
      </c>
      <c r="O137" s="136">
        <f t="shared" ca="1" si="29"/>
        <v>3.2590583346360766</v>
      </c>
      <c r="P137" s="136">
        <f t="shared" ca="1" si="30"/>
        <v>28.410165221359076</v>
      </c>
      <c r="Q137" s="136">
        <f t="shared" ca="1" si="31"/>
        <v>26.618557453501214</v>
      </c>
      <c r="R137" s="136">
        <f t="shared" ca="1" si="32"/>
        <v>2.7514361337430144</v>
      </c>
      <c r="S137" s="136">
        <f t="shared" ca="1" si="33"/>
        <v>3.091543008341366</v>
      </c>
      <c r="T137" s="104">
        <f t="shared" ca="1" si="34"/>
        <v>0</v>
      </c>
      <c r="U137" s="87">
        <f t="shared" ca="1" si="35"/>
        <v>1294.1569825567776</v>
      </c>
      <c r="V137" s="104">
        <f t="shared" ca="1" si="36"/>
        <v>0</v>
      </c>
      <c r="W137" s="133">
        <f t="shared" ca="1" si="37"/>
        <v>2135.1239507959476</v>
      </c>
      <c r="X137" s="104">
        <f t="shared" ca="1" si="38"/>
        <v>0</v>
      </c>
      <c r="Y137" s="135">
        <f t="shared" ca="1" si="39"/>
        <v>0</v>
      </c>
      <c r="AE137" s="104"/>
    </row>
    <row r="138" spans="1:31" x14ac:dyDescent="0.2">
      <c r="A138" s="98">
        <v>0</v>
      </c>
      <c r="B138" s="98">
        <v>3</v>
      </c>
      <c r="C138" s="98">
        <f t="shared" si="20"/>
        <v>7</v>
      </c>
      <c r="D138" s="98">
        <f t="shared" si="21"/>
        <v>6</v>
      </c>
      <c r="E138" s="98">
        <f t="shared" si="22"/>
        <v>0</v>
      </c>
      <c r="F138" s="118">
        <f t="shared" ca="1" si="23"/>
        <v>1.6947839999999999E-2</v>
      </c>
      <c r="G138" s="98">
        <v>0</v>
      </c>
      <c r="H138" s="98">
        <v>0</v>
      </c>
      <c r="I138" s="98">
        <v>7</v>
      </c>
      <c r="J138" s="118">
        <f t="shared" si="24"/>
        <v>0</v>
      </c>
      <c r="K138" s="118">
        <f t="shared" ca="1" si="25"/>
        <v>0</v>
      </c>
      <c r="L138" s="133">
        <f t="shared" ca="1" si="26"/>
        <v>84</v>
      </c>
      <c r="M138" s="130">
        <f t="shared" ca="1" si="27"/>
        <v>916</v>
      </c>
      <c r="N138" s="100">
        <f t="shared" ca="1" si="28"/>
        <v>5</v>
      </c>
      <c r="O138" s="136">
        <f t="shared" ca="1" si="29"/>
        <v>3.2590583346360766</v>
      </c>
      <c r="P138" s="136">
        <f t="shared" ca="1" si="30"/>
        <v>32.590583346360766</v>
      </c>
      <c r="Q138" s="136">
        <f t="shared" ca="1" si="31"/>
        <v>32.590583346360766</v>
      </c>
      <c r="R138" s="136">
        <f t="shared" ca="1" si="32"/>
        <v>3.2590583346360766</v>
      </c>
      <c r="S138" s="136">
        <f t="shared" ca="1" si="33"/>
        <v>3.2590583346360766</v>
      </c>
      <c r="T138" s="104">
        <f t="shared" ca="1" si="34"/>
        <v>0</v>
      </c>
      <c r="U138" s="87">
        <f t="shared" ca="1" si="35"/>
        <v>1269.3003125517403</v>
      </c>
      <c r="V138" s="104">
        <f t="shared" ca="1" si="36"/>
        <v>0</v>
      </c>
      <c r="W138" s="133">
        <f t="shared" ca="1" si="37"/>
        <v>14945.867655571634</v>
      </c>
      <c r="X138" s="104">
        <f t="shared" ca="1" si="38"/>
        <v>0</v>
      </c>
      <c r="Y138" s="135">
        <f t="shared" ca="1" si="39"/>
        <v>0</v>
      </c>
      <c r="AE138" s="104"/>
    </row>
    <row r="139" spans="1:31" x14ac:dyDescent="0.2">
      <c r="A139" s="98">
        <v>0</v>
      </c>
      <c r="B139" s="98">
        <v>3</v>
      </c>
      <c r="C139" s="98">
        <f t="shared" si="20"/>
        <v>7</v>
      </c>
      <c r="D139" s="98">
        <f t="shared" si="21"/>
        <v>6</v>
      </c>
      <c r="E139" s="98">
        <f t="shared" si="22"/>
        <v>0</v>
      </c>
      <c r="F139" s="118">
        <f t="shared" ca="1" si="23"/>
        <v>1.6947839999999999E-2</v>
      </c>
      <c r="G139" s="98">
        <v>0</v>
      </c>
      <c r="H139" s="98">
        <v>0</v>
      </c>
      <c r="I139" s="98">
        <v>6</v>
      </c>
      <c r="J139" s="118">
        <f t="shared" ca="1" si="24"/>
        <v>3.6754594531249997E-2</v>
      </c>
      <c r="K139" s="118">
        <f t="shared" ca="1" si="25"/>
        <v>6.2291098738049991E-4</v>
      </c>
      <c r="L139" s="133">
        <f t="shared" ca="1" si="26"/>
        <v>72</v>
      </c>
      <c r="M139" s="130">
        <f t="shared" ca="1" si="27"/>
        <v>928</v>
      </c>
      <c r="N139" s="100">
        <f t="shared" ca="1" si="28"/>
        <v>5</v>
      </c>
      <c r="O139" s="136">
        <f t="shared" ca="1" si="29"/>
        <v>3.2590583346360766</v>
      </c>
      <c r="P139" s="136">
        <f t="shared" ca="1" si="30"/>
        <v>32.590583346360766</v>
      </c>
      <c r="Q139" s="136">
        <f t="shared" ca="1" si="31"/>
        <v>32.590583346360766</v>
      </c>
      <c r="R139" s="136">
        <f t="shared" ca="1" si="32"/>
        <v>3.2590583346360766</v>
      </c>
      <c r="S139" s="136">
        <f t="shared" ca="1" si="33"/>
        <v>3.2590583346360766</v>
      </c>
      <c r="T139" s="104">
        <f t="shared" ca="1" si="34"/>
        <v>2.0301032451588061E-3</v>
      </c>
      <c r="U139" s="87">
        <f t="shared" ca="1" si="35"/>
        <v>1257.3003125517403</v>
      </c>
      <c r="V139" s="104">
        <f t="shared" ca="1" si="36"/>
        <v>0.78318617912541566</v>
      </c>
      <c r="W139" s="133">
        <f t="shared" ca="1" si="37"/>
        <v>12810.743704775687</v>
      </c>
      <c r="X139" s="104">
        <f t="shared" ca="1" si="38"/>
        <v>7.9799530102203464</v>
      </c>
      <c r="Y139" s="135">
        <f t="shared" ca="1" si="39"/>
        <v>4.4849591091395996E-2</v>
      </c>
      <c r="AE139" s="104"/>
    </row>
    <row r="140" spans="1:31" x14ac:dyDescent="0.2">
      <c r="A140" s="98">
        <v>0</v>
      </c>
      <c r="B140" s="98">
        <v>3</v>
      </c>
      <c r="C140" s="98">
        <f t="shared" si="20"/>
        <v>7</v>
      </c>
      <c r="D140" s="98">
        <f t="shared" si="21"/>
        <v>6</v>
      </c>
      <c r="E140" s="98">
        <f t="shared" si="22"/>
        <v>0</v>
      </c>
      <c r="F140" s="118">
        <f t="shared" ca="1" si="23"/>
        <v>1.6947839999999999E-2</v>
      </c>
      <c r="G140" s="98">
        <v>0</v>
      </c>
      <c r="H140" s="98">
        <v>0</v>
      </c>
      <c r="I140" s="98">
        <v>5</v>
      </c>
      <c r="J140" s="118">
        <f t="shared" ca="1" si="24"/>
        <v>1.1606714062500011E-2</v>
      </c>
      <c r="K140" s="118">
        <f t="shared" ca="1" si="25"/>
        <v>1.9670873285700018E-4</v>
      </c>
      <c r="L140" s="133">
        <f t="shared" ca="1" si="26"/>
        <v>60</v>
      </c>
      <c r="M140" s="130">
        <f t="shared" ca="1" si="27"/>
        <v>940</v>
      </c>
      <c r="N140" s="100">
        <f t="shared" ca="1" si="28"/>
        <v>5</v>
      </c>
      <c r="O140" s="136">
        <f t="shared" ca="1" si="29"/>
        <v>3.2590583346360766</v>
      </c>
      <c r="P140" s="136">
        <f t="shared" ca="1" si="30"/>
        <v>32.590583346360766</v>
      </c>
      <c r="Q140" s="136">
        <f t="shared" ca="1" si="31"/>
        <v>32.590583346360766</v>
      </c>
      <c r="R140" s="136">
        <f t="shared" ca="1" si="32"/>
        <v>3.2590583346360766</v>
      </c>
      <c r="S140" s="136">
        <f t="shared" ca="1" si="33"/>
        <v>3.2590583346360766</v>
      </c>
      <c r="T140" s="104">
        <f t="shared" ca="1" si="34"/>
        <v>6.4108523531330791E-4</v>
      </c>
      <c r="U140" s="87">
        <f t="shared" ca="1" si="35"/>
        <v>1245.3003125517403</v>
      </c>
      <c r="V140" s="104">
        <f t="shared" ca="1" si="36"/>
        <v>0.24496144650847912</v>
      </c>
      <c r="W140" s="133">
        <f t="shared" ca="1" si="37"/>
        <v>10675.619753979738</v>
      </c>
      <c r="X140" s="104">
        <f t="shared" ca="1" si="38"/>
        <v>2.0999876342685142</v>
      </c>
      <c r="Y140" s="135">
        <f t="shared" ca="1" si="39"/>
        <v>1.1802523971420011E-2</v>
      </c>
      <c r="AE140" s="104"/>
    </row>
    <row r="141" spans="1:31" x14ac:dyDescent="0.2">
      <c r="A141" s="98">
        <v>0</v>
      </c>
      <c r="B141" s="98">
        <v>3</v>
      </c>
      <c r="C141" s="98">
        <f t="shared" si="20"/>
        <v>7</v>
      </c>
      <c r="D141" s="98">
        <f t="shared" si="21"/>
        <v>6</v>
      </c>
      <c r="E141" s="98">
        <f t="shared" si="22"/>
        <v>0</v>
      </c>
      <c r="F141" s="118">
        <f t="shared" ca="1" si="23"/>
        <v>1.6947839999999999E-2</v>
      </c>
      <c r="G141" s="98">
        <v>0</v>
      </c>
      <c r="H141" s="98">
        <v>0</v>
      </c>
      <c r="I141" s="98">
        <v>4</v>
      </c>
      <c r="J141" s="118">
        <f t="shared" ca="1" si="24"/>
        <v>1.5271992187500026E-3</v>
      </c>
      <c r="K141" s="118">
        <f t="shared" ca="1" si="25"/>
        <v>2.5882728007500042E-5</v>
      </c>
      <c r="L141" s="133">
        <f t="shared" ca="1" si="26"/>
        <v>48</v>
      </c>
      <c r="M141" s="130">
        <f t="shared" ca="1" si="27"/>
        <v>952</v>
      </c>
      <c r="N141" s="100">
        <f t="shared" ca="1" si="28"/>
        <v>5</v>
      </c>
      <c r="O141" s="136">
        <f t="shared" ca="1" si="29"/>
        <v>3.2590583346360766</v>
      </c>
      <c r="P141" s="136">
        <f t="shared" ca="1" si="30"/>
        <v>32.590583346360766</v>
      </c>
      <c r="Q141" s="136">
        <f t="shared" ca="1" si="31"/>
        <v>32.590583346360766</v>
      </c>
      <c r="R141" s="136">
        <f t="shared" ca="1" si="32"/>
        <v>3.2590583346360766</v>
      </c>
      <c r="S141" s="136">
        <f t="shared" ca="1" si="33"/>
        <v>3.2590583346360766</v>
      </c>
      <c r="T141" s="104">
        <f t="shared" ca="1" si="34"/>
        <v>8.435332043596163E-5</v>
      </c>
      <c r="U141" s="87">
        <f t="shared" ca="1" si="35"/>
        <v>1233.3003125517403</v>
      </c>
      <c r="V141" s="104">
        <f t="shared" ca="1" si="36"/>
        <v>3.1921176541341481E-2</v>
      </c>
      <c r="W141" s="133">
        <f t="shared" ca="1" si="37"/>
        <v>8540.4958031837905</v>
      </c>
      <c r="X141" s="104">
        <f t="shared" ca="1" si="38"/>
        <v>0.22105132992300167</v>
      </c>
      <c r="Y141" s="135">
        <f t="shared" ca="1" si="39"/>
        <v>1.2423709443600021E-3</v>
      </c>
      <c r="AE141" s="104"/>
    </row>
    <row r="142" spans="1:31" x14ac:dyDescent="0.2">
      <c r="A142" s="98">
        <v>0</v>
      </c>
      <c r="B142" s="98">
        <v>3</v>
      </c>
      <c r="C142" s="98">
        <f t="shared" si="20"/>
        <v>7</v>
      </c>
      <c r="D142" s="98">
        <f t="shared" si="21"/>
        <v>6</v>
      </c>
      <c r="E142" s="98">
        <f t="shared" si="22"/>
        <v>0</v>
      </c>
      <c r="F142" s="118">
        <f t="shared" ca="1" si="23"/>
        <v>1.6947839999999999E-2</v>
      </c>
      <c r="G142" s="98">
        <v>0</v>
      </c>
      <c r="H142" s="98">
        <v>0</v>
      </c>
      <c r="I142" s="98">
        <v>3</v>
      </c>
      <c r="J142" s="118">
        <f t="shared" ca="1" si="24"/>
        <v>1.0717187500000027E-4</v>
      </c>
      <c r="K142" s="118">
        <f t="shared" ca="1" si="25"/>
        <v>1.8163317900000044E-6</v>
      </c>
      <c r="L142" s="133">
        <f t="shared" ca="1" si="26"/>
        <v>36</v>
      </c>
      <c r="M142" s="130">
        <f t="shared" ca="1" si="27"/>
        <v>964</v>
      </c>
      <c r="N142" s="100">
        <f t="shared" ca="1" si="28"/>
        <v>5</v>
      </c>
      <c r="O142" s="136">
        <f t="shared" ca="1" si="29"/>
        <v>3.2590583346360766</v>
      </c>
      <c r="P142" s="136">
        <f t="shared" ca="1" si="30"/>
        <v>32.590583346360766</v>
      </c>
      <c r="Q142" s="136">
        <f t="shared" ca="1" si="31"/>
        <v>32.590583346360766</v>
      </c>
      <c r="R142" s="136">
        <f t="shared" ca="1" si="32"/>
        <v>3.2590583346360766</v>
      </c>
      <c r="S142" s="136">
        <f t="shared" ca="1" si="33"/>
        <v>3.2590583346360766</v>
      </c>
      <c r="T142" s="104">
        <f t="shared" ca="1" si="34"/>
        <v>5.9195312586639785E-6</v>
      </c>
      <c r="U142" s="87">
        <f t="shared" ca="1" si="35"/>
        <v>1221.3003125517403</v>
      </c>
      <c r="V142" s="104">
        <f t="shared" ca="1" si="36"/>
        <v>2.2182865828246673E-3</v>
      </c>
      <c r="W142" s="133">
        <f t="shared" ca="1" si="37"/>
        <v>6405.3718523878433</v>
      </c>
      <c r="X142" s="104">
        <f t="shared" ca="1" si="38"/>
        <v>1.1634280522263256E-2</v>
      </c>
      <c r="Y142" s="135">
        <f t="shared" ca="1" si="39"/>
        <v>6.5387944440000167E-5</v>
      </c>
      <c r="AE142" s="104"/>
    </row>
    <row r="143" spans="1:31" x14ac:dyDescent="0.2">
      <c r="A143" s="98">
        <v>0</v>
      </c>
      <c r="B143" s="98">
        <v>3</v>
      </c>
      <c r="C143" s="98">
        <f t="shared" si="20"/>
        <v>7</v>
      </c>
      <c r="D143" s="98">
        <f t="shared" si="21"/>
        <v>6</v>
      </c>
      <c r="E143" s="98">
        <f t="shared" si="22"/>
        <v>0</v>
      </c>
      <c r="F143" s="118">
        <f t="shared" ca="1" si="23"/>
        <v>1.6947839999999999E-2</v>
      </c>
      <c r="G143" s="98">
        <v>0</v>
      </c>
      <c r="H143" s="98">
        <v>0</v>
      </c>
      <c r="I143" s="98">
        <v>2</v>
      </c>
      <c r="J143" s="118">
        <f t="shared" ca="1" si="24"/>
        <v>4.2304687500000152E-6</v>
      </c>
      <c r="K143" s="118">
        <f t="shared" ca="1" si="25"/>
        <v>7.1697307500000252E-8</v>
      </c>
      <c r="L143" s="133">
        <f t="shared" ca="1" si="26"/>
        <v>24</v>
      </c>
      <c r="M143" s="130">
        <f t="shared" ca="1" si="27"/>
        <v>976</v>
      </c>
      <c r="N143" s="100">
        <f t="shared" ca="1" si="28"/>
        <v>5</v>
      </c>
      <c r="O143" s="136">
        <f t="shared" ca="1" si="29"/>
        <v>3.2590583346360766</v>
      </c>
      <c r="P143" s="136">
        <f t="shared" ca="1" si="30"/>
        <v>32.590583346360766</v>
      </c>
      <c r="Q143" s="136">
        <f t="shared" ca="1" si="31"/>
        <v>32.590583346360766</v>
      </c>
      <c r="R143" s="136">
        <f t="shared" ca="1" si="32"/>
        <v>3.2590583346360766</v>
      </c>
      <c r="S143" s="136">
        <f t="shared" ca="1" si="33"/>
        <v>3.2590583346360766</v>
      </c>
      <c r="T143" s="104">
        <f t="shared" ca="1" si="34"/>
        <v>2.336657075788415E-7</v>
      </c>
      <c r="U143" s="87">
        <f t="shared" ca="1" si="35"/>
        <v>1209.3003125517403</v>
      </c>
      <c r="V143" s="104">
        <f t="shared" ca="1" si="36"/>
        <v>8.6703576368868539E-5</v>
      </c>
      <c r="W143" s="133">
        <f t="shared" ca="1" si="37"/>
        <v>4270.2479015918952</v>
      </c>
      <c r="X143" s="104">
        <f t="shared" ca="1" si="38"/>
        <v>3.0616527690166491E-4</v>
      </c>
      <c r="Y143" s="135">
        <f t="shared" ca="1" si="39"/>
        <v>1.720735380000006E-6</v>
      </c>
      <c r="AE143" s="104"/>
    </row>
    <row r="144" spans="1:31" x14ac:dyDescent="0.2">
      <c r="A144" s="98">
        <v>0</v>
      </c>
      <c r="B144" s="98">
        <v>3</v>
      </c>
      <c r="C144" s="98">
        <f t="shared" si="20"/>
        <v>7</v>
      </c>
      <c r="D144" s="98">
        <f t="shared" si="21"/>
        <v>6</v>
      </c>
      <c r="E144" s="98">
        <f t="shared" si="22"/>
        <v>0</v>
      </c>
      <c r="F144" s="118">
        <f t="shared" ca="1" si="23"/>
        <v>1.6947839999999999E-2</v>
      </c>
      <c r="G144" s="98">
        <v>0</v>
      </c>
      <c r="H144" s="98">
        <v>0</v>
      </c>
      <c r="I144" s="98">
        <v>1</v>
      </c>
      <c r="J144" s="118">
        <f t="shared" ca="1" si="24"/>
        <v>8.9062500000000418E-8</v>
      </c>
      <c r="K144" s="118">
        <f t="shared" ca="1" si="25"/>
        <v>1.5094170000000071E-9</v>
      </c>
      <c r="L144" s="133">
        <f t="shared" ca="1" si="26"/>
        <v>12</v>
      </c>
      <c r="M144" s="130">
        <f t="shared" ca="1" si="27"/>
        <v>988</v>
      </c>
      <c r="N144" s="100">
        <f t="shared" ca="1" si="28"/>
        <v>5</v>
      </c>
      <c r="O144" s="136">
        <f t="shared" ca="1" si="29"/>
        <v>3.2590583346360766</v>
      </c>
      <c r="P144" s="136">
        <f t="shared" ca="1" si="30"/>
        <v>32.590583346360766</v>
      </c>
      <c r="Q144" s="136">
        <f t="shared" ca="1" si="31"/>
        <v>32.590583346360766</v>
      </c>
      <c r="R144" s="136">
        <f t="shared" ca="1" si="32"/>
        <v>3.2590583346360766</v>
      </c>
      <c r="S144" s="136">
        <f t="shared" ca="1" si="33"/>
        <v>3.2590583346360766</v>
      </c>
      <c r="T144" s="104">
        <f t="shared" ca="1" si="34"/>
        <v>4.9192780542914058E-9</v>
      </c>
      <c r="U144" s="87">
        <f t="shared" ca="1" si="35"/>
        <v>1197.3003125517403</v>
      </c>
      <c r="V144" s="104">
        <f t="shared" ca="1" si="36"/>
        <v>1.8072254458709185E-6</v>
      </c>
      <c r="W144" s="133">
        <f t="shared" ca="1" si="37"/>
        <v>2135.1239507959476</v>
      </c>
      <c r="X144" s="104">
        <f t="shared" ca="1" si="38"/>
        <v>3.222792388438582E-6</v>
      </c>
      <c r="Y144" s="135">
        <f t="shared" ca="1" si="39"/>
        <v>1.8113004000000085E-8</v>
      </c>
      <c r="AE144" s="104"/>
    </row>
    <row r="145" spans="1:31" x14ac:dyDescent="0.2">
      <c r="A145" s="98">
        <v>0</v>
      </c>
      <c r="B145" s="98">
        <v>3</v>
      </c>
      <c r="C145" s="98">
        <f t="shared" si="20"/>
        <v>7</v>
      </c>
      <c r="D145" s="98">
        <f t="shared" si="21"/>
        <v>6</v>
      </c>
      <c r="E145" s="98">
        <f t="shared" si="22"/>
        <v>0</v>
      </c>
      <c r="F145" s="118">
        <f t="shared" ca="1" si="23"/>
        <v>1.6947839999999999E-2</v>
      </c>
      <c r="G145" s="98">
        <v>0</v>
      </c>
      <c r="H145" s="98">
        <v>0</v>
      </c>
      <c r="I145" s="98">
        <v>0</v>
      </c>
      <c r="J145" s="118">
        <f t="shared" ca="1" si="24"/>
        <v>7.812500000000041E-10</v>
      </c>
      <c r="K145" s="118">
        <f t="shared" ca="1" si="25"/>
        <v>1.3240500000000068E-11</v>
      </c>
      <c r="L145" s="133">
        <f t="shared" ca="1" si="26"/>
        <v>0</v>
      </c>
      <c r="M145" s="130">
        <f t="shared" ca="1" si="27"/>
        <v>1000</v>
      </c>
      <c r="N145" s="100">
        <f t="shared" ca="1" si="28"/>
        <v>5</v>
      </c>
      <c r="O145" s="136">
        <f t="shared" ca="1" si="29"/>
        <v>3.2590583346360766</v>
      </c>
      <c r="P145" s="136">
        <f t="shared" ca="1" si="30"/>
        <v>32.590583346360766</v>
      </c>
      <c r="Q145" s="136">
        <f t="shared" ca="1" si="31"/>
        <v>32.590583346360766</v>
      </c>
      <c r="R145" s="136">
        <f t="shared" ca="1" si="32"/>
        <v>3.2590583346360766</v>
      </c>
      <c r="S145" s="136">
        <f t="shared" ca="1" si="33"/>
        <v>3.2590583346360766</v>
      </c>
      <c r="T145" s="104">
        <f t="shared" ca="1" si="34"/>
        <v>4.3151561879749198E-11</v>
      </c>
      <c r="U145" s="87">
        <f t="shared" ca="1" si="35"/>
        <v>1185.3003125517403</v>
      </c>
      <c r="V145" s="104">
        <f t="shared" ca="1" si="36"/>
        <v>1.5693968788341397E-8</v>
      </c>
      <c r="W145" s="133">
        <f t="shared" ca="1" si="37"/>
        <v>0</v>
      </c>
      <c r="X145" s="104">
        <f t="shared" ca="1" si="38"/>
        <v>0</v>
      </c>
      <c r="Y145" s="135">
        <f t="shared" ca="1" si="39"/>
        <v>0</v>
      </c>
      <c r="AE145" s="104"/>
    </row>
    <row r="146" spans="1:31" x14ac:dyDescent="0.2">
      <c r="A146" s="98">
        <v>1</v>
      </c>
      <c r="B146" s="98">
        <v>0</v>
      </c>
      <c r="C146" s="98">
        <f t="shared" ref="C146:C209" si="40">MIN(8, 1+$B$10+$B$9+A146+B146)</f>
        <v>5</v>
      </c>
      <c r="D146" s="98">
        <f t="shared" ref="D146:D209" si="41">C146-(1+$B$10)</f>
        <v>4</v>
      </c>
      <c r="E146" s="98">
        <f t="shared" ref="E146:E209" si="42">MIN(A146, C146-(1+$B$10+$B$9))</f>
        <v>1</v>
      </c>
      <c r="F146" s="118">
        <f t="shared" ref="F146:F209" ca="1" si="43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0.179518300416</v>
      </c>
      <c r="G146" s="98">
        <v>1</v>
      </c>
      <c r="H146" s="98">
        <v>1</v>
      </c>
      <c r="I146" s="98">
        <v>7</v>
      </c>
      <c r="J146" s="118">
        <f t="shared" ref="J146:J209" si="44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18">
        <f t="shared" ref="K146:K209" ca="1" si="45">F146*J146</f>
        <v>0</v>
      </c>
      <c r="L146" s="133">
        <f t="shared" ref="L146:L209" ca="1" si="46">MAX((G146+H146)*Set1WSTP + I146*$B$6, Set1SaveTP)</f>
        <v>420</v>
      </c>
      <c r="M146" s="130">
        <f t="shared" ref="M146:M209" ca="1" si="47">MAX(Set1MinTP-(L146+Set1Regain), 0)</f>
        <v>580</v>
      </c>
      <c r="N146" s="100">
        <f t="shared" ref="N146:N209" ca="1" si="48">CEILING(M146/Set1MeleeTP, 1)</f>
        <v>3</v>
      </c>
      <c r="O146" s="136">
        <f t="shared" ref="O146:O209" ca="1" si="49">VLOOKUP(N146,AvgRoundsSet1,2)</f>
        <v>2.0946097612518035</v>
      </c>
      <c r="P146" s="136">
        <f t="shared" ref="P146:P209" ca="1" si="50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20.946097612518034</v>
      </c>
      <c r="Q146" s="136">
        <f t="shared" ref="Q146:Q209" ca="1" si="51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20.946097612518034</v>
      </c>
      <c r="R146" s="136">
        <f t="shared" ref="R146:R209" ca="1" si="52">(P146+Q146)/20</f>
        <v>2.0946097612518035</v>
      </c>
      <c r="S146" s="136">
        <f t="shared" ref="S146:S209" ca="1" si="53">R146*Set1ConserveTP + O146*(1-Set1ConserveTP)</f>
        <v>2.0946097612518035</v>
      </c>
      <c r="T146" s="104">
        <f t="shared" ref="T146:T209" ca="1" si="54">K146*S146</f>
        <v>0</v>
      </c>
      <c r="U146" s="87">
        <f t="shared" ref="U146:U209" ca="1" si="55">MIN(L146+(S146+Set1OverTP)*AvgHitsPerRound1*Set1MeleeTP + Set1Regain + 105*Set1ConserveTP, 3000)</f>
        <v>1194.1775349459019</v>
      </c>
      <c r="V146" s="104">
        <f t="shared" ref="V146:V209" ca="1" si="56">U146*K146</f>
        <v>0</v>
      </c>
      <c r="W146" s="133">
        <f t="shared" ref="W146:W209" ca="1" si="57">G146*$K$10*((1-$L$10)*$L$14 + $L$10*$M$14*$M$10)*Set1WSDmg + H146*$K$13*((1-$L$13)*$L$14 + $L$13*$M$14*$M$11) + I146*$K$11*((1-$L$11)*$L$14 + $L$11*$M$14*$M$11) + E146*$K$12*$L$12*$M$10</f>
        <v>19493.681670767</v>
      </c>
      <c r="X146" s="104">
        <f t="shared" ref="X146:X209" ca="1" si="58">K146*W146</f>
        <v>0</v>
      </c>
      <c r="Y146" s="135">
        <f t="shared" ca="1" si="39"/>
        <v>0</v>
      </c>
      <c r="AE146" s="104"/>
    </row>
    <row r="147" spans="1:31" x14ac:dyDescent="0.2">
      <c r="A147" s="98">
        <v>1</v>
      </c>
      <c r="B147" s="98">
        <v>0</v>
      </c>
      <c r="C147" s="98">
        <f t="shared" si="40"/>
        <v>5</v>
      </c>
      <c r="D147" s="98">
        <f t="shared" si="41"/>
        <v>4</v>
      </c>
      <c r="E147" s="98">
        <f t="shared" si="42"/>
        <v>1</v>
      </c>
      <c r="F147" s="118">
        <f t="shared" ca="1" si="43"/>
        <v>0.179518300416</v>
      </c>
      <c r="G147" s="98">
        <v>1</v>
      </c>
      <c r="H147" s="98">
        <v>1</v>
      </c>
      <c r="I147" s="98">
        <v>6</v>
      </c>
      <c r="J147" s="118">
        <f t="shared" si="44"/>
        <v>0</v>
      </c>
      <c r="K147" s="118">
        <f t="shared" ca="1" si="45"/>
        <v>0</v>
      </c>
      <c r="L147" s="133">
        <f t="shared" ca="1" si="46"/>
        <v>408</v>
      </c>
      <c r="M147" s="130">
        <f t="shared" ca="1" si="47"/>
        <v>592</v>
      </c>
      <c r="N147" s="100">
        <f t="shared" ca="1" si="48"/>
        <v>3</v>
      </c>
      <c r="O147" s="136">
        <f t="shared" ca="1" si="49"/>
        <v>2.0946097612518035</v>
      </c>
      <c r="P147" s="136">
        <f t="shared" ca="1" si="50"/>
        <v>20.946097612518034</v>
      </c>
      <c r="Q147" s="136">
        <f t="shared" ca="1" si="51"/>
        <v>20.946097612518034</v>
      </c>
      <c r="R147" s="136">
        <f t="shared" ca="1" si="52"/>
        <v>2.0946097612518035</v>
      </c>
      <c r="S147" s="136">
        <f t="shared" ca="1" si="53"/>
        <v>2.0946097612518035</v>
      </c>
      <c r="T147" s="104">
        <f t="shared" ca="1" si="54"/>
        <v>0</v>
      </c>
      <c r="U147" s="87">
        <f t="shared" ca="1" si="55"/>
        <v>1182.1775349459019</v>
      </c>
      <c r="V147" s="104">
        <f t="shared" ca="1" si="56"/>
        <v>0</v>
      </c>
      <c r="W147" s="133">
        <f t="shared" ca="1" si="57"/>
        <v>17358.557719971053</v>
      </c>
      <c r="X147" s="104">
        <f t="shared" ca="1" si="58"/>
        <v>0</v>
      </c>
      <c r="Y147" s="135">
        <f t="shared" ref="Y147:Y210" ca="1" si="59">K147*L147</f>
        <v>0</v>
      </c>
      <c r="AE147" s="104"/>
    </row>
    <row r="148" spans="1:31" x14ac:dyDescent="0.2">
      <c r="A148" s="98">
        <v>1</v>
      </c>
      <c r="B148" s="98">
        <v>0</v>
      </c>
      <c r="C148" s="98">
        <f t="shared" si="40"/>
        <v>5</v>
      </c>
      <c r="D148" s="98">
        <f t="shared" si="41"/>
        <v>4</v>
      </c>
      <c r="E148" s="98">
        <f t="shared" si="42"/>
        <v>1</v>
      </c>
      <c r="F148" s="118">
        <f t="shared" ca="1" si="43"/>
        <v>0.179518300416</v>
      </c>
      <c r="G148" s="98">
        <v>1</v>
      </c>
      <c r="H148" s="98">
        <v>1</v>
      </c>
      <c r="I148" s="98">
        <v>5</v>
      </c>
      <c r="J148" s="118">
        <f t="shared" si="44"/>
        <v>0</v>
      </c>
      <c r="K148" s="118">
        <f t="shared" ca="1" si="45"/>
        <v>0</v>
      </c>
      <c r="L148" s="133">
        <f t="shared" ca="1" si="46"/>
        <v>396</v>
      </c>
      <c r="M148" s="130">
        <f t="shared" ca="1" si="47"/>
        <v>604</v>
      </c>
      <c r="N148" s="100">
        <f t="shared" ca="1" si="48"/>
        <v>3</v>
      </c>
      <c r="O148" s="136">
        <f t="shared" ca="1" si="49"/>
        <v>2.0946097612518035</v>
      </c>
      <c r="P148" s="136">
        <f t="shared" ca="1" si="50"/>
        <v>20.946097612518034</v>
      </c>
      <c r="Q148" s="136">
        <f t="shared" ca="1" si="51"/>
        <v>20.946097612518034</v>
      </c>
      <c r="R148" s="136">
        <f t="shared" ca="1" si="52"/>
        <v>2.0946097612518035</v>
      </c>
      <c r="S148" s="136">
        <f t="shared" ca="1" si="53"/>
        <v>2.0946097612518035</v>
      </c>
      <c r="T148" s="104">
        <f t="shared" ca="1" si="54"/>
        <v>0</v>
      </c>
      <c r="U148" s="87">
        <f t="shared" ca="1" si="55"/>
        <v>1170.1775349459019</v>
      </c>
      <c r="V148" s="104">
        <f t="shared" ca="1" si="56"/>
        <v>0</v>
      </c>
      <c r="W148" s="133">
        <f t="shared" ca="1" si="57"/>
        <v>15223.433769175106</v>
      </c>
      <c r="X148" s="104">
        <f t="shared" ca="1" si="58"/>
        <v>0</v>
      </c>
      <c r="Y148" s="135">
        <f t="shared" ca="1" si="59"/>
        <v>0</v>
      </c>
      <c r="AE148" s="104"/>
    </row>
    <row r="149" spans="1:31" x14ac:dyDescent="0.2">
      <c r="A149" s="98">
        <v>1</v>
      </c>
      <c r="B149" s="98">
        <v>0</v>
      </c>
      <c r="C149" s="98">
        <f t="shared" si="40"/>
        <v>5</v>
      </c>
      <c r="D149" s="98">
        <f t="shared" si="41"/>
        <v>4</v>
      </c>
      <c r="E149" s="98">
        <f t="shared" si="42"/>
        <v>1</v>
      </c>
      <c r="F149" s="118">
        <f t="shared" ca="1" si="43"/>
        <v>0.179518300416</v>
      </c>
      <c r="G149" s="98">
        <v>1</v>
      </c>
      <c r="H149" s="98">
        <v>1</v>
      </c>
      <c r="I149" s="98">
        <v>4</v>
      </c>
      <c r="J149" s="118">
        <f t="shared" ca="1" si="44"/>
        <v>0</v>
      </c>
      <c r="K149" s="118">
        <f t="shared" ca="1" si="45"/>
        <v>0</v>
      </c>
      <c r="L149" s="133">
        <f t="shared" ca="1" si="46"/>
        <v>384</v>
      </c>
      <c r="M149" s="130">
        <f t="shared" ca="1" si="47"/>
        <v>616</v>
      </c>
      <c r="N149" s="100">
        <f t="shared" ca="1" si="48"/>
        <v>3</v>
      </c>
      <c r="O149" s="136">
        <f t="shared" ca="1" si="49"/>
        <v>2.0946097612518035</v>
      </c>
      <c r="P149" s="136">
        <f t="shared" ca="1" si="50"/>
        <v>20.946097612518034</v>
      </c>
      <c r="Q149" s="136">
        <f t="shared" ca="1" si="51"/>
        <v>20.946097612518034</v>
      </c>
      <c r="R149" s="136">
        <f t="shared" ca="1" si="52"/>
        <v>2.0946097612518035</v>
      </c>
      <c r="S149" s="136">
        <f t="shared" ca="1" si="53"/>
        <v>2.0946097612518035</v>
      </c>
      <c r="T149" s="104">
        <f t="shared" ca="1" si="54"/>
        <v>0</v>
      </c>
      <c r="U149" s="87">
        <f t="shared" ca="1" si="55"/>
        <v>1158.1775349459019</v>
      </c>
      <c r="V149" s="104">
        <f t="shared" ca="1" si="56"/>
        <v>0</v>
      </c>
      <c r="W149" s="133">
        <f t="shared" ca="1" si="57"/>
        <v>13088.309818379159</v>
      </c>
      <c r="X149" s="104">
        <f t="shared" ca="1" si="58"/>
        <v>0</v>
      </c>
      <c r="Y149" s="135">
        <f t="shared" ca="1" si="59"/>
        <v>0</v>
      </c>
      <c r="AE149" s="104"/>
    </row>
    <row r="150" spans="1:31" x14ac:dyDescent="0.2">
      <c r="A150" s="98">
        <v>1</v>
      </c>
      <c r="B150" s="98">
        <v>0</v>
      </c>
      <c r="C150" s="98">
        <f t="shared" si="40"/>
        <v>5</v>
      </c>
      <c r="D150" s="98">
        <f t="shared" si="41"/>
        <v>4</v>
      </c>
      <c r="E150" s="98">
        <f t="shared" si="42"/>
        <v>1</v>
      </c>
      <c r="F150" s="118">
        <f t="shared" ca="1" si="43"/>
        <v>0.179518300416</v>
      </c>
      <c r="G150" s="98">
        <v>1</v>
      </c>
      <c r="H150" s="98">
        <v>1</v>
      </c>
      <c r="I150" s="98">
        <v>3</v>
      </c>
      <c r="J150" s="118">
        <f t="shared" ca="1" si="44"/>
        <v>0</v>
      </c>
      <c r="K150" s="118">
        <f t="shared" ca="1" si="45"/>
        <v>0</v>
      </c>
      <c r="L150" s="133">
        <f t="shared" ca="1" si="46"/>
        <v>372</v>
      </c>
      <c r="M150" s="130">
        <f t="shared" ca="1" si="47"/>
        <v>628</v>
      </c>
      <c r="N150" s="100">
        <f t="shared" ca="1" si="48"/>
        <v>4</v>
      </c>
      <c r="O150" s="136">
        <f t="shared" ca="1" si="49"/>
        <v>2.6618557453501217</v>
      </c>
      <c r="P150" s="136">
        <f t="shared" ca="1" si="50"/>
        <v>24.349573517107945</v>
      </c>
      <c r="Q150" s="136">
        <f t="shared" ca="1" si="51"/>
        <v>20.946097612518034</v>
      </c>
      <c r="R150" s="136">
        <f t="shared" ca="1" si="52"/>
        <v>2.2647835564812988</v>
      </c>
      <c r="S150" s="136">
        <f t="shared" ca="1" si="53"/>
        <v>2.5308219230234101</v>
      </c>
      <c r="T150" s="104">
        <f t="shared" ca="1" si="54"/>
        <v>0</v>
      </c>
      <c r="U150" s="87">
        <f t="shared" ca="1" si="55"/>
        <v>1300.1875613842344</v>
      </c>
      <c r="V150" s="104">
        <f t="shared" ca="1" si="56"/>
        <v>0</v>
      </c>
      <c r="W150" s="133">
        <f t="shared" ca="1" si="57"/>
        <v>10953.185867583212</v>
      </c>
      <c r="X150" s="104">
        <f t="shared" ca="1" si="58"/>
        <v>0</v>
      </c>
      <c r="Y150" s="135">
        <f t="shared" ca="1" si="59"/>
        <v>0</v>
      </c>
      <c r="AE150" s="104"/>
    </row>
    <row r="151" spans="1:31" x14ac:dyDescent="0.2">
      <c r="A151" s="98">
        <v>1</v>
      </c>
      <c r="B151" s="98">
        <v>0</v>
      </c>
      <c r="C151" s="98">
        <f t="shared" si="40"/>
        <v>5</v>
      </c>
      <c r="D151" s="98">
        <f t="shared" si="41"/>
        <v>4</v>
      </c>
      <c r="E151" s="98">
        <f t="shared" si="42"/>
        <v>1</v>
      </c>
      <c r="F151" s="118">
        <f t="shared" ca="1" si="43"/>
        <v>0.179518300416</v>
      </c>
      <c r="G151" s="98">
        <v>1</v>
      </c>
      <c r="H151" s="98">
        <v>1</v>
      </c>
      <c r="I151" s="98">
        <v>2</v>
      </c>
      <c r="J151" s="118">
        <f t="shared" ca="1" si="44"/>
        <v>0</v>
      </c>
      <c r="K151" s="118">
        <f t="shared" ca="1" si="45"/>
        <v>0</v>
      </c>
      <c r="L151" s="133">
        <f t="shared" ca="1" si="46"/>
        <v>360</v>
      </c>
      <c r="M151" s="130">
        <f t="shared" ca="1" si="47"/>
        <v>640</v>
      </c>
      <c r="N151" s="100">
        <f t="shared" ca="1" si="48"/>
        <v>4</v>
      </c>
      <c r="O151" s="136">
        <f t="shared" ca="1" si="49"/>
        <v>2.6618557453501217</v>
      </c>
      <c r="P151" s="136">
        <f t="shared" ca="1" si="50"/>
        <v>26.618557453501214</v>
      </c>
      <c r="Q151" s="136">
        <f t="shared" ca="1" si="51"/>
        <v>25.48406548530458</v>
      </c>
      <c r="R151" s="136">
        <f t="shared" ca="1" si="52"/>
        <v>2.6051311469402898</v>
      </c>
      <c r="S151" s="136">
        <f t="shared" ca="1" si="53"/>
        <v>2.6431366278748771</v>
      </c>
      <c r="T151" s="104">
        <f t="shared" ca="1" si="54"/>
        <v>0</v>
      </c>
      <c r="U151" s="87">
        <f t="shared" ca="1" si="55"/>
        <v>1327.8416384125694</v>
      </c>
      <c r="V151" s="104">
        <f t="shared" ca="1" si="56"/>
        <v>0</v>
      </c>
      <c r="W151" s="133">
        <f t="shared" ca="1" si="57"/>
        <v>8818.0619167872646</v>
      </c>
      <c r="X151" s="104">
        <f t="shared" ca="1" si="58"/>
        <v>0</v>
      </c>
      <c r="Y151" s="135">
        <f t="shared" ca="1" si="59"/>
        <v>0</v>
      </c>
      <c r="AE151" s="104"/>
    </row>
    <row r="152" spans="1:31" x14ac:dyDescent="0.2">
      <c r="A152" s="98">
        <v>1</v>
      </c>
      <c r="B152" s="98">
        <v>0</v>
      </c>
      <c r="C152" s="98">
        <f t="shared" si="40"/>
        <v>5</v>
      </c>
      <c r="D152" s="98">
        <f t="shared" si="41"/>
        <v>4</v>
      </c>
      <c r="E152" s="98">
        <f t="shared" si="42"/>
        <v>1</v>
      </c>
      <c r="F152" s="118">
        <f t="shared" ca="1" si="43"/>
        <v>0.179518300416</v>
      </c>
      <c r="G152" s="98">
        <v>1</v>
      </c>
      <c r="H152" s="98">
        <v>1</v>
      </c>
      <c r="I152" s="98">
        <v>1</v>
      </c>
      <c r="J152" s="118">
        <f t="shared" ca="1" si="44"/>
        <v>0</v>
      </c>
      <c r="K152" s="118">
        <f t="shared" ca="1" si="45"/>
        <v>0</v>
      </c>
      <c r="L152" s="133">
        <f t="shared" ca="1" si="46"/>
        <v>348</v>
      </c>
      <c r="M152" s="130">
        <f t="shared" ca="1" si="47"/>
        <v>652</v>
      </c>
      <c r="N152" s="100">
        <f t="shared" ca="1" si="48"/>
        <v>4</v>
      </c>
      <c r="O152" s="136">
        <f t="shared" ca="1" si="49"/>
        <v>2.6618557453501217</v>
      </c>
      <c r="P152" s="136">
        <f t="shared" ca="1" si="50"/>
        <v>26.618557453501214</v>
      </c>
      <c r="Q152" s="136">
        <f t="shared" ca="1" si="51"/>
        <v>26.618557453501214</v>
      </c>
      <c r="R152" s="136">
        <f t="shared" ca="1" si="52"/>
        <v>2.6618557453501213</v>
      </c>
      <c r="S152" s="136">
        <f t="shared" ca="1" si="53"/>
        <v>2.6618557453501213</v>
      </c>
      <c r="T152" s="104">
        <f t="shared" ca="1" si="54"/>
        <v>0</v>
      </c>
      <c r="U152" s="87">
        <f t="shared" ca="1" si="55"/>
        <v>1322.4506512506252</v>
      </c>
      <c r="V152" s="104">
        <f t="shared" ca="1" si="56"/>
        <v>0</v>
      </c>
      <c r="W152" s="133">
        <f t="shared" ca="1" si="57"/>
        <v>6682.9379659913157</v>
      </c>
      <c r="X152" s="104">
        <f t="shared" ca="1" si="58"/>
        <v>0</v>
      </c>
      <c r="Y152" s="135">
        <f t="shared" ca="1" si="59"/>
        <v>0</v>
      </c>
      <c r="AE152" s="104"/>
    </row>
    <row r="153" spans="1:31" x14ac:dyDescent="0.2">
      <c r="A153" s="98">
        <v>1</v>
      </c>
      <c r="B153" s="98">
        <v>0</v>
      </c>
      <c r="C153" s="98">
        <f t="shared" si="40"/>
        <v>5</v>
      </c>
      <c r="D153" s="98">
        <f t="shared" si="41"/>
        <v>4</v>
      </c>
      <c r="E153" s="98">
        <f t="shared" si="42"/>
        <v>1</v>
      </c>
      <c r="F153" s="118">
        <f t="shared" ca="1" si="43"/>
        <v>0.179518300416</v>
      </c>
      <c r="G153" s="98">
        <v>1</v>
      </c>
      <c r="H153" s="98">
        <v>1</v>
      </c>
      <c r="I153" s="98">
        <v>0</v>
      </c>
      <c r="J153" s="118">
        <f t="shared" ca="1" si="44"/>
        <v>0</v>
      </c>
      <c r="K153" s="118">
        <f t="shared" ca="1" si="45"/>
        <v>0</v>
      </c>
      <c r="L153" s="133">
        <f t="shared" ca="1" si="46"/>
        <v>336</v>
      </c>
      <c r="M153" s="130">
        <f t="shared" ca="1" si="47"/>
        <v>664</v>
      </c>
      <c r="N153" s="100">
        <f t="shared" ca="1" si="48"/>
        <v>4</v>
      </c>
      <c r="O153" s="136">
        <f t="shared" ca="1" si="49"/>
        <v>2.6618557453501217</v>
      </c>
      <c r="P153" s="136">
        <f t="shared" ca="1" si="50"/>
        <v>26.618557453501214</v>
      </c>
      <c r="Q153" s="136">
        <f t="shared" ca="1" si="51"/>
        <v>26.618557453501214</v>
      </c>
      <c r="R153" s="136">
        <f t="shared" ca="1" si="52"/>
        <v>2.6618557453501213</v>
      </c>
      <c r="S153" s="136">
        <f t="shared" ca="1" si="53"/>
        <v>2.6618557453501213</v>
      </c>
      <c r="T153" s="104">
        <f t="shared" ca="1" si="54"/>
        <v>0</v>
      </c>
      <c r="U153" s="87">
        <f t="shared" ca="1" si="55"/>
        <v>1310.4506512506252</v>
      </c>
      <c r="V153" s="104">
        <f t="shared" ca="1" si="56"/>
        <v>0</v>
      </c>
      <c r="W153" s="133">
        <f t="shared" ca="1" si="57"/>
        <v>4547.8140151953685</v>
      </c>
      <c r="X153" s="104">
        <f t="shared" ca="1" si="58"/>
        <v>0</v>
      </c>
      <c r="Y153" s="135">
        <f t="shared" ca="1" si="59"/>
        <v>0</v>
      </c>
      <c r="AE153" s="104"/>
    </row>
    <row r="154" spans="1:31" x14ac:dyDescent="0.2">
      <c r="A154" s="98">
        <v>1</v>
      </c>
      <c r="B154" s="98">
        <v>0</v>
      </c>
      <c r="C154" s="98">
        <f t="shared" si="40"/>
        <v>5</v>
      </c>
      <c r="D154" s="98">
        <f t="shared" si="41"/>
        <v>4</v>
      </c>
      <c r="E154" s="98">
        <f t="shared" si="42"/>
        <v>1</v>
      </c>
      <c r="F154" s="118">
        <f t="shared" ca="1" si="43"/>
        <v>0.179518300416</v>
      </c>
      <c r="G154" s="98">
        <v>1</v>
      </c>
      <c r="H154" s="98">
        <v>0</v>
      </c>
      <c r="I154" s="98">
        <v>7</v>
      </c>
      <c r="J154" s="118">
        <f t="shared" si="44"/>
        <v>0</v>
      </c>
      <c r="K154" s="118">
        <f t="shared" ca="1" si="45"/>
        <v>0</v>
      </c>
      <c r="L154" s="133">
        <f t="shared" ca="1" si="46"/>
        <v>252</v>
      </c>
      <c r="M154" s="130">
        <f t="shared" ca="1" si="47"/>
        <v>748</v>
      </c>
      <c r="N154" s="100">
        <f t="shared" ca="1" si="48"/>
        <v>4</v>
      </c>
      <c r="O154" s="136">
        <f t="shared" ca="1" si="49"/>
        <v>2.6618557453501217</v>
      </c>
      <c r="P154" s="136">
        <f t="shared" ca="1" si="50"/>
        <v>26.618557453501214</v>
      </c>
      <c r="Q154" s="136">
        <f t="shared" ca="1" si="51"/>
        <v>26.618557453501214</v>
      </c>
      <c r="R154" s="136">
        <f t="shared" ca="1" si="52"/>
        <v>2.6618557453501213</v>
      </c>
      <c r="S154" s="136">
        <f t="shared" ca="1" si="53"/>
        <v>2.6618557453501213</v>
      </c>
      <c r="T154" s="104">
        <f t="shared" ca="1" si="54"/>
        <v>0</v>
      </c>
      <c r="U154" s="87">
        <f t="shared" ca="1" si="55"/>
        <v>1226.4506512506252</v>
      </c>
      <c r="V154" s="104">
        <f t="shared" ca="1" si="56"/>
        <v>0</v>
      </c>
      <c r="W154" s="133">
        <f t="shared" ca="1" si="57"/>
        <v>17358.557719971053</v>
      </c>
      <c r="X154" s="104">
        <f t="shared" ca="1" si="58"/>
        <v>0</v>
      </c>
      <c r="Y154" s="135">
        <f t="shared" ca="1" si="59"/>
        <v>0</v>
      </c>
      <c r="AE154" s="104"/>
    </row>
    <row r="155" spans="1:31" x14ac:dyDescent="0.2">
      <c r="A155" s="98">
        <v>1</v>
      </c>
      <c r="B155" s="98">
        <v>0</v>
      </c>
      <c r="C155" s="98">
        <f t="shared" si="40"/>
        <v>5</v>
      </c>
      <c r="D155" s="98">
        <f t="shared" si="41"/>
        <v>4</v>
      </c>
      <c r="E155" s="98">
        <f t="shared" si="42"/>
        <v>1</v>
      </c>
      <c r="F155" s="118">
        <f t="shared" ca="1" si="43"/>
        <v>0.179518300416</v>
      </c>
      <c r="G155" s="98">
        <v>1</v>
      </c>
      <c r="H155" s="98">
        <v>0</v>
      </c>
      <c r="I155" s="98">
        <v>6</v>
      </c>
      <c r="J155" s="118">
        <f t="shared" si="44"/>
        <v>0</v>
      </c>
      <c r="K155" s="118">
        <f t="shared" ca="1" si="45"/>
        <v>0</v>
      </c>
      <c r="L155" s="133">
        <f t="shared" ca="1" si="46"/>
        <v>240</v>
      </c>
      <c r="M155" s="130">
        <f t="shared" ca="1" si="47"/>
        <v>760</v>
      </c>
      <c r="N155" s="100">
        <f t="shared" ca="1" si="48"/>
        <v>4</v>
      </c>
      <c r="O155" s="136">
        <f t="shared" ca="1" si="49"/>
        <v>2.6618557453501217</v>
      </c>
      <c r="P155" s="136">
        <f t="shared" ca="1" si="50"/>
        <v>26.618557453501214</v>
      </c>
      <c r="Q155" s="136">
        <f t="shared" ca="1" si="51"/>
        <v>26.618557453501214</v>
      </c>
      <c r="R155" s="136">
        <f t="shared" ca="1" si="52"/>
        <v>2.6618557453501213</v>
      </c>
      <c r="S155" s="136">
        <f t="shared" ca="1" si="53"/>
        <v>2.6618557453501213</v>
      </c>
      <c r="T155" s="104">
        <f t="shared" ca="1" si="54"/>
        <v>0</v>
      </c>
      <c r="U155" s="87">
        <f t="shared" ca="1" si="55"/>
        <v>1214.4506512506252</v>
      </c>
      <c r="V155" s="104">
        <f t="shared" ca="1" si="56"/>
        <v>0</v>
      </c>
      <c r="W155" s="133">
        <f t="shared" ca="1" si="57"/>
        <v>15223.433769175106</v>
      </c>
      <c r="X155" s="104">
        <f t="shared" ca="1" si="58"/>
        <v>0</v>
      </c>
      <c r="Y155" s="135">
        <f t="shared" ca="1" si="59"/>
        <v>0</v>
      </c>
      <c r="AE155" s="104"/>
    </row>
    <row r="156" spans="1:31" x14ac:dyDescent="0.2">
      <c r="A156" s="98">
        <v>1</v>
      </c>
      <c r="B156" s="98">
        <v>0</v>
      </c>
      <c r="C156" s="98">
        <f t="shared" si="40"/>
        <v>5</v>
      </c>
      <c r="D156" s="98">
        <f t="shared" si="41"/>
        <v>4</v>
      </c>
      <c r="E156" s="98">
        <f t="shared" si="42"/>
        <v>1</v>
      </c>
      <c r="F156" s="118">
        <f t="shared" ca="1" si="43"/>
        <v>0.179518300416</v>
      </c>
      <c r="G156" s="98">
        <v>1</v>
      </c>
      <c r="H156" s="98">
        <v>0</v>
      </c>
      <c r="I156" s="98">
        <v>5</v>
      </c>
      <c r="J156" s="118">
        <f t="shared" si="44"/>
        <v>0</v>
      </c>
      <c r="K156" s="118">
        <f t="shared" ca="1" si="45"/>
        <v>0</v>
      </c>
      <c r="L156" s="133">
        <f t="shared" ca="1" si="46"/>
        <v>228</v>
      </c>
      <c r="M156" s="130">
        <f t="shared" ca="1" si="47"/>
        <v>772</v>
      </c>
      <c r="N156" s="100">
        <f t="shared" ca="1" si="48"/>
        <v>4</v>
      </c>
      <c r="O156" s="136">
        <f t="shared" ca="1" si="49"/>
        <v>2.6618557453501217</v>
      </c>
      <c r="P156" s="136">
        <f t="shared" ca="1" si="50"/>
        <v>26.618557453501214</v>
      </c>
      <c r="Q156" s="136">
        <f t="shared" ca="1" si="51"/>
        <v>26.618557453501214</v>
      </c>
      <c r="R156" s="136">
        <f t="shared" ca="1" si="52"/>
        <v>2.6618557453501213</v>
      </c>
      <c r="S156" s="136">
        <f t="shared" ca="1" si="53"/>
        <v>2.6618557453501213</v>
      </c>
      <c r="T156" s="104">
        <f t="shared" ca="1" si="54"/>
        <v>0</v>
      </c>
      <c r="U156" s="87">
        <f t="shared" ca="1" si="55"/>
        <v>1202.4506512506252</v>
      </c>
      <c r="V156" s="104">
        <f t="shared" ca="1" si="56"/>
        <v>0</v>
      </c>
      <c r="W156" s="133">
        <f t="shared" ca="1" si="57"/>
        <v>13088.309818379159</v>
      </c>
      <c r="X156" s="104">
        <f t="shared" ca="1" si="58"/>
        <v>0</v>
      </c>
      <c r="Y156" s="135">
        <f t="shared" ca="1" si="59"/>
        <v>0</v>
      </c>
      <c r="AE156" s="104"/>
    </row>
    <row r="157" spans="1:31" x14ac:dyDescent="0.2">
      <c r="A157" s="98">
        <v>1</v>
      </c>
      <c r="B157" s="98">
        <v>0</v>
      </c>
      <c r="C157" s="98">
        <f t="shared" si="40"/>
        <v>5</v>
      </c>
      <c r="D157" s="98">
        <f t="shared" si="41"/>
        <v>4</v>
      </c>
      <c r="E157" s="98">
        <f t="shared" si="42"/>
        <v>1</v>
      </c>
      <c r="F157" s="118">
        <f t="shared" ca="1" si="43"/>
        <v>0.179518300416</v>
      </c>
      <c r="G157" s="98">
        <v>1</v>
      </c>
      <c r="H157" s="98">
        <v>0</v>
      </c>
      <c r="I157" s="98">
        <v>4</v>
      </c>
      <c r="J157" s="118">
        <f t="shared" ca="1" si="44"/>
        <v>0.77378093749999999</v>
      </c>
      <c r="K157" s="118">
        <f t="shared" ca="1" si="45"/>
        <v>0.13890783879429913</v>
      </c>
      <c r="L157" s="133">
        <f t="shared" ca="1" si="46"/>
        <v>216</v>
      </c>
      <c r="M157" s="130">
        <f t="shared" ca="1" si="47"/>
        <v>784</v>
      </c>
      <c r="N157" s="100">
        <f t="shared" ca="1" si="48"/>
        <v>4</v>
      </c>
      <c r="O157" s="136">
        <f t="shared" ca="1" si="49"/>
        <v>2.6618557453501217</v>
      </c>
      <c r="P157" s="136">
        <f t="shared" ca="1" si="50"/>
        <v>26.618557453501214</v>
      </c>
      <c r="Q157" s="136">
        <f t="shared" ca="1" si="51"/>
        <v>26.618557453501214</v>
      </c>
      <c r="R157" s="136">
        <f t="shared" ca="1" si="52"/>
        <v>2.6618557453501213</v>
      </c>
      <c r="S157" s="136">
        <f t="shared" ca="1" si="53"/>
        <v>2.6618557453501213</v>
      </c>
      <c r="T157" s="104">
        <f t="shared" ca="1" si="54"/>
        <v>0.36975262876877363</v>
      </c>
      <c r="U157" s="87">
        <f t="shared" ca="1" si="55"/>
        <v>1190.4506512506252</v>
      </c>
      <c r="V157" s="104">
        <f t="shared" ca="1" si="56"/>
        <v>165.36292715649026</v>
      </c>
      <c r="W157" s="133">
        <f t="shared" ca="1" si="57"/>
        <v>10953.185867583212</v>
      </c>
      <c r="X157" s="104">
        <f t="shared" ca="1" si="58"/>
        <v>1521.4833767782443</v>
      </c>
      <c r="Y157" s="135">
        <f t="shared" ca="1" si="59"/>
        <v>30.004093179568613</v>
      </c>
      <c r="AE157" s="104"/>
    </row>
    <row r="158" spans="1:31" x14ac:dyDescent="0.2">
      <c r="A158" s="98">
        <v>1</v>
      </c>
      <c r="B158" s="98">
        <v>0</v>
      </c>
      <c r="C158" s="98">
        <f t="shared" si="40"/>
        <v>5</v>
      </c>
      <c r="D158" s="98">
        <f t="shared" si="41"/>
        <v>4</v>
      </c>
      <c r="E158" s="98">
        <f t="shared" si="42"/>
        <v>1</v>
      </c>
      <c r="F158" s="118">
        <f t="shared" ca="1" si="43"/>
        <v>0.179518300416</v>
      </c>
      <c r="G158" s="98">
        <v>1</v>
      </c>
      <c r="H158" s="98">
        <v>0</v>
      </c>
      <c r="I158" s="98">
        <v>3</v>
      </c>
      <c r="J158" s="118">
        <f t="shared" ca="1" si="44"/>
        <v>0.16290125000000011</v>
      </c>
      <c r="K158" s="118">
        <f t="shared" ca="1" si="45"/>
        <v>2.924375553564194E-2</v>
      </c>
      <c r="L158" s="133">
        <f t="shared" ca="1" si="46"/>
        <v>204</v>
      </c>
      <c r="M158" s="130">
        <f t="shared" ca="1" si="47"/>
        <v>796</v>
      </c>
      <c r="N158" s="100">
        <f t="shared" ca="1" si="48"/>
        <v>4</v>
      </c>
      <c r="O158" s="136">
        <f t="shared" ca="1" si="49"/>
        <v>2.6618557453501217</v>
      </c>
      <c r="P158" s="136">
        <f t="shared" ca="1" si="50"/>
        <v>26.618557453501214</v>
      </c>
      <c r="Q158" s="136">
        <f t="shared" ca="1" si="51"/>
        <v>26.618557453501214</v>
      </c>
      <c r="R158" s="136">
        <f t="shared" ca="1" si="52"/>
        <v>2.6618557453501213</v>
      </c>
      <c r="S158" s="136">
        <f t="shared" ca="1" si="53"/>
        <v>2.6618557453501213</v>
      </c>
      <c r="T158" s="104">
        <f t="shared" ca="1" si="54"/>
        <v>7.7842658688162911E-2</v>
      </c>
      <c r="U158" s="87">
        <f t="shared" ca="1" si="55"/>
        <v>1178.4506512506252</v>
      </c>
      <c r="V158" s="104">
        <f t="shared" ca="1" si="56"/>
        <v>34.462322755991323</v>
      </c>
      <c r="W158" s="133">
        <f t="shared" ca="1" si="57"/>
        <v>8818.0619167872646</v>
      </c>
      <c r="X158" s="104">
        <f t="shared" ca="1" si="58"/>
        <v>257.87324699268095</v>
      </c>
      <c r="Y158" s="135">
        <f t="shared" ca="1" si="59"/>
        <v>5.9657261292709558</v>
      </c>
      <c r="AE158" s="104"/>
    </row>
    <row r="159" spans="1:31" x14ac:dyDescent="0.2">
      <c r="A159" s="98">
        <v>1</v>
      </c>
      <c r="B159" s="98">
        <v>0</v>
      </c>
      <c r="C159" s="98">
        <f t="shared" si="40"/>
        <v>5</v>
      </c>
      <c r="D159" s="98">
        <f t="shared" si="41"/>
        <v>4</v>
      </c>
      <c r="E159" s="98">
        <f t="shared" si="42"/>
        <v>1</v>
      </c>
      <c r="F159" s="118">
        <f t="shared" ca="1" si="43"/>
        <v>0.179518300416</v>
      </c>
      <c r="G159" s="98">
        <v>1</v>
      </c>
      <c r="H159" s="98">
        <v>0</v>
      </c>
      <c r="I159" s="98">
        <v>2</v>
      </c>
      <c r="J159" s="118">
        <f t="shared" ca="1" si="44"/>
        <v>1.2860625000000021E-2</v>
      </c>
      <c r="K159" s="118">
        <f t="shared" ca="1" si="45"/>
        <v>2.308717542287524E-3</v>
      </c>
      <c r="L159" s="133">
        <f t="shared" ca="1" si="46"/>
        <v>192</v>
      </c>
      <c r="M159" s="130">
        <f t="shared" ca="1" si="47"/>
        <v>808</v>
      </c>
      <c r="N159" s="100">
        <f t="shared" ca="1" si="48"/>
        <v>4</v>
      </c>
      <c r="O159" s="136">
        <f t="shared" ca="1" si="49"/>
        <v>2.6618557453501217</v>
      </c>
      <c r="P159" s="136">
        <f t="shared" ca="1" si="50"/>
        <v>26.618557453501214</v>
      </c>
      <c r="Q159" s="136">
        <f t="shared" ca="1" si="51"/>
        <v>26.618557453501214</v>
      </c>
      <c r="R159" s="136">
        <f t="shared" ca="1" si="52"/>
        <v>2.6618557453501213</v>
      </c>
      <c r="S159" s="136">
        <f t="shared" ca="1" si="53"/>
        <v>2.6618557453501213</v>
      </c>
      <c r="T159" s="104">
        <f t="shared" ca="1" si="54"/>
        <v>6.1454730543286573E-3</v>
      </c>
      <c r="U159" s="87">
        <f t="shared" ca="1" si="55"/>
        <v>1166.4506512506252</v>
      </c>
      <c r="V159" s="104">
        <f t="shared" ca="1" si="56"/>
        <v>2.6930050807550252</v>
      </c>
      <c r="W159" s="133">
        <f t="shared" ca="1" si="57"/>
        <v>6682.9379659913157</v>
      </c>
      <c r="X159" s="104">
        <f t="shared" ca="1" si="58"/>
        <v>15.429016116103455</v>
      </c>
      <c r="Y159" s="135">
        <f t="shared" ca="1" si="59"/>
        <v>0.4432737681192046</v>
      </c>
      <c r="AE159" s="104"/>
    </row>
    <row r="160" spans="1:31" x14ac:dyDescent="0.2">
      <c r="A160" s="98">
        <v>1</v>
      </c>
      <c r="B160" s="98">
        <v>0</v>
      </c>
      <c r="C160" s="98">
        <f t="shared" si="40"/>
        <v>5</v>
      </c>
      <c r="D160" s="98">
        <f t="shared" si="41"/>
        <v>4</v>
      </c>
      <c r="E160" s="98">
        <f t="shared" si="42"/>
        <v>1</v>
      </c>
      <c r="F160" s="118">
        <f t="shared" ca="1" si="43"/>
        <v>0.179518300416</v>
      </c>
      <c r="G160" s="98">
        <v>1</v>
      </c>
      <c r="H160" s="98">
        <v>0</v>
      </c>
      <c r="I160" s="98">
        <v>1</v>
      </c>
      <c r="J160" s="118">
        <f t="shared" ca="1" si="44"/>
        <v>4.5125000000000118E-4</v>
      </c>
      <c r="K160" s="118">
        <f t="shared" ca="1" si="45"/>
        <v>8.1007633062720212E-5</v>
      </c>
      <c r="L160" s="133">
        <f t="shared" ca="1" si="46"/>
        <v>180</v>
      </c>
      <c r="M160" s="130">
        <f t="shared" ca="1" si="47"/>
        <v>820</v>
      </c>
      <c r="N160" s="100">
        <f t="shared" ca="1" si="48"/>
        <v>4</v>
      </c>
      <c r="O160" s="136">
        <f t="shared" ca="1" si="49"/>
        <v>2.6618557453501217</v>
      </c>
      <c r="P160" s="136">
        <f t="shared" ca="1" si="50"/>
        <v>26.618557453501214</v>
      </c>
      <c r="Q160" s="136">
        <f t="shared" ca="1" si="51"/>
        <v>26.618557453501214</v>
      </c>
      <c r="R160" s="136">
        <f t="shared" ca="1" si="52"/>
        <v>2.6618557453501213</v>
      </c>
      <c r="S160" s="136">
        <f t="shared" ca="1" si="53"/>
        <v>2.6618557453501213</v>
      </c>
      <c r="T160" s="104">
        <f t="shared" ca="1" si="54"/>
        <v>2.1563063348521624E-4</v>
      </c>
      <c r="U160" s="87">
        <f t="shared" ca="1" si="55"/>
        <v>1154.4506512506252</v>
      </c>
      <c r="V160" s="104">
        <f t="shared" ca="1" si="56"/>
        <v>9.3519314745529034E-2</v>
      </c>
      <c r="W160" s="133">
        <f t="shared" ca="1" si="57"/>
        <v>4547.8140151953685</v>
      </c>
      <c r="X160" s="104">
        <f t="shared" ca="1" si="58"/>
        <v>0.3684076489804427</v>
      </c>
      <c r="Y160" s="135">
        <f t="shared" ca="1" si="59"/>
        <v>1.4581373951289639E-2</v>
      </c>
      <c r="AE160" s="104"/>
    </row>
    <row r="161" spans="1:31" x14ac:dyDescent="0.2">
      <c r="A161" s="98">
        <v>1</v>
      </c>
      <c r="B161" s="98">
        <v>0</v>
      </c>
      <c r="C161" s="98">
        <f t="shared" si="40"/>
        <v>5</v>
      </c>
      <c r="D161" s="98">
        <f t="shared" si="41"/>
        <v>4</v>
      </c>
      <c r="E161" s="98">
        <f t="shared" si="42"/>
        <v>1</v>
      </c>
      <c r="F161" s="118">
        <f t="shared" ca="1" si="43"/>
        <v>0.179518300416</v>
      </c>
      <c r="G161" s="98">
        <v>1</v>
      </c>
      <c r="H161" s="98">
        <v>0</v>
      </c>
      <c r="I161" s="98">
        <v>0</v>
      </c>
      <c r="J161" s="118">
        <f t="shared" ca="1" si="44"/>
        <v>5.9375000000000207E-6</v>
      </c>
      <c r="K161" s="118">
        <f t="shared" ca="1" si="45"/>
        <v>1.0658899087200037E-6</v>
      </c>
      <c r="L161" s="133">
        <f t="shared" ca="1" si="46"/>
        <v>168</v>
      </c>
      <c r="M161" s="130">
        <f t="shared" ca="1" si="47"/>
        <v>832</v>
      </c>
      <c r="N161" s="100">
        <f t="shared" ca="1" si="48"/>
        <v>5</v>
      </c>
      <c r="O161" s="136">
        <f t="shared" ca="1" si="49"/>
        <v>3.2590583346360766</v>
      </c>
      <c r="P161" s="136">
        <f t="shared" ca="1" si="50"/>
        <v>28.410165221359076</v>
      </c>
      <c r="Q161" s="136">
        <f t="shared" ca="1" si="51"/>
        <v>26.618557453501214</v>
      </c>
      <c r="R161" s="136">
        <f t="shared" ca="1" si="52"/>
        <v>2.7514361337430144</v>
      </c>
      <c r="S161" s="136">
        <f t="shared" ca="1" si="53"/>
        <v>3.091543008341366</v>
      </c>
      <c r="T161" s="104">
        <f t="shared" ca="1" si="54"/>
        <v>3.2952444949649442E-6</v>
      </c>
      <c r="U161" s="87">
        <f t="shared" ca="1" si="55"/>
        <v>1294.1569825567776</v>
      </c>
      <c r="V161" s="104">
        <f t="shared" ca="1" si="56"/>
        <v>1.3794288680067991E-3</v>
      </c>
      <c r="W161" s="133">
        <f t="shared" ca="1" si="57"/>
        <v>2412.6900643994204</v>
      </c>
      <c r="X161" s="104">
        <f t="shared" ca="1" si="58"/>
        <v>2.5716619925123581E-3</v>
      </c>
      <c r="Y161" s="135">
        <f t="shared" ca="1" si="59"/>
        <v>1.7906950466496061E-4</v>
      </c>
      <c r="AE161" s="104"/>
    </row>
    <row r="162" spans="1:31" x14ac:dyDescent="0.2">
      <c r="A162" s="98">
        <v>1</v>
      </c>
      <c r="B162" s="98">
        <v>0</v>
      </c>
      <c r="C162" s="98">
        <f t="shared" si="40"/>
        <v>5</v>
      </c>
      <c r="D162" s="98">
        <f t="shared" si="41"/>
        <v>4</v>
      </c>
      <c r="E162" s="98">
        <f t="shared" si="42"/>
        <v>1</v>
      </c>
      <c r="F162" s="118">
        <f t="shared" ca="1" si="43"/>
        <v>0.179518300416</v>
      </c>
      <c r="G162" s="98">
        <v>0</v>
      </c>
      <c r="H162" s="98">
        <v>1</v>
      </c>
      <c r="I162" s="98">
        <v>7</v>
      </c>
      <c r="J162" s="118">
        <f t="shared" si="44"/>
        <v>0</v>
      </c>
      <c r="K162" s="118">
        <f t="shared" ca="1" si="45"/>
        <v>0</v>
      </c>
      <c r="L162" s="133">
        <f t="shared" ca="1" si="46"/>
        <v>252</v>
      </c>
      <c r="M162" s="130">
        <f t="shared" ca="1" si="47"/>
        <v>748</v>
      </c>
      <c r="N162" s="100">
        <f t="shared" ca="1" si="48"/>
        <v>4</v>
      </c>
      <c r="O162" s="136">
        <f t="shared" ca="1" si="49"/>
        <v>2.6618557453501217</v>
      </c>
      <c r="P162" s="136">
        <f t="shared" ca="1" si="50"/>
        <v>26.618557453501214</v>
      </c>
      <c r="Q162" s="136">
        <f t="shared" ca="1" si="51"/>
        <v>26.618557453501214</v>
      </c>
      <c r="R162" s="136">
        <f t="shared" ca="1" si="52"/>
        <v>2.6618557453501213</v>
      </c>
      <c r="S162" s="136">
        <f t="shared" ca="1" si="53"/>
        <v>2.6618557453501213</v>
      </c>
      <c r="T162" s="104">
        <f t="shared" ca="1" si="54"/>
        <v>0</v>
      </c>
      <c r="U162" s="87">
        <f t="shared" ca="1" si="55"/>
        <v>1226.4506512506252</v>
      </c>
      <c r="V162" s="104">
        <f t="shared" ca="1" si="56"/>
        <v>0</v>
      </c>
      <c r="W162" s="133">
        <f t="shared" ca="1" si="57"/>
        <v>17080.991606367581</v>
      </c>
      <c r="X162" s="104">
        <f t="shared" ca="1" si="58"/>
        <v>0</v>
      </c>
      <c r="Y162" s="135">
        <f t="shared" ca="1" si="59"/>
        <v>0</v>
      </c>
      <c r="AE162" s="104"/>
    </row>
    <row r="163" spans="1:31" x14ac:dyDescent="0.2">
      <c r="A163" s="98">
        <v>1</v>
      </c>
      <c r="B163" s="98">
        <v>0</v>
      </c>
      <c r="C163" s="98">
        <f t="shared" si="40"/>
        <v>5</v>
      </c>
      <c r="D163" s="98">
        <f t="shared" si="41"/>
        <v>4</v>
      </c>
      <c r="E163" s="98">
        <f t="shared" si="42"/>
        <v>1</v>
      </c>
      <c r="F163" s="118">
        <f t="shared" ca="1" si="43"/>
        <v>0.179518300416</v>
      </c>
      <c r="G163" s="98">
        <v>0</v>
      </c>
      <c r="H163" s="98">
        <v>1</v>
      </c>
      <c r="I163" s="98">
        <v>6</v>
      </c>
      <c r="J163" s="118">
        <f t="shared" si="44"/>
        <v>0</v>
      </c>
      <c r="K163" s="118">
        <f t="shared" ca="1" si="45"/>
        <v>0</v>
      </c>
      <c r="L163" s="133">
        <f t="shared" ca="1" si="46"/>
        <v>240</v>
      </c>
      <c r="M163" s="130">
        <f t="shared" ca="1" si="47"/>
        <v>760</v>
      </c>
      <c r="N163" s="100">
        <f t="shared" ca="1" si="48"/>
        <v>4</v>
      </c>
      <c r="O163" s="136">
        <f t="shared" ca="1" si="49"/>
        <v>2.6618557453501217</v>
      </c>
      <c r="P163" s="136">
        <f t="shared" ca="1" si="50"/>
        <v>26.618557453501214</v>
      </c>
      <c r="Q163" s="136">
        <f t="shared" ca="1" si="51"/>
        <v>26.618557453501214</v>
      </c>
      <c r="R163" s="136">
        <f t="shared" ca="1" si="52"/>
        <v>2.6618557453501213</v>
      </c>
      <c r="S163" s="136">
        <f t="shared" ca="1" si="53"/>
        <v>2.6618557453501213</v>
      </c>
      <c r="T163" s="104">
        <f t="shared" ca="1" si="54"/>
        <v>0</v>
      </c>
      <c r="U163" s="87">
        <f t="shared" ca="1" si="55"/>
        <v>1214.4506512506252</v>
      </c>
      <c r="V163" s="104">
        <f t="shared" ca="1" si="56"/>
        <v>0</v>
      </c>
      <c r="W163" s="133">
        <f t="shared" ca="1" si="57"/>
        <v>14945.867655571634</v>
      </c>
      <c r="X163" s="104">
        <f t="shared" ca="1" si="58"/>
        <v>0</v>
      </c>
      <c r="Y163" s="135">
        <f t="shared" ca="1" si="59"/>
        <v>0</v>
      </c>
      <c r="AE163" s="104"/>
    </row>
    <row r="164" spans="1:31" x14ac:dyDescent="0.2">
      <c r="A164" s="98">
        <v>1</v>
      </c>
      <c r="B164" s="98">
        <v>0</v>
      </c>
      <c r="C164" s="98">
        <f t="shared" si="40"/>
        <v>5</v>
      </c>
      <c r="D164" s="98">
        <f t="shared" si="41"/>
        <v>4</v>
      </c>
      <c r="E164" s="98">
        <f t="shared" si="42"/>
        <v>1</v>
      </c>
      <c r="F164" s="118">
        <f t="shared" ca="1" si="43"/>
        <v>0.179518300416</v>
      </c>
      <c r="G164" s="98">
        <v>0</v>
      </c>
      <c r="H164" s="98">
        <v>1</v>
      </c>
      <c r="I164" s="98">
        <v>5</v>
      </c>
      <c r="J164" s="118">
        <f t="shared" si="44"/>
        <v>0</v>
      </c>
      <c r="K164" s="118">
        <f t="shared" ca="1" si="45"/>
        <v>0</v>
      </c>
      <c r="L164" s="133">
        <f t="shared" ca="1" si="46"/>
        <v>228</v>
      </c>
      <c r="M164" s="130">
        <f t="shared" ca="1" si="47"/>
        <v>772</v>
      </c>
      <c r="N164" s="100">
        <f t="shared" ca="1" si="48"/>
        <v>4</v>
      </c>
      <c r="O164" s="136">
        <f t="shared" ca="1" si="49"/>
        <v>2.6618557453501217</v>
      </c>
      <c r="P164" s="136">
        <f t="shared" ca="1" si="50"/>
        <v>26.618557453501214</v>
      </c>
      <c r="Q164" s="136">
        <f t="shared" ca="1" si="51"/>
        <v>26.618557453501214</v>
      </c>
      <c r="R164" s="136">
        <f t="shared" ca="1" si="52"/>
        <v>2.6618557453501213</v>
      </c>
      <c r="S164" s="136">
        <f t="shared" ca="1" si="53"/>
        <v>2.6618557453501213</v>
      </c>
      <c r="T164" s="104">
        <f t="shared" ca="1" si="54"/>
        <v>0</v>
      </c>
      <c r="U164" s="87">
        <f t="shared" ca="1" si="55"/>
        <v>1202.4506512506252</v>
      </c>
      <c r="V164" s="104">
        <f t="shared" ca="1" si="56"/>
        <v>0</v>
      </c>
      <c r="W164" s="133">
        <f t="shared" ca="1" si="57"/>
        <v>12810.743704775685</v>
      </c>
      <c r="X164" s="104">
        <f t="shared" ca="1" si="58"/>
        <v>0</v>
      </c>
      <c r="Y164" s="135">
        <f t="shared" ca="1" si="59"/>
        <v>0</v>
      </c>
      <c r="AE164" s="104"/>
    </row>
    <row r="165" spans="1:31" x14ac:dyDescent="0.2">
      <c r="A165" s="98">
        <v>1</v>
      </c>
      <c r="B165" s="98">
        <v>0</v>
      </c>
      <c r="C165" s="98">
        <f t="shared" si="40"/>
        <v>5</v>
      </c>
      <c r="D165" s="98">
        <f t="shared" si="41"/>
        <v>4</v>
      </c>
      <c r="E165" s="98">
        <f t="shared" si="42"/>
        <v>1</v>
      </c>
      <c r="F165" s="118">
        <f t="shared" ca="1" si="43"/>
        <v>0.179518300416</v>
      </c>
      <c r="G165" s="98">
        <v>0</v>
      </c>
      <c r="H165" s="98">
        <v>1</v>
      </c>
      <c r="I165" s="98">
        <v>4</v>
      </c>
      <c r="J165" s="118">
        <f t="shared" ca="1" si="44"/>
        <v>0</v>
      </c>
      <c r="K165" s="118">
        <f t="shared" ca="1" si="45"/>
        <v>0</v>
      </c>
      <c r="L165" s="133">
        <f t="shared" ca="1" si="46"/>
        <v>216</v>
      </c>
      <c r="M165" s="130">
        <f t="shared" ca="1" si="47"/>
        <v>784</v>
      </c>
      <c r="N165" s="100">
        <f t="shared" ca="1" si="48"/>
        <v>4</v>
      </c>
      <c r="O165" s="136">
        <f t="shared" ca="1" si="49"/>
        <v>2.6618557453501217</v>
      </c>
      <c r="P165" s="136">
        <f t="shared" ca="1" si="50"/>
        <v>26.618557453501214</v>
      </c>
      <c r="Q165" s="136">
        <f t="shared" ca="1" si="51"/>
        <v>26.618557453501214</v>
      </c>
      <c r="R165" s="136">
        <f t="shared" ca="1" si="52"/>
        <v>2.6618557453501213</v>
      </c>
      <c r="S165" s="136">
        <f t="shared" ca="1" si="53"/>
        <v>2.6618557453501213</v>
      </c>
      <c r="T165" s="104">
        <f t="shared" ca="1" si="54"/>
        <v>0</v>
      </c>
      <c r="U165" s="87">
        <f t="shared" ca="1" si="55"/>
        <v>1190.4506512506252</v>
      </c>
      <c r="V165" s="104">
        <f t="shared" ca="1" si="56"/>
        <v>0</v>
      </c>
      <c r="W165" s="133">
        <f t="shared" ca="1" si="57"/>
        <v>10675.619753979738</v>
      </c>
      <c r="X165" s="104">
        <f t="shared" ca="1" si="58"/>
        <v>0</v>
      </c>
      <c r="Y165" s="135">
        <f t="shared" ca="1" si="59"/>
        <v>0</v>
      </c>
      <c r="AE165" s="104"/>
    </row>
    <row r="166" spans="1:31" x14ac:dyDescent="0.2">
      <c r="A166" s="98">
        <v>1</v>
      </c>
      <c r="B166" s="98">
        <v>0</v>
      </c>
      <c r="C166" s="98">
        <f t="shared" si="40"/>
        <v>5</v>
      </c>
      <c r="D166" s="98">
        <f t="shared" si="41"/>
        <v>4</v>
      </c>
      <c r="E166" s="98">
        <f t="shared" si="42"/>
        <v>1</v>
      </c>
      <c r="F166" s="118">
        <f t="shared" ca="1" si="43"/>
        <v>0.179518300416</v>
      </c>
      <c r="G166" s="98">
        <v>0</v>
      </c>
      <c r="H166" s="98">
        <v>1</v>
      </c>
      <c r="I166" s="98">
        <v>3</v>
      </c>
      <c r="J166" s="118">
        <f t="shared" ca="1" si="44"/>
        <v>0</v>
      </c>
      <c r="K166" s="118">
        <f t="shared" ca="1" si="45"/>
        <v>0</v>
      </c>
      <c r="L166" s="133">
        <f t="shared" ca="1" si="46"/>
        <v>204</v>
      </c>
      <c r="M166" s="130">
        <f t="shared" ca="1" si="47"/>
        <v>796</v>
      </c>
      <c r="N166" s="100">
        <f t="shared" ca="1" si="48"/>
        <v>4</v>
      </c>
      <c r="O166" s="136">
        <f t="shared" ca="1" si="49"/>
        <v>2.6618557453501217</v>
      </c>
      <c r="P166" s="136">
        <f t="shared" ca="1" si="50"/>
        <v>26.618557453501214</v>
      </c>
      <c r="Q166" s="136">
        <f t="shared" ca="1" si="51"/>
        <v>26.618557453501214</v>
      </c>
      <c r="R166" s="136">
        <f t="shared" ca="1" si="52"/>
        <v>2.6618557453501213</v>
      </c>
      <c r="S166" s="136">
        <f t="shared" ca="1" si="53"/>
        <v>2.6618557453501213</v>
      </c>
      <c r="T166" s="104">
        <f t="shared" ca="1" si="54"/>
        <v>0</v>
      </c>
      <c r="U166" s="87">
        <f t="shared" ca="1" si="55"/>
        <v>1178.4506512506252</v>
      </c>
      <c r="V166" s="104">
        <f t="shared" ca="1" si="56"/>
        <v>0</v>
      </c>
      <c r="W166" s="133">
        <f t="shared" ca="1" si="57"/>
        <v>8540.4958031837905</v>
      </c>
      <c r="X166" s="104">
        <f t="shared" ca="1" si="58"/>
        <v>0</v>
      </c>
      <c r="Y166" s="135">
        <f t="shared" ca="1" si="59"/>
        <v>0</v>
      </c>
      <c r="AE166" s="104"/>
    </row>
    <row r="167" spans="1:31" x14ac:dyDescent="0.2">
      <c r="A167" s="98">
        <v>1</v>
      </c>
      <c r="B167" s="98">
        <v>0</v>
      </c>
      <c r="C167" s="98">
        <f t="shared" si="40"/>
        <v>5</v>
      </c>
      <c r="D167" s="98">
        <f t="shared" si="41"/>
        <v>4</v>
      </c>
      <c r="E167" s="98">
        <f t="shared" si="42"/>
        <v>1</v>
      </c>
      <c r="F167" s="118">
        <f t="shared" ca="1" si="43"/>
        <v>0.179518300416</v>
      </c>
      <c r="G167" s="98">
        <v>0</v>
      </c>
      <c r="H167" s="98">
        <v>1</v>
      </c>
      <c r="I167" s="98">
        <v>2</v>
      </c>
      <c r="J167" s="118">
        <f t="shared" ca="1" si="44"/>
        <v>0</v>
      </c>
      <c r="K167" s="118">
        <f t="shared" ca="1" si="45"/>
        <v>0</v>
      </c>
      <c r="L167" s="133">
        <f t="shared" ca="1" si="46"/>
        <v>192</v>
      </c>
      <c r="M167" s="130">
        <f t="shared" ca="1" si="47"/>
        <v>808</v>
      </c>
      <c r="N167" s="100">
        <f t="shared" ca="1" si="48"/>
        <v>4</v>
      </c>
      <c r="O167" s="136">
        <f t="shared" ca="1" si="49"/>
        <v>2.6618557453501217</v>
      </c>
      <c r="P167" s="136">
        <f t="shared" ca="1" si="50"/>
        <v>26.618557453501214</v>
      </c>
      <c r="Q167" s="136">
        <f t="shared" ca="1" si="51"/>
        <v>26.618557453501214</v>
      </c>
      <c r="R167" s="136">
        <f t="shared" ca="1" si="52"/>
        <v>2.6618557453501213</v>
      </c>
      <c r="S167" s="136">
        <f t="shared" ca="1" si="53"/>
        <v>2.6618557453501213</v>
      </c>
      <c r="T167" s="104">
        <f t="shared" ca="1" si="54"/>
        <v>0</v>
      </c>
      <c r="U167" s="87">
        <f t="shared" ca="1" si="55"/>
        <v>1166.4506512506252</v>
      </c>
      <c r="V167" s="104">
        <f t="shared" ca="1" si="56"/>
        <v>0</v>
      </c>
      <c r="W167" s="133">
        <f t="shared" ca="1" si="57"/>
        <v>6405.3718523878433</v>
      </c>
      <c r="X167" s="104">
        <f t="shared" ca="1" si="58"/>
        <v>0</v>
      </c>
      <c r="Y167" s="135">
        <f t="shared" ca="1" si="59"/>
        <v>0</v>
      </c>
      <c r="AE167" s="104"/>
    </row>
    <row r="168" spans="1:31" x14ac:dyDescent="0.2">
      <c r="A168" s="98">
        <v>1</v>
      </c>
      <c r="B168" s="98">
        <v>0</v>
      </c>
      <c r="C168" s="98">
        <f t="shared" si="40"/>
        <v>5</v>
      </c>
      <c r="D168" s="98">
        <f t="shared" si="41"/>
        <v>4</v>
      </c>
      <c r="E168" s="98">
        <f t="shared" si="42"/>
        <v>1</v>
      </c>
      <c r="F168" s="118">
        <f t="shared" ca="1" si="43"/>
        <v>0.179518300416</v>
      </c>
      <c r="G168" s="98">
        <v>0</v>
      </c>
      <c r="H168" s="98">
        <v>1</v>
      </c>
      <c r="I168" s="98">
        <v>1</v>
      </c>
      <c r="J168" s="118">
        <f t="shared" ca="1" si="44"/>
        <v>0</v>
      </c>
      <c r="K168" s="118">
        <f t="shared" ca="1" si="45"/>
        <v>0</v>
      </c>
      <c r="L168" s="133">
        <f t="shared" ca="1" si="46"/>
        <v>180</v>
      </c>
      <c r="M168" s="130">
        <f t="shared" ca="1" si="47"/>
        <v>820</v>
      </c>
      <c r="N168" s="100">
        <f t="shared" ca="1" si="48"/>
        <v>4</v>
      </c>
      <c r="O168" s="136">
        <f t="shared" ca="1" si="49"/>
        <v>2.6618557453501217</v>
      </c>
      <c r="P168" s="136">
        <f t="shared" ca="1" si="50"/>
        <v>26.618557453501214</v>
      </c>
      <c r="Q168" s="136">
        <f t="shared" ca="1" si="51"/>
        <v>26.618557453501214</v>
      </c>
      <c r="R168" s="136">
        <f t="shared" ca="1" si="52"/>
        <v>2.6618557453501213</v>
      </c>
      <c r="S168" s="136">
        <f t="shared" ca="1" si="53"/>
        <v>2.6618557453501213</v>
      </c>
      <c r="T168" s="104">
        <f t="shared" ca="1" si="54"/>
        <v>0</v>
      </c>
      <c r="U168" s="87">
        <f t="shared" ca="1" si="55"/>
        <v>1154.4506512506252</v>
      </c>
      <c r="V168" s="104">
        <f t="shared" ca="1" si="56"/>
        <v>0</v>
      </c>
      <c r="W168" s="133">
        <f t="shared" ca="1" si="57"/>
        <v>4270.2479015918952</v>
      </c>
      <c r="X168" s="104">
        <f t="shared" ca="1" si="58"/>
        <v>0</v>
      </c>
      <c r="Y168" s="135">
        <f t="shared" ca="1" si="59"/>
        <v>0</v>
      </c>
      <c r="AE168" s="104"/>
    </row>
    <row r="169" spans="1:31" x14ac:dyDescent="0.2">
      <c r="A169" s="98">
        <v>1</v>
      </c>
      <c r="B169" s="98">
        <v>0</v>
      </c>
      <c r="C169" s="98">
        <f t="shared" si="40"/>
        <v>5</v>
      </c>
      <c r="D169" s="98">
        <f t="shared" si="41"/>
        <v>4</v>
      </c>
      <c r="E169" s="98">
        <f t="shared" si="42"/>
        <v>1</v>
      </c>
      <c r="F169" s="118">
        <f t="shared" ca="1" si="43"/>
        <v>0.179518300416</v>
      </c>
      <c r="G169" s="98">
        <v>0</v>
      </c>
      <c r="H169" s="98">
        <v>1</v>
      </c>
      <c r="I169" s="98">
        <v>0</v>
      </c>
      <c r="J169" s="118">
        <f t="shared" ca="1" si="44"/>
        <v>0</v>
      </c>
      <c r="K169" s="118">
        <f t="shared" ca="1" si="45"/>
        <v>0</v>
      </c>
      <c r="L169" s="133">
        <f t="shared" ca="1" si="46"/>
        <v>168</v>
      </c>
      <c r="M169" s="130">
        <f t="shared" ca="1" si="47"/>
        <v>832</v>
      </c>
      <c r="N169" s="100">
        <f t="shared" ca="1" si="48"/>
        <v>5</v>
      </c>
      <c r="O169" s="136">
        <f t="shared" ca="1" si="49"/>
        <v>3.2590583346360766</v>
      </c>
      <c r="P169" s="136">
        <f t="shared" ca="1" si="50"/>
        <v>28.410165221359076</v>
      </c>
      <c r="Q169" s="136">
        <f t="shared" ca="1" si="51"/>
        <v>26.618557453501214</v>
      </c>
      <c r="R169" s="136">
        <f t="shared" ca="1" si="52"/>
        <v>2.7514361337430144</v>
      </c>
      <c r="S169" s="136">
        <f t="shared" ca="1" si="53"/>
        <v>3.091543008341366</v>
      </c>
      <c r="T169" s="104">
        <f t="shared" ca="1" si="54"/>
        <v>0</v>
      </c>
      <c r="U169" s="87">
        <f t="shared" ca="1" si="55"/>
        <v>1294.1569825567776</v>
      </c>
      <c r="V169" s="104">
        <f t="shared" ca="1" si="56"/>
        <v>0</v>
      </c>
      <c r="W169" s="133">
        <f t="shared" ca="1" si="57"/>
        <v>2135.1239507959476</v>
      </c>
      <c r="X169" s="104">
        <f t="shared" ca="1" si="58"/>
        <v>0</v>
      </c>
      <c r="Y169" s="135">
        <f t="shared" ca="1" si="59"/>
        <v>0</v>
      </c>
      <c r="AE169" s="104"/>
    </row>
    <row r="170" spans="1:31" x14ac:dyDescent="0.2">
      <c r="A170" s="98">
        <v>1</v>
      </c>
      <c r="B170" s="98">
        <v>0</v>
      </c>
      <c r="C170" s="98">
        <f t="shared" si="40"/>
        <v>5</v>
      </c>
      <c r="D170" s="98">
        <f t="shared" si="41"/>
        <v>4</v>
      </c>
      <c r="E170" s="98">
        <f t="shared" si="42"/>
        <v>1</v>
      </c>
      <c r="F170" s="118">
        <f t="shared" ca="1" si="43"/>
        <v>0.179518300416</v>
      </c>
      <c r="G170" s="98">
        <v>0</v>
      </c>
      <c r="H170" s="98">
        <v>0</v>
      </c>
      <c r="I170" s="98">
        <v>7</v>
      </c>
      <c r="J170" s="118">
        <f t="shared" si="44"/>
        <v>0</v>
      </c>
      <c r="K170" s="118">
        <f t="shared" ca="1" si="45"/>
        <v>0</v>
      </c>
      <c r="L170" s="133">
        <f t="shared" ca="1" si="46"/>
        <v>84</v>
      </c>
      <c r="M170" s="130">
        <f t="shared" ca="1" si="47"/>
        <v>916</v>
      </c>
      <c r="N170" s="100">
        <f t="shared" ca="1" si="48"/>
        <v>5</v>
      </c>
      <c r="O170" s="136">
        <f t="shared" ca="1" si="49"/>
        <v>3.2590583346360766</v>
      </c>
      <c r="P170" s="136">
        <f t="shared" ca="1" si="50"/>
        <v>32.590583346360766</v>
      </c>
      <c r="Q170" s="136">
        <f t="shared" ca="1" si="51"/>
        <v>32.590583346360766</v>
      </c>
      <c r="R170" s="136">
        <f t="shared" ca="1" si="52"/>
        <v>3.2590583346360766</v>
      </c>
      <c r="S170" s="136">
        <f t="shared" ca="1" si="53"/>
        <v>3.2590583346360766</v>
      </c>
      <c r="T170" s="104">
        <f t="shared" ca="1" si="54"/>
        <v>0</v>
      </c>
      <c r="U170" s="87">
        <f t="shared" ca="1" si="55"/>
        <v>1269.3003125517403</v>
      </c>
      <c r="V170" s="104">
        <f t="shared" ca="1" si="56"/>
        <v>0</v>
      </c>
      <c r="W170" s="133">
        <f t="shared" ca="1" si="57"/>
        <v>14945.867655571634</v>
      </c>
      <c r="X170" s="104">
        <f t="shared" ca="1" si="58"/>
        <v>0</v>
      </c>
      <c r="Y170" s="135">
        <f t="shared" ca="1" si="59"/>
        <v>0</v>
      </c>
      <c r="AE170" s="104"/>
    </row>
    <row r="171" spans="1:31" x14ac:dyDescent="0.2">
      <c r="A171" s="98">
        <v>1</v>
      </c>
      <c r="B171" s="98">
        <v>0</v>
      </c>
      <c r="C171" s="98">
        <f t="shared" si="40"/>
        <v>5</v>
      </c>
      <c r="D171" s="98">
        <f t="shared" si="41"/>
        <v>4</v>
      </c>
      <c r="E171" s="98">
        <f t="shared" si="42"/>
        <v>1</v>
      </c>
      <c r="F171" s="118">
        <f t="shared" ca="1" si="43"/>
        <v>0.179518300416</v>
      </c>
      <c r="G171" s="98">
        <v>0</v>
      </c>
      <c r="H171" s="98">
        <v>0</v>
      </c>
      <c r="I171" s="98">
        <v>6</v>
      </c>
      <c r="J171" s="118">
        <f t="shared" si="44"/>
        <v>0</v>
      </c>
      <c r="K171" s="118">
        <f t="shared" ca="1" si="45"/>
        <v>0</v>
      </c>
      <c r="L171" s="133">
        <f t="shared" ca="1" si="46"/>
        <v>72</v>
      </c>
      <c r="M171" s="130">
        <f t="shared" ca="1" si="47"/>
        <v>928</v>
      </c>
      <c r="N171" s="100">
        <f t="shared" ca="1" si="48"/>
        <v>5</v>
      </c>
      <c r="O171" s="136">
        <f t="shared" ca="1" si="49"/>
        <v>3.2590583346360766</v>
      </c>
      <c r="P171" s="136">
        <f t="shared" ca="1" si="50"/>
        <v>32.590583346360766</v>
      </c>
      <c r="Q171" s="136">
        <f t="shared" ca="1" si="51"/>
        <v>32.590583346360766</v>
      </c>
      <c r="R171" s="136">
        <f t="shared" ca="1" si="52"/>
        <v>3.2590583346360766</v>
      </c>
      <c r="S171" s="136">
        <f t="shared" ca="1" si="53"/>
        <v>3.2590583346360766</v>
      </c>
      <c r="T171" s="104">
        <f t="shared" ca="1" si="54"/>
        <v>0</v>
      </c>
      <c r="U171" s="87">
        <f t="shared" ca="1" si="55"/>
        <v>1257.3003125517403</v>
      </c>
      <c r="V171" s="104">
        <f t="shared" ca="1" si="56"/>
        <v>0</v>
      </c>
      <c r="W171" s="133">
        <f t="shared" ca="1" si="57"/>
        <v>12810.743704775687</v>
      </c>
      <c r="X171" s="104">
        <f t="shared" ca="1" si="58"/>
        <v>0</v>
      </c>
      <c r="Y171" s="135">
        <f t="shared" ca="1" si="59"/>
        <v>0</v>
      </c>
      <c r="AE171" s="104"/>
    </row>
    <row r="172" spans="1:31" x14ac:dyDescent="0.2">
      <c r="A172" s="98">
        <v>1</v>
      </c>
      <c r="B172" s="98">
        <v>0</v>
      </c>
      <c r="C172" s="98">
        <f t="shared" si="40"/>
        <v>5</v>
      </c>
      <c r="D172" s="98">
        <f t="shared" si="41"/>
        <v>4</v>
      </c>
      <c r="E172" s="98">
        <f t="shared" si="42"/>
        <v>1</v>
      </c>
      <c r="F172" s="118">
        <f t="shared" ca="1" si="43"/>
        <v>0.179518300416</v>
      </c>
      <c r="G172" s="98">
        <v>0</v>
      </c>
      <c r="H172" s="98">
        <v>0</v>
      </c>
      <c r="I172" s="98">
        <v>5</v>
      </c>
      <c r="J172" s="118">
        <f t="shared" si="44"/>
        <v>0</v>
      </c>
      <c r="K172" s="118">
        <f t="shared" ca="1" si="45"/>
        <v>0</v>
      </c>
      <c r="L172" s="133">
        <f t="shared" ca="1" si="46"/>
        <v>60</v>
      </c>
      <c r="M172" s="130">
        <f t="shared" ca="1" si="47"/>
        <v>940</v>
      </c>
      <c r="N172" s="100">
        <f t="shared" ca="1" si="48"/>
        <v>5</v>
      </c>
      <c r="O172" s="136">
        <f t="shared" ca="1" si="49"/>
        <v>3.2590583346360766</v>
      </c>
      <c r="P172" s="136">
        <f t="shared" ca="1" si="50"/>
        <v>32.590583346360766</v>
      </c>
      <c r="Q172" s="136">
        <f t="shared" ca="1" si="51"/>
        <v>32.590583346360766</v>
      </c>
      <c r="R172" s="136">
        <f t="shared" ca="1" si="52"/>
        <v>3.2590583346360766</v>
      </c>
      <c r="S172" s="136">
        <f t="shared" ca="1" si="53"/>
        <v>3.2590583346360766</v>
      </c>
      <c r="T172" s="104">
        <f t="shared" ca="1" si="54"/>
        <v>0</v>
      </c>
      <c r="U172" s="87">
        <f t="shared" ca="1" si="55"/>
        <v>1245.3003125517403</v>
      </c>
      <c r="V172" s="104">
        <f t="shared" ca="1" si="56"/>
        <v>0</v>
      </c>
      <c r="W172" s="133">
        <f t="shared" ca="1" si="57"/>
        <v>10675.619753979738</v>
      </c>
      <c r="X172" s="104">
        <f t="shared" ca="1" si="58"/>
        <v>0</v>
      </c>
      <c r="Y172" s="135">
        <f t="shared" ca="1" si="59"/>
        <v>0</v>
      </c>
      <c r="AE172" s="104"/>
    </row>
    <row r="173" spans="1:31" x14ac:dyDescent="0.2">
      <c r="A173" s="98">
        <v>1</v>
      </c>
      <c r="B173" s="98">
        <v>0</v>
      </c>
      <c r="C173" s="98">
        <f t="shared" si="40"/>
        <v>5</v>
      </c>
      <c r="D173" s="98">
        <f t="shared" si="41"/>
        <v>4</v>
      </c>
      <c r="E173" s="98">
        <f t="shared" si="42"/>
        <v>1</v>
      </c>
      <c r="F173" s="118">
        <f t="shared" ca="1" si="43"/>
        <v>0.179518300416</v>
      </c>
      <c r="G173" s="98">
        <v>0</v>
      </c>
      <c r="H173" s="98">
        <v>0</v>
      </c>
      <c r="I173" s="98">
        <v>4</v>
      </c>
      <c r="J173" s="118">
        <f t="shared" ca="1" si="44"/>
        <v>4.0725312499999999E-2</v>
      </c>
      <c r="K173" s="118">
        <f t="shared" ca="1" si="45"/>
        <v>7.3109388839104799E-3</v>
      </c>
      <c r="L173" s="133">
        <f t="shared" ca="1" si="46"/>
        <v>48</v>
      </c>
      <c r="M173" s="130">
        <f t="shared" ca="1" si="47"/>
        <v>952</v>
      </c>
      <c r="N173" s="100">
        <f t="shared" ca="1" si="48"/>
        <v>5</v>
      </c>
      <c r="O173" s="136">
        <f t="shared" ca="1" si="49"/>
        <v>3.2590583346360766</v>
      </c>
      <c r="P173" s="136">
        <f t="shared" ca="1" si="50"/>
        <v>32.590583346360766</v>
      </c>
      <c r="Q173" s="136">
        <f t="shared" ca="1" si="51"/>
        <v>32.590583346360766</v>
      </c>
      <c r="R173" s="136">
        <f t="shared" ca="1" si="52"/>
        <v>3.2590583346360766</v>
      </c>
      <c r="S173" s="136">
        <f t="shared" ca="1" si="53"/>
        <v>3.2590583346360766</v>
      </c>
      <c r="T173" s="104">
        <f t="shared" ca="1" si="54"/>
        <v>2.3826776303623426E-2</v>
      </c>
      <c r="U173" s="87">
        <f t="shared" ca="1" si="55"/>
        <v>1233.3003125517403</v>
      </c>
      <c r="V173" s="104">
        <f t="shared" ca="1" si="56"/>
        <v>9.0165832105734651</v>
      </c>
      <c r="W173" s="133">
        <f t="shared" ca="1" si="57"/>
        <v>8540.4958031837905</v>
      </c>
      <c r="X173" s="104">
        <f t="shared" ca="1" si="58"/>
        <v>62.439042855370637</v>
      </c>
      <c r="Y173" s="135">
        <f t="shared" ca="1" si="59"/>
        <v>0.35092506642770305</v>
      </c>
      <c r="AE173" s="104"/>
    </row>
    <row r="174" spans="1:31" x14ac:dyDescent="0.2">
      <c r="A174" s="98">
        <v>1</v>
      </c>
      <c r="B174" s="98">
        <v>0</v>
      </c>
      <c r="C174" s="98">
        <f t="shared" si="40"/>
        <v>5</v>
      </c>
      <c r="D174" s="98">
        <f t="shared" si="41"/>
        <v>4</v>
      </c>
      <c r="E174" s="98">
        <f t="shared" si="42"/>
        <v>1</v>
      </c>
      <c r="F174" s="118">
        <f t="shared" ca="1" si="43"/>
        <v>0.179518300416</v>
      </c>
      <c r="G174" s="98">
        <v>0</v>
      </c>
      <c r="H174" s="98">
        <v>0</v>
      </c>
      <c r="I174" s="98">
        <v>3</v>
      </c>
      <c r="J174" s="118">
        <f t="shared" ca="1" si="44"/>
        <v>8.5737500000000067E-3</v>
      </c>
      <c r="K174" s="118">
        <f t="shared" ca="1" si="45"/>
        <v>1.5391450281916812E-3</v>
      </c>
      <c r="L174" s="133">
        <f t="shared" ca="1" si="46"/>
        <v>36</v>
      </c>
      <c r="M174" s="130">
        <f t="shared" ca="1" si="47"/>
        <v>964</v>
      </c>
      <c r="N174" s="100">
        <f t="shared" ca="1" si="48"/>
        <v>5</v>
      </c>
      <c r="O174" s="136">
        <f t="shared" ca="1" si="49"/>
        <v>3.2590583346360766</v>
      </c>
      <c r="P174" s="136">
        <f t="shared" ca="1" si="50"/>
        <v>32.590583346360766</v>
      </c>
      <c r="Q174" s="136">
        <f t="shared" ca="1" si="51"/>
        <v>32.590583346360766</v>
      </c>
      <c r="R174" s="136">
        <f t="shared" ca="1" si="52"/>
        <v>3.2590583346360766</v>
      </c>
      <c r="S174" s="136">
        <f t="shared" ca="1" si="53"/>
        <v>3.2590583346360766</v>
      </c>
      <c r="T174" s="104">
        <f t="shared" ca="1" si="54"/>
        <v>5.0161634323417775E-3</v>
      </c>
      <c r="U174" s="87">
        <f t="shared" ca="1" si="55"/>
        <v>1221.3003125517403</v>
      </c>
      <c r="V174" s="104">
        <f t="shared" ca="1" si="56"/>
        <v>1.8797583039929573</v>
      </c>
      <c r="W174" s="133">
        <f t="shared" ca="1" si="57"/>
        <v>6405.3718523878433</v>
      </c>
      <c r="X174" s="104">
        <f t="shared" ca="1" si="58"/>
        <v>9.8587962403216878</v>
      </c>
      <c r="Y174" s="135">
        <f t="shared" ca="1" si="59"/>
        <v>5.540922101490052E-2</v>
      </c>
      <c r="AE174" s="104"/>
    </row>
    <row r="175" spans="1:31" x14ac:dyDescent="0.2">
      <c r="A175" s="98">
        <v>1</v>
      </c>
      <c r="B175" s="98">
        <v>0</v>
      </c>
      <c r="C175" s="98">
        <f t="shared" si="40"/>
        <v>5</v>
      </c>
      <c r="D175" s="98">
        <f t="shared" si="41"/>
        <v>4</v>
      </c>
      <c r="E175" s="98">
        <f t="shared" si="42"/>
        <v>1</v>
      </c>
      <c r="F175" s="118">
        <f t="shared" ca="1" si="43"/>
        <v>0.179518300416</v>
      </c>
      <c r="G175" s="98">
        <v>0</v>
      </c>
      <c r="H175" s="98">
        <v>0</v>
      </c>
      <c r="I175" s="98">
        <v>2</v>
      </c>
      <c r="J175" s="118">
        <f t="shared" ca="1" si="44"/>
        <v>6.7687500000000126E-4</v>
      </c>
      <c r="K175" s="118">
        <f t="shared" ca="1" si="45"/>
        <v>1.2151144959408022E-4</v>
      </c>
      <c r="L175" s="133">
        <f t="shared" ca="1" si="46"/>
        <v>24</v>
      </c>
      <c r="M175" s="130">
        <f t="shared" ca="1" si="47"/>
        <v>976</v>
      </c>
      <c r="N175" s="100">
        <f t="shared" ca="1" si="48"/>
        <v>5</v>
      </c>
      <c r="O175" s="136">
        <f t="shared" ca="1" si="49"/>
        <v>3.2590583346360766</v>
      </c>
      <c r="P175" s="136">
        <f t="shared" ca="1" si="50"/>
        <v>32.590583346360766</v>
      </c>
      <c r="Q175" s="136">
        <f t="shared" ca="1" si="51"/>
        <v>32.590583346360766</v>
      </c>
      <c r="R175" s="136">
        <f t="shared" ca="1" si="52"/>
        <v>3.2590583346360766</v>
      </c>
      <c r="S175" s="136">
        <f t="shared" ca="1" si="53"/>
        <v>3.2590583346360766</v>
      </c>
      <c r="T175" s="104">
        <f t="shared" ca="1" si="54"/>
        <v>3.9601290255329865E-4</v>
      </c>
      <c r="U175" s="87">
        <f t="shared" ca="1" si="55"/>
        <v>1209.3003125517403</v>
      </c>
      <c r="V175" s="104">
        <f t="shared" ca="1" si="56"/>
        <v>0.14694383397273625</v>
      </c>
      <c r="W175" s="133">
        <f t="shared" ca="1" si="57"/>
        <v>4270.2479015918952</v>
      </c>
      <c r="X175" s="104">
        <f t="shared" ca="1" si="58"/>
        <v>0.51888401264851047</v>
      </c>
      <c r="Y175" s="135">
        <f t="shared" ca="1" si="59"/>
        <v>2.9162747902579255E-3</v>
      </c>
      <c r="AE175" s="104"/>
    </row>
    <row r="176" spans="1:31" x14ac:dyDescent="0.2">
      <c r="A176" s="98">
        <v>1</v>
      </c>
      <c r="B176" s="98">
        <v>0</v>
      </c>
      <c r="C176" s="98">
        <f t="shared" si="40"/>
        <v>5</v>
      </c>
      <c r="D176" s="98">
        <f t="shared" si="41"/>
        <v>4</v>
      </c>
      <c r="E176" s="98">
        <f t="shared" si="42"/>
        <v>1</v>
      </c>
      <c r="F176" s="118">
        <f t="shared" ca="1" si="43"/>
        <v>0.179518300416</v>
      </c>
      <c r="G176" s="98">
        <v>0</v>
      </c>
      <c r="H176" s="98">
        <v>0</v>
      </c>
      <c r="I176" s="98">
        <v>1</v>
      </c>
      <c r="J176" s="118">
        <f t="shared" ca="1" si="44"/>
        <v>2.3750000000000062E-5</v>
      </c>
      <c r="K176" s="118">
        <f t="shared" ca="1" si="45"/>
        <v>4.2635596348800114E-6</v>
      </c>
      <c r="L176" s="133">
        <f t="shared" ca="1" si="46"/>
        <v>12</v>
      </c>
      <c r="M176" s="130">
        <f t="shared" ca="1" si="47"/>
        <v>988</v>
      </c>
      <c r="N176" s="100">
        <f t="shared" ca="1" si="48"/>
        <v>5</v>
      </c>
      <c r="O176" s="136">
        <f t="shared" ca="1" si="49"/>
        <v>3.2590583346360766</v>
      </c>
      <c r="P176" s="136">
        <f t="shared" ca="1" si="50"/>
        <v>32.590583346360766</v>
      </c>
      <c r="Q176" s="136">
        <f t="shared" ca="1" si="51"/>
        <v>32.590583346360766</v>
      </c>
      <c r="R176" s="136">
        <f t="shared" ca="1" si="52"/>
        <v>3.2590583346360766</v>
      </c>
      <c r="S176" s="136">
        <f t="shared" ca="1" si="53"/>
        <v>3.2590583346360766</v>
      </c>
      <c r="T176" s="104">
        <f t="shared" ca="1" si="54"/>
        <v>1.3895189563273649E-5</v>
      </c>
      <c r="U176" s="87">
        <f t="shared" ca="1" si="55"/>
        <v>1197.3003125517403</v>
      </c>
      <c r="V176" s="104">
        <f t="shared" ca="1" si="56"/>
        <v>5.1047612834248211E-3</v>
      </c>
      <c r="W176" s="133">
        <f t="shared" ca="1" si="57"/>
        <v>2135.1239507959476</v>
      </c>
      <c r="X176" s="104">
        <f t="shared" ca="1" si="58"/>
        <v>9.1032282920791383E-3</v>
      </c>
      <c r="Y176" s="135">
        <f t="shared" ca="1" si="59"/>
        <v>5.1162715618560133E-5</v>
      </c>
      <c r="AE176" s="104"/>
    </row>
    <row r="177" spans="1:31" x14ac:dyDescent="0.2">
      <c r="A177" s="98">
        <v>1</v>
      </c>
      <c r="B177" s="98">
        <v>0</v>
      </c>
      <c r="C177" s="98">
        <f t="shared" si="40"/>
        <v>5</v>
      </c>
      <c r="D177" s="98">
        <f t="shared" si="41"/>
        <v>4</v>
      </c>
      <c r="E177" s="98">
        <f t="shared" si="42"/>
        <v>1</v>
      </c>
      <c r="F177" s="118">
        <f t="shared" ca="1" si="43"/>
        <v>0.179518300416</v>
      </c>
      <c r="G177" s="98">
        <v>0</v>
      </c>
      <c r="H177" s="98">
        <v>0</v>
      </c>
      <c r="I177" s="98">
        <v>0</v>
      </c>
      <c r="J177" s="118">
        <f t="shared" ca="1" si="44"/>
        <v>3.1250000000000114E-7</v>
      </c>
      <c r="K177" s="118">
        <f t="shared" ca="1" si="45"/>
        <v>5.6099468880000206E-8</v>
      </c>
      <c r="L177" s="133">
        <f t="shared" ca="1" si="46"/>
        <v>0</v>
      </c>
      <c r="M177" s="130">
        <f t="shared" ca="1" si="47"/>
        <v>1000</v>
      </c>
      <c r="N177" s="100">
        <f t="shared" ca="1" si="48"/>
        <v>5</v>
      </c>
      <c r="O177" s="136">
        <f t="shared" ca="1" si="49"/>
        <v>3.2590583346360766</v>
      </c>
      <c r="P177" s="136">
        <f t="shared" ca="1" si="50"/>
        <v>32.590583346360766</v>
      </c>
      <c r="Q177" s="136">
        <f t="shared" ca="1" si="51"/>
        <v>32.590583346360766</v>
      </c>
      <c r="R177" s="136">
        <f t="shared" ca="1" si="52"/>
        <v>3.2590583346360766</v>
      </c>
      <c r="S177" s="136">
        <f t="shared" ca="1" si="53"/>
        <v>3.2590583346360766</v>
      </c>
      <c r="T177" s="104">
        <f t="shared" ca="1" si="54"/>
        <v>1.8283144162202189E-7</v>
      </c>
      <c r="U177" s="87">
        <f t="shared" ca="1" si="55"/>
        <v>1185.3003125517403</v>
      </c>
      <c r="V177" s="104">
        <f t="shared" ca="1" si="56"/>
        <v>6.6494717997450873E-5</v>
      </c>
      <c r="W177" s="133">
        <f t="shared" ca="1" si="57"/>
        <v>0</v>
      </c>
      <c r="X177" s="104">
        <f t="shared" ca="1" si="58"/>
        <v>0</v>
      </c>
      <c r="Y177" s="135">
        <f t="shared" ca="1" si="59"/>
        <v>0</v>
      </c>
      <c r="AE177" s="104"/>
    </row>
    <row r="178" spans="1:31" x14ac:dyDescent="0.2">
      <c r="A178" s="98">
        <v>1</v>
      </c>
      <c r="B178" s="98">
        <v>1</v>
      </c>
      <c r="C178" s="98">
        <f t="shared" si="40"/>
        <v>6</v>
      </c>
      <c r="D178" s="98">
        <f t="shared" si="41"/>
        <v>5</v>
      </c>
      <c r="E178" s="98">
        <f t="shared" si="42"/>
        <v>1</v>
      </c>
      <c r="F178" s="118">
        <f t="shared" ca="1" si="43"/>
        <v>0.100979043984</v>
      </c>
      <c r="G178" s="98">
        <v>1</v>
      </c>
      <c r="H178" s="98">
        <v>1</v>
      </c>
      <c r="I178" s="98">
        <v>7</v>
      </c>
      <c r="J178" s="118">
        <f t="shared" si="44"/>
        <v>0</v>
      </c>
      <c r="K178" s="118">
        <f t="shared" ca="1" si="45"/>
        <v>0</v>
      </c>
      <c r="L178" s="133">
        <f t="shared" ca="1" si="46"/>
        <v>420</v>
      </c>
      <c r="M178" s="130">
        <f t="shared" ca="1" si="47"/>
        <v>580</v>
      </c>
      <c r="N178" s="100">
        <f t="shared" ca="1" si="48"/>
        <v>3</v>
      </c>
      <c r="O178" s="136">
        <f t="shared" ca="1" si="49"/>
        <v>2.0946097612518035</v>
      </c>
      <c r="P178" s="136">
        <f t="shared" ca="1" si="50"/>
        <v>20.946097612518034</v>
      </c>
      <c r="Q178" s="136">
        <f t="shared" ca="1" si="51"/>
        <v>20.946097612518034</v>
      </c>
      <c r="R178" s="136">
        <f t="shared" ca="1" si="52"/>
        <v>2.0946097612518035</v>
      </c>
      <c r="S178" s="136">
        <f t="shared" ca="1" si="53"/>
        <v>2.0946097612518035</v>
      </c>
      <c r="T178" s="104">
        <f t="shared" ca="1" si="54"/>
        <v>0</v>
      </c>
      <c r="U178" s="87">
        <f t="shared" ca="1" si="55"/>
        <v>1194.1775349459019</v>
      </c>
      <c r="V178" s="104">
        <f t="shared" ca="1" si="56"/>
        <v>0</v>
      </c>
      <c r="W178" s="133">
        <f t="shared" ca="1" si="57"/>
        <v>19493.681670767</v>
      </c>
      <c r="X178" s="104">
        <f t="shared" ca="1" si="58"/>
        <v>0</v>
      </c>
      <c r="Y178" s="135">
        <f t="shared" ca="1" si="59"/>
        <v>0</v>
      </c>
      <c r="AE178" s="104"/>
    </row>
    <row r="179" spans="1:31" x14ac:dyDescent="0.2">
      <c r="A179" s="98">
        <v>1</v>
      </c>
      <c r="B179" s="98">
        <v>1</v>
      </c>
      <c r="C179" s="98">
        <f t="shared" si="40"/>
        <v>6</v>
      </c>
      <c r="D179" s="98">
        <f t="shared" si="41"/>
        <v>5</v>
      </c>
      <c r="E179" s="98">
        <f t="shared" si="42"/>
        <v>1</v>
      </c>
      <c r="F179" s="118">
        <f t="shared" ca="1" si="43"/>
        <v>0.100979043984</v>
      </c>
      <c r="G179" s="98">
        <v>1</v>
      </c>
      <c r="H179" s="98">
        <v>1</v>
      </c>
      <c r="I179" s="98">
        <v>6</v>
      </c>
      <c r="J179" s="118">
        <f t="shared" si="44"/>
        <v>0</v>
      </c>
      <c r="K179" s="118">
        <f t="shared" ca="1" si="45"/>
        <v>0</v>
      </c>
      <c r="L179" s="133">
        <f t="shared" ca="1" si="46"/>
        <v>408</v>
      </c>
      <c r="M179" s="130">
        <f t="shared" ca="1" si="47"/>
        <v>592</v>
      </c>
      <c r="N179" s="100">
        <f t="shared" ca="1" si="48"/>
        <v>3</v>
      </c>
      <c r="O179" s="136">
        <f t="shared" ca="1" si="49"/>
        <v>2.0946097612518035</v>
      </c>
      <c r="P179" s="136">
        <f t="shared" ca="1" si="50"/>
        <v>20.946097612518034</v>
      </c>
      <c r="Q179" s="136">
        <f t="shared" ca="1" si="51"/>
        <v>20.946097612518034</v>
      </c>
      <c r="R179" s="136">
        <f t="shared" ca="1" si="52"/>
        <v>2.0946097612518035</v>
      </c>
      <c r="S179" s="136">
        <f t="shared" ca="1" si="53"/>
        <v>2.0946097612518035</v>
      </c>
      <c r="T179" s="104">
        <f t="shared" ca="1" si="54"/>
        <v>0</v>
      </c>
      <c r="U179" s="87">
        <f t="shared" ca="1" si="55"/>
        <v>1182.1775349459019</v>
      </c>
      <c r="V179" s="104">
        <f t="shared" ca="1" si="56"/>
        <v>0</v>
      </c>
      <c r="W179" s="133">
        <f t="shared" ca="1" si="57"/>
        <v>17358.557719971053</v>
      </c>
      <c r="X179" s="104">
        <f t="shared" ca="1" si="58"/>
        <v>0</v>
      </c>
      <c r="Y179" s="135">
        <f t="shared" ca="1" si="59"/>
        <v>0</v>
      </c>
      <c r="AE179" s="104"/>
    </row>
    <row r="180" spans="1:31" x14ac:dyDescent="0.2">
      <c r="A180" s="98">
        <v>1</v>
      </c>
      <c r="B180" s="98">
        <v>1</v>
      </c>
      <c r="C180" s="98">
        <f t="shared" si="40"/>
        <v>6</v>
      </c>
      <c r="D180" s="98">
        <f t="shared" si="41"/>
        <v>5</v>
      </c>
      <c r="E180" s="98">
        <f t="shared" si="42"/>
        <v>1</v>
      </c>
      <c r="F180" s="118">
        <f t="shared" ca="1" si="43"/>
        <v>0.100979043984</v>
      </c>
      <c r="G180" s="98">
        <v>1</v>
      </c>
      <c r="H180" s="98">
        <v>1</v>
      </c>
      <c r="I180" s="98">
        <v>5</v>
      </c>
      <c r="J180" s="118">
        <f t="shared" ca="1" si="44"/>
        <v>0</v>
      </c>
      <c r="K180" s="118">
        <f t="shared" ca="1" si="45"/>
        <v>0</v>
      </c>
      <c r="L180" s="133">
        <f t="shared" ca="1" si="46"/>
        <v>396</v>
      </c>
      <c r="M180" s="130">
        <f t="shared" ca="1" si="47"/>
        <v>604</v>
      </c>
      <c r="N180" s="100">
        <f t="shared" ca="1" si="48"/>
        <v>3</v>
      </c>
      <c r="O180" s="136">
        <f t="shared" ca="1" si="49"/>
        <v>2.0946097612518035</v>
      </c>
      <c r="P180" s="136">
        <f t="shared" ca="1" si="50"/>
        <v>20.946097612518034</v>
      </c>
      <c r="Q180" s="136">
        <f t="shared" ca="1" si="51"/>
        <v>20.946097612518034</v>
      </c>
      <c r="R180" s="136">
        <f t="shared" ca="1" si="52"/>
        <v>2.0946097612518035</v>
      </c>
      <c r="S180" s="136">
        <f t="shared" ca="1" si="53"/>
        <v>2.0946097612518035</v>
      </c>
      <c r="T180" s="104">
        <f t="shared" ca="1" si="54"/>
        <v>0</v>
      </c>
      <c r="U180" s="87">
        <f t="shared" ca="1" si="55"/>
        <v>1170.1775349459019</v>
      </c>
      <c r="V180" s="104">
        <f t="shared" ca="1" si="56"/>
        <v>0</v>
      </c>
      <c r="W180" s="133">
        <f t="shared" ca="1" si="57"/>
        <v>15223.433769175106</v>
      </c>
      <c r="X180" s="104">
        <f t="shared" ca="1" si="58"/>
        <v>0</v>
      </c>
      <c r="Y180" s="135">
        <f t="shared" ca="1" si="59"/>
        <v>0</v>
      </c>
      <c r="AE180" s="104"/>
    </row>
    <row r="181" spans="1:31" x14ac:dyDescent="0.2">
      <c r="A181" s="98">
        <v>1</v>
      </c>
      <c r="B181" s="98">
        <v>1</v>
      </c>
      <c r="C181" s="98">
        <f t="shared" si="40"/>
        <v>6</v>
      </c>
      <c r="D181" s="98">
        <f t="shared" si="41"/>
        <v>5</v>
      </c>
      <c r="E181" s="98">
        <f t="shared" si="42"/>
        <v>1</v>
      </c>
      <c r="F181" s="118">
        <f t="shared" ca="1" si="43"/>
        <v>0.100979043984</v>
      </c>
      <c r="G181" s="98">
        <v>1</v>
      </c>
      <c r="H181" s="98">
        <v>1</v>
      </c>
      <c r="I181" s="98">
        <v>4</v>
      </c>
      <c r="J181" s="118">
        <f t="shared" ca="1" si="44"/>
        <v>0</v>
      </c>
      <c r="K181" s="118">
        <f t="shared" ca="1" si="45"/>
        <v>0</v>
      </c>
      <c r="L181" s="133">
        <f t="shared" ca="1" si="46"/>
        <v>384</v>
      </c>
      <c r="M181" s="130">
        <f t="shared" ca="1" si="47"/>
        <v>616</v>
      </c>
      <c r="N181" s="100">
        <f t="shared" ca="1" si="48"/>
        <v>3</v>
      </c>
      <c r="O181" s="136">
        <f t="shared" ca="1" si="49"/>
        <v>2.0946097612518035</v>
      </c>
      <c r="P181" s="136">
        <f t="shared" ca="1" si="50"/>
        <v>20.946097612518034</v>
      </c>
      <c r="Q181" s="136">
        <f t="shared" ca="1" si="51"/>
        <v>20.946097612518034</v>
      </c>
      <c r="R181" s="136">
        <f t="shared" ca="1" si="52"/>
        <v>2.0946097612518035</v>
      </c>
      <c r="S181" s="136">
        <f t="shared" ca="1" si="53"/>
        <v>2.0946097612518035</v>
      </c>
      <c r="T181" s="104">
        <f t="shared" ca="1" si="54"/>
        <v>0</v>
      </c>
      <c r="U181" s="87">
        <f t="shared" ca="1" si="55"/>
        <v>1158.1775349459019</v>
      </c>
      <c r="V181" s="104">
        <f t="shared" ca="1" si="56"/>
        <v>0</v>
      </c>
      <c r="W181" s="133">
        <f t="shared" ca="1" si="57"/>
        <v>13088.309818379159</v>
      </c>
      <c r="X181" s="104">
        <f t="shared" ca="1" si="58"/>
        <v>0</v>
      </c>
      <c r="Y181" s="135">
        <f t="shared" ca="1" si="59"/>
        <v>0</v>
      </c>
      <c r="AE181" s="104"/>
    </row>
    <row r="182" spans="1:31" x14ac:dyDescent="0.2">
      <c r="A182" s="98">
        <v>1</v>
      </c>
      <c r="B182" s="98">
        <v>1</v>
      </c>
      <c r="C182" s="98">
        <f t="shared" si="40"/>
        <v>6</v>
      </c>
      <c r="D182" s="98">
        <f t="shared" si="41"/>
        <v>5</v>
      </c>
      <c r="E182" s="98">
        <f t="shared" si="42"/>
        <v>1</v>
      </c>
      <c r="F182" s="118">
        <f t="shared" ca="1" si="43"/>
        <v>0.100979043984</v>
      </c>
      <c r="G182" s="98">
        <v>1</v>
      </c>
      <c r="H182" s="98">
        <v>1</v>
      </c>
      <c r="I182" s="98">
        <v>3</v>
      </c>
      <c r="J182" s="118">
        <f t="shared" ca="1" si="44"/>
        <v>0</v>
      </c>
      <c r="K182" s="118">
        <f t="shared" ca="1" si="45"/>
        <v>0</v>
      </c>
      <c r="L182" s="133">
        <f t="shared" ca="1" si="46"/>
        <v>372</v>
      </c>
      <c r="M182" s="130">
        <f t="shared" ca="1" si="47"/>
        <v>628</v>
      </c>
      <c r="N182" s="100">
        <f t="shared" ca="1" si="48"/>
        <v>4</v>
      </c>
      <c r="O182" s="136">
        <f t="shared" ca="1" si="49"/>
        <v>2.6618557453501217</v>
      </c>
      <c r="P182" s="136">
        <f t="shared" ca="1" si="50"/>
        <v>24.349573517107945</v>
      </c>
      <c r="Q182" s="136">
        <f t="shared" ca="1" si="51"/>
        <v>20.946097612518034</v>
      </c>
      <c r="R182" s="136">
        <f t="shared" ca="1" si="52"/>
        <v>2.2647835564812988</v>
      </c>
      <c r="S182" s="136">
        <f t="shared" ca="1" si="53"/>
        <v>2.5308219230234101</v>
      </c>
      <c r="T182" s="104">
        <f t="shared" ca="1" si="54"/>
        <v>0</v>
      </c>
      <c r="U182" s="87">
        <f t="shared" ca="1" si="55"/>
        <v>1300.1875613842344</v>
      </c>
      <c r="V182" s="104">
        <f t="shared" ca="1" si="56"/>
        <v>0</v>
      </c>
      <c r="W182" s="133">
        <f t="shared" ca="1" si="57"/>
        <v>10953.185867583212</v>
      </c>
      <c r="X182" s="104">
        <f t="shared" ca="1" si="58"/>
        <v>0</v>
      </c>
      <c r="Y182" s="135">
        <f t="shared" ca="1" si="59"/>
        <v>0</v>
      </c>
      <c r="AE182" s="104"/>
    </row>
    <row r="183" spans="1:31" x14ac:dyDescent="0.2">
      <c r="A183" s="98">
        <v>1</v>
      </c>
      <c r="B183" s="98">
        <v>1</v>
      </c>
      <c r="C183" s="98">
        <f t="shared" si="40"/>
        <v>6</v>
      </c>
      <c r="D183" s="98">
        <f t="shared" si="41"/>
        <v>5</v>
      </c>
      <c r="E183" s="98">
        <f t="shared" si="42"/>
        <v>1</v>
      </c>
      <c r="F183" s="118">
        <f t="shared" ca="1" si="43"/>
        <v>0.100979043984</v>
      </c>
      <c r="G183" s="98">
        <v>1</v>
      </c>
      <c r="H183" s="98">
        <v>1</v>
      </c>
      <c r="I183" s="98">
        <v>2</v>
      </c>
      <c r="J183" s="118">
        <f t="shared" ca="1" si="44"/>
        <v>0</v>
      </c>
      <c r="K183" s="118">
        <f t="shared" ca="1" si="45"/>
        <v>0</v>
      </c>
      <c r="L183" s="133">
        <f t="shared" ca="1" si="46"/>
        <v>360</v>
      </c>
      <c r="M183" s="130">
        <f t="shared" ca="1" si="47"/>
        <v>640</v>
      </c>
      <c r="N183" s="100">
        <f t="shared" ca="1" si="48"/>
        <v>4</v>
      </c>
      <c r="O183" s="136">
        <f t="shared" ca="1" si="49"/>
        <v>2.6618557453501217</v>
      </c>
      <c r="P183" s="136">
        <f t="shared" ca="1" si="50"/>
        <v>26.618557453501214</v>
      </c>
      <c r="Q183" s="136">
        <f t="shared" ca="1" si="51"/>
        <v>25.48406548530458</v>
      </c>
      <c r="R183" s="136">
        <f t="shared" ca="1" si="52"/>
        <v>2.6051311469402898</v>
      </c>
      <c r="S183" s="136">
        <f t="shared" ca="1" si="53"/>
        <v>2.6431366278748771</v>
      </c>
      <c r="T183" s="104">
        <f t="shared" ca="1" si="54"/>
        <v>0</v>
      </c>
      <c r="U183" s="87">
        <f t="shared" ca="1" si="55"/>
        <v>1327.8416384125694</v>
      </c>
      <c r="V183" s="104">
        <f t="shared" ca="1" si="56"/>
        <v>0</v>
      </c>
      <c r="W183" s="133">
        <f t="shared" ca="1" si="57"/>
        <v>8818.0619167872646</v>
      </c>
      <c r="X183" s="104">
        <f t="shared" ca="1" si="58"/>
        <v>0</v>
      </c>
      <c r="Y183" s="135">
        <f t="shared" ca="1" si="59"/>
        <v>0</v>
      </c>
      <c r="AE183" s="104"/>
    </row>
    <row r="184" spans="1:31" x14ac:dyDescent="0.2">
      <c r="A184" s="98">
        <v>1</v>
      </c>
      <c r="B184" s="98">
        <v>1</v>
      </c>
      <c r="C184" s="98">
        <f t="shared" si="40"/>
        <v>6</v>
      </c>
      <c r="D184" s="98">
        <f t="shared" si="41"/>
        <v>5</v>
      </c>
      <c r="E184" s="98">
        <f t="shared" si="42"/>
        <v>1</v>
      </c>
      <c r="F184" s="118">
        <f t="shared" ca="1" si="43"/>
        <v>0.100979043984</v>
      </c>
      <c r="G184" s="98">
        <v>1</v>
      </c>
      <c r="H184" s="98">
        <v>1</v>
      </c>
      <c r="I184" s="98">
        <v>1</v>
      </c>
      <c r="J184" s="118">
        <f t="shared" ca="1" si="44"/>
        <v>0</v>
      </c>
      <c r="K184" s="118">
        <f t="shared" ca="1" si="45"/>
        <v>0</v>
      </c>
      <c r="L184" s="133">
        <f t="shared" ca="1" si="46"/>
        <v>348</v>
      </c>
      <c r="M184" s="130">
        <f t="shared" ca="1" si="47"/>
        <v>652</v>
      </c>
      <c r="N184" s="100">
        <f t="shared" ca="1" si="48"/>
        <v>4</v>
      </c>
      <c r="O184" s="136">
        <f t="shared" ca="1" si="49"/>
        <v>2.6618557453501217</v>
      </c>
      <c r="P184" s="136">
        <f t="shared" ca="1" si="50"/>
        <v>26.618557453501214</v>
      </c>
      <c r="Q184" s="136">
        <f t="shared" ca="1" si="51"/>
        <v>26.618557453501214</v>
      </c>
      <c r="R184" s="136">
        <f t="shared" ca="1" si="52"/>
        <v>2.6618557453501213</v>
      </c>
      <c r="S184" s="136">
        <f t="shared" ca="1" si="53"/>
        <v>2.6618557453501213</v>
      </c>
      <c r="T184" s="104">
        <f t="shared" ca="1" si="54"/>
        <v>0</v>
      </c>
      <c r="U184" s="87">
        <f t="shared" ca="1" si="55"/>
        <v>1322.4506512506252</v>
      </c>
      <c r="V184" s="104">
        <f t="shared" ca="1" si="56"/>
        <v>0</v>
      </c>
      <c r="W184" s="133">
        <f t="shared" ca="1" si="57"/>
        <v>6682.9379659913157</v>
      </c>
      <c r="X184" s="104">
        <f t="shared" ca="1" si="58"/>
        <v>0</v>
      </c>
      <c r="Y184" s="135">
        <f t="shared" ca="1" si="59"/>
        <v>0</v>
      </c>
      <c r="AE184" s="104"/>
    </row>
    <row r="185" spans="1:31" x14ac:dyDescent="0.2">
      <c r="A185" s="98">
        <v>1</v>
      </c>
      <c r="B185" s="98">
        <v>1</v>
      </c>
      <c r="C185" s="98">
        <f t="shared" si="40"/>
        <v>6</v>
      </c>
      <c r="D185" s="98">
        <f t="shared" si="41"/>
        <v>5</v>
      </c>
      <c r="E185" s="98">
        <f t="shared" si="42"/>
        <v>1</v>
      </c>
      <c r="F185" s="118">
        <f t="shared" ca="1" si="43"/>
        <v>0.100979043984</v>
      </c>
      <c r="G185" s="98">
        <v>1</v>
      </c>
      <c r="H185" s="98">
        <v>1</v>
      </c>
      <c r="I185" s="98">
        <v>0</v>
      </c>
      <c r="J185" s="118">
        <f t="shared" ca="1" si="44"/>
        <v>0</v>
      </c>
      <c r="K185" s="118">
        <f t="shared" ca="1" si="45"/>
        <v>0</v>
      </c>
      <c r="L185" s="133">
        <f t="shared" ca="1" si="46"/>
        <v>336</v>
      </c>
      <c r="M185" s="130">
        <f t="shared" ca="1" si="47"/>
        <v>664</v>
      </c>
      <c r="N185" s="100">
        <f t="shared" ca="1" si="48"/>
        <v>4</v>
      </c>
      <c r="O185" s="136">
        <f t="shared" ca="1" si="49"/>
        <v>2.6618557453501217</v>
      </c>
      <c r="P185" s="136">
        <f t="shared" ca="1" si="50"/>
        <v>26.618557453501214</v>
      </c>
      <c r="Q185" s="136">
        <f t="shared" ca="1" si="51"/>
        <v>26.618557453501214</v>
      </c>
      <c r="R185" s="136">
        <f t="shared" ca="1" si="52"/>
        <v>2.6618557453501213</v>
      </c>
      <c r="S185" s="136">
        <f t="shared" ca="1" si="53"/>
        <v>2.6618557453501213</v>
      </c>
      <c r="T185" s="104">
        <f t="shared" ca="1" si="54"/>
        <v>0</v>
      </c>
      <c r="U185" s="87">
        <f t="shared" ca="1" si="55"/>
        <v>1310.4506512506252</v>
      </c>
      <c r="V185" s="104">
        <f t="shared" ca="1" si="56"/>
        <v>0</v>
      </c>
      <c r="W185" s="133">
        <f t="shared" ca="1" si="57"/>
        <v>4547.8140151953685</v>
      </c>
      <c r="X185" s="104">
        <f t="shared" ca="1" si="58"/>
        <v>0</v>
      </c>
      <c r="Y185" s="135">
        <f t="shared" ca="1" si="59"/>
        <v>0</v>
      </c>
      <c r="AE185" s="104"/>
    </row>
    <row r="186" spans="1:31" x14ac:dyDescent="0.2">
      <c r="A186" s="98">
        <v>1</v>
      </c>
      <c r="B186" s="98">
        <v>1</v>
      </c>
      <c r="C186" s="98">
        <f t="shared" si="40"/>
        <v>6</v>
      </c>
      <c r="D186" s="98">
        <f t="shared" si="41"/>
        <v>5</v>
      </c>
      <c r="E186" s="98">
        <f t="shared" si="42"/>
        <v>1</v>
      </c>
      <c r="F186" s="118">
        <f t="shared" ca="1" si="43"/>
        <v>0.100979043984</v>
      </c>
      <c r="G186" s="98">
        <v>1</v>
      </c>
      <c r="H186" s="98">
        <v>0</v>
      </c>
      <c r="I186" s="98">
        <v>7</v>
      </c>
      <c r="J186" s="118">
        <f t="shared" si="44"/>
        <v>0</v>
      </c>
      <c r="K186" s="118">
        <f t="shared" ca="1" si="45"/>
        <v>0</v>
      </c>
      <c r="L186" s="133">
        <f t="shared" ca="1" si="46"/>
        <v>252</v>
      </c>
      <c r="M186" s="130">
        <f t="shared" ca="1" si="47"/>
        <v>748</v>
      </c>
      <c r="N186" s="100">
        <f t="shared" ca="1" si="48"/>
        <v>4</v>
      </c>
      <c r="O186" s="136">
        <f t="shared" ca="1" si="49"/>
        <v>2.6618557453501217</v>
      </c>
      <c r="P186" s="136">
        <f t="shared" ca="1" si="50"/>
        <v>26.618557453501214</v>
      </c>
      <c r="Q186" s="136">
        <f t="shared" ca="1" si="51"/>
        <v>26.618557453501214</v>
      </c>
      <c r="R186" s="136">
        <f t="shared" ca="1" si="52"/>
        <v>2.6618557453501213</v>
      </c>
      <c r="S186" s="136">
        <f t="shared" ca="1" si="53"/>
        <v>2.6618557453501213</v>
      </c>
      <c r="T186" s="104">
        <f t="shared" ca="1" si="54"/>
        <v>0</v>
      </c>
      <c r="U186" s="87">
        <f t="shared" ca="1" si="55"/>
        <v>1226.4506512506252</v>
      </c>
      <c r="V186" s="104">
        <f t="shared" ca="1" si="56"/>
        <v>0</v>
      </c>
      <c r="W186" s="133">
        <f t="shared" ca="1" si="57"/>
        <v>17358.557719971053</v>
      </c>
      <c r="X186" s="104">
        <f t="shared" ca="1" si="58"/>
        <v>0</v>
      </c>
      <c r="Y186" s="135">
        <f t="shared" ca="1" si="59"/>
        <v>0</v>
      </c>
      <c r="AE186" s="104"/>
    </row>
    <row r="187" spans="1:31" x14ac:dyDescent="0.2">
      <c r="A187" s="98">
        <v>1</v>
      </c>
      <c r="B187" s="98">
        <v>1</v>
      </c>
      <c r="C187" s="98">
        <f t="shared" si="40"/>
        <v>6</v>
      </c>
      <c r="D187" s="98">
        <f t="shared" si="41"/>
        <v>5</v>
      </c>
      <c r="E187" s="98">
        <f t="shared" si="42"/>
        <v>1</v>
      </c>
      <c r="F187" s="118">
        <f t="shared" ca="1" si="43"/>
        <v>0.100979043984</v>
      </c>
      <c r="G187" s="98">
        <v>1</v>
      </c>
      <c r="H187" s="98">
        <v>0</v>
      </c>
      <c r="I187" s="98">
        <v>6</v>
      </c>
      <c r="J187" s="118">
        <f t="shared" si="44"/>
        <v>0</v>
      </c>
      <c r="K187" s="118">
        <f t="shared" ca="1" si="45"/>
        <v>0</v>
      </c>
      <c r="L187" s="133">
        <f t="shared" ca="1" si="46"/>
        <v>240</v>
      </c>
      <c r="M187" s="130">
        <f t="shared" ca="1" si="47"/>
        <v>760</v>
      </c>
      <c r="N187" s="100">
        <f t="shared" ca="1" si="48"/>
        <v>4</v>
      </c>
      <c r="O187" s="136">
        <f t="shared" ca="1" si="49"/>
        <v>2.6618557453501217</v>
      </c>
      <c r="P187" s="136">
        <f t="shared" ca="1" si="50"/>
        <v>26.618557453501214</v>
      </c>
      <c r="Q187" s="136">
        <f t="shared" ca="1" si="51"/>
        <v>26.618557453501214</v>
      </c>
      <c r="R187" s="136">
        <f t="shared" ca="1" si="52"/>
        <v>2.6618557453501213</v>
      </c>
      <c r="S187" s="136">
        <f t="shared" ca="1" si="53"/>
        <v>2.6618557453501213</v>
      </c>
      <c r="T187" s="104">
        <f t="shared" ca="1" si="54"/>
        <v>0</v>
      </c>
      <c r="U187" s="87">
        <f t="shared" ca="1" si="55"/>
        <v>1214.4506512506252</v>
      </c>
      <c r="V187" s="104">
        <f t="shared" ca="1" si="56"/>
        <v>0</v>
      </c>
      <c r="W187" s="133">
        <f t="shared" ca="1" si="57"/>
        <v>15223.433769175106</v>
      </c>
      <c r="X187" s="104">
        <f t="shared" ca="1" si="58"/>
        <v>0</v>
      </c>
      <c r="Y187" s="135">
        <f t="shared" ca="1" si="59"/>
        <v>0</v>
      </c>
      <c r="AE187" s="104"/>
    </row>
    <row r="188" spans="1:31" x14ac:dyDescent="0.2">
      <c r="A188" s="98">
        <v>1</v>
      </c>
      <c r="B188" s="98">
        <v>1</v>
      </c>
      <c r="C188" s="98">
        <f t="shared" si="40"/>
        <v>6</v>
      </c>
      <c r="D188" s="98">
        <f t="shared" si="41"/>
        <v>5</v>
      </c>
      <c r="E188" s="98">
        <f t="shared" si="42"/>
        <v>1</v>
      </c>
      <c r="F188" s="118">
        <f t="shared" ca="1" si="43"/>
        <v>0.100979043984</v>
      </c>
      <c r="G188" s="98">
        <v>1</v>
      </c>
      <c r="H188" s="98">
        <v>0</v>
      </c>
      <c r="I188" s="98">
        <v>5</v>
      </c>
      <c r="J188" s="118">
        <f t="shared" ca="1" si="44"/>
        <v>0.73509189062499991</v>
      </c>
      <c r="K188" s="118">
        <f t="shared" ca="1" si="45"/>
        <v>7.4228876355703577E-2</v>
      </c>
      <c r="L188" s="133">
        <f t="shared" ca="1" si="46"/>
        <v>228</v>
      </c>
      <c r="M188" s="130">
        <f t="shared" ca="1" si="47"/>
        <v>772</v>
      </c>
      <c r="N188" s="100">
        <f t="shared" ca="1" si="48"/>
        <v>4</v>
      </c>
      <c r="O188" s="136">
        <f t="shared" ca="1" si="49"/>
        <v>2.6618557453501217</v>
      </c>
      <c r="P188" s="136">
        <f t="shared" ca="1" si="50"/>
        <v>26.618557453501214</v>
      </c>
      <c r="Q188" s="136">
        <f t="shared" ca="1" si="51"/>
        <v>26.618557453501214</v>
      </c>
      <c r="R188" s="136">
        <f t="shared" ca="1" si="52"/>
        <v>2.6618557453501213</v>
      </c>
      <c r="S188" s="136">
        <f t="shared" ca="1" si="53"/>
        <v>2.6618557453501213</v>
      </c>
      <c r="T188" s="104">
        <f t="shared" ca="1" si="54"/>
        <v>0.19758656099831334</v>
      </c>
      <c r="U188" s="87">
        <f t="shared" ca="1" si="55"/>
        <v>1202.4506512506252</v>
      </c>
      <c r="V188" s="104">
        <f t="shared" ca="1" si="56"/>
        <v>89.256560715517907</v>
      </c>
      <c r="W188" s="133">
        <f t="shared" ca="1" si="57"/>
        <v>13088.309818379159</v>
      </c>
      <c r="X188" s="104">
        <f t="shared" ca="1" si="58"/>
        <v>971.53053121360767</v>
      </c>
      <c r="Y188" s="135">
        <f t="shared" ca="1" si="59"/>
        <v>16.924183809100416</v>
      </c>
      <c r="AE188" s="104"/>
    </row>
    <row r="189" spans="1:31" x14ac:dyDescent="0.2">
      <c r="A189" s="98">
        <v>1</v>
      </c>
      <c r="B189" s="98">
        <v>1</v>
      </c>
      <c r="C189" s="98">
        <f t="shared" si="40"/>
        <v>6</v>
      </c>
      <c r="D189" s="98">
        <f t="shared" si="41"/>
        <v>5</v>
      </c>
      <c r="E189" s="98">
        <f t="shared" si="42"/>
        <v>1</v>
      </c>
      <c r="F189" s="118">
        <f t="shared" ca="1" si="43"/>
        <v>0.100979043984</v>
      </c>
      <c r="G189" s="98">
        <v>1</v>
      </c>
      <c r="H189" s="98">
        <v>0</v>
      </c>
      <c r="I189" s="98">
        <v>4</v>
      </c>
      <c r="J189" s="118">
        <f t="shared" ca="1" si="44"/>
        <v>0.19344523437500014</v>
      </c>
      <c r="K189" s="118">
        <f t="shared" ca="1" si="45"/>
        <v>1.9533914830448328E-2</v>
      </c>
      <c r="L189" s="133">
        <f t="shared" ca="1" si="46"/>
        <v>216</v>
      </c>
      <c r="M189" s="130">
        <f t="shared" ca="1" si="47"/>
        <v>784</v>
      </c>
      <c r="N189" s="100">
        <f t="shared" ca="1" si="48"/>
        <v>4</v>
      </c>
      <c r="O189" s="136">
        <f t="shared" ca="1" si="49"/>
        <v>2.6618557453501217</v>
      </c>
      <c r="P189" s="136">
        <f t="shared" ca="1" si="50"/>
        <v>26.618557453501214</v>
      </c>
      <c r="Q189" s="136">
        <f t="shared" ca="1" si="51"/>
        <v>26.618557453501214</v>
      </c>
      <c r="R189" s="136">
        <f t="shared" ca="1" si="52"/>
        <v>2.6618557453501213</v>
      </c>
      <c r="S189" s="136">
        <f t="shared" ca="1" si="53"/>
        <v>2.6618557453501213</v>
      </c>
      <c r="T189" s="104">
        <f t="shared" ca="1" si="54"/>
        <v>5.1996463420608818E-2</v>
      </c>
      <c r="U189" s="87">
        <f t="shared" ca="1" si="55"/>
        <v>1190.4506512506252</v>
      </c>
      <c r="V189" s="104">
        <f t="shared" ca="1" si="56"/>
        <v>23.254161631381457</v>
      </c>
      <c r="W189" s="133">
        <f t="shared" ca="1" si="57"/>
        <v>10953.185867583212</v>
      </c>
      <c r="X189" s="104">
        <f t="shared" ca="1" si="58"/>
        <v>213.95859985944074</v>
      </c>
      <c r="Y189" s="135">
        <f t="shared" ca="1" si="59"/>
        <v>4.2193256033768387</v>
      </c>
      <c r="AE189" s="104"/>
    </row>
    <row r="190" spans="1:31" x14ac:dyDescent="0.2">
      <c r="A190" s="98">
        <v>1</v>
      </c>
      <c r="B190" s="98">
        <v>1</v>
      </c>
      <c r="C190" s="98">
        <f t="shared" si="40"/>
        <v>6</v>
      </c>
      <c r="D190" s="98">
        <f t="shared" si="41"/>
        <v>5</v>
      </c>
      <c r="E190" s="98">
        <f t="shared" si="42"/>
        <v>1</v>
      </c>
      <c r="F190" s="118">
        <f t="shared" ca="1" si="43"/>
        <v>0.100979043984</v>
      </c>
      <c r="G190" s="98">
        <v>1</v>
      </c>
      <c r="H190" s="98">
        <v>0</v>
      </c>
      <c r="I190" s="98">
        <v>3</v>
      </c>
      <c r="J190" s="118">
        <f t="shared" ca="1" si="44"/>
        <v>2.0362656250000031E-2</v>
      </c>
      <c r="K190" s="118">
        <f t="shared" ca="1" si="45"/>
        <v>2.0562015610998256E-3</v>
      </c>
      <c r="L190" s="133">
        <f t="shared" ca="1" si="46"/>
        <v>204</v>
      </c>
      <c r="M190" s="130">
        <f t="shared" ca="1" si="47"/>
        <v>796</v>
      </c>
      <c r="N190" s="100">
        <f t="shared" ca="1" si="48"/>
        <v>4</v>
      </c>
      <c r="O190" s="136">
        <f t="shared" ca="1" si="49"/>
        <v>2.6618557453501217</v>
      </c>
      <c r="P190" s="136">
        <f t="shared" ca="1" si="50"/>
        <v>26.618557453501214</v>
      </c>
      <c r="Q190" s="136">
        <f t="shared" ca="1" si="51"/>
        <v>26.618557453501214</v>
      </c>
      <c r="R190" s="136">
        <f t="shared" ca="1" si="52"/>
        <v>2.6618557453501213</v>
      </c>
      <c r="S190" s="136">
        <f t="shared" ca="1" si="53"/>
        <v>2.6618557453501213</v>
      </c>
      <c r="T190" s="104">
        <f t="shared" ca="1" si="54"/>
        <v>5.4733119390114595E-3</v>
      </c>
      <c r="U190" s="87">
        <f t="shared" ca="1" si="55"/>
        <v>1178.4506512506252</v>
      </c>
      <c r="V190" s="104">
        <f t="shared" ca="1" si="56"/>
        <v>2.4231320687806419</v>
      </c>
      <c r="W190" s="133">
        <f t="shared" ca="1" si="57"/>
        <v>8818.0619167872646</v>
      </c>
      <c r="X190" s="104">
        <f t="shared" ca="1" si="58"/>
        <v>18.131712679172892</v>
      </c>
      <c r="Y190" s="135">
        <f t="shared" ca="1" si="59"/>
        <v>0.41946511846436441</v>
      </c>
      <c r="AE190" s="104"/>
    </row>
    <row r="191" spans="1:31" x14ac:dyDescent="0.2">
      <c r="A191" s="98">
        <v>1</v>
      </c>
      <c r="B191" s="98">
        <v>1</v>
      </c>
      <c r="C191" s="98">
        <f t="shared" si="40"/>
        <v>6</v>
      </c>
      <c r="D191" s="98">
        <f t="shared" si="41"/>
        <v>5</v>
      </c>
      <c r="E191" s="98">
        <f t="shared" si="42"/>
        <v>1</v>
      </c>
      <c r="F191" s="118">
        <f t="shared" ca="1" si="43"/>
        <v>0.100979043984</v>
      </c>
      <c r="G191" s="98">
        <v>1</v>
      </c>
      <c r="H191" s="98">
        <v>0</v>
      </c>
      <c r="I191" s="98">
        <v>2</v>
      </c>
      <c r="J191" s="118">
        <f t="shared" ca="1" si="44"/>
        <v>1.0717187500000028E-3</v>
      </c>
      <c r="K191" s="118">
        <f t="shared" ca="1" si="45"/>
        <v>1.0822113479472778E-4</v>
      </c>
      <c r="L191" s="133">
        <f t="shared" ca="1" si="46"/>
        <v>192</v>
      </c>
      <c r="M191" s="130">
        <f t="shared" ca="1" si="47"/>
        <v>808</v>
      </c>
      <c r="N191" s="100">
        <f t="shared" ca="1" si="48"/>
        <v>4</v>
      </c>
      <c r="O191" s="136">
        <f t="shared" ca="1" si="49"/>
        <v>2.6618557453501217</v>
      </c>
      <c r="P191" s="136">
        <f t="shared" ca="1" si="50"/>
        <v>26.618557453501214</v>
      </c>
      <c r="Q191" s="136">
        <f t="shared" ca="1" si="51"/>
        <v>26.618557453501214</v>
      </c>
      <c r="R191" s="136">
        <f t="shared" ca="1" si="52"/>
        <v>2.6618557453501213</v>
      </c>
      <c r="S191" s="136">
        <f t="shared" ca="1" si="53"/>
        <v>2.6618557453501213</v>
      </c>
      <c r="T191" s="104">
        <f t="shared" ca="1" si="54"/>
        <v>2.8806904942165607E-4</v>
      </c>
      <c r="U191" s="87">
        <f t="shared" ca="1" si="55"/>
        <v>1166.4506512506252</v>
      </c>
      <c r="V191" s="104">
        <f t="shared" ca="1" si="56"/>
        <v>0.12623461316039192</v>
      </c>
      <c r="W191" s="133">
        <f t="shared" ca="1" si="57"/>
        <v>6682.9379659913157</v>
      </c>
      <c r="X191" s="104">
        <f t="shared" ca="1" si="58"/>
        <v>0.7232351304423501</v>
      </c>
      <c r="Y191" s="135">
        <f t="shared" ca="1" si="59"/>
        <v>2.0778457880587735E-2</v>
      </c>
      <c r="AE191" s="104"/>
    </row>
    <row r="192" spans="1:31" x14ac:dyDescent="0.2">
      <c r="A192" s="98">
        <v>1</v>
      </c>
      <c r="B192" s="98">
        <v>1</v>
      </c>
      <c r="C192" s="98">
        <f t="shared" si="40"/>
        <v>6</v>
      </c>
      <c r="D192" s="98">
        <f t="shared" si="41"/>
        <v>5</v>
      </c>
      <c r="E192" s="98">
        <f t="shared" si="42"/>
        <v>1</v>
      </c>
      <c r="F192" s="118">
        <f t="shared" ca="1" si="43"/>
        <v>0.100979043984</v>
      </c>
      <c r="G192" s="98">
        <v>1</v>
      </c>
      <c r="H192" s="98">
        <v>0</v>
      </c>
      <c r="I192" s="98">
        <v>1</v>
      </c>
      <c r="J192" s="118">
        <f t="shared" ca="1" si="44"/>
        <v>2.8203125000000098E-5</v>
      </c>
      <c r="K192" s="118">
        <f t="shared" ca="1" si="45"/>
        <v>2.84792459986126E-6</v>
      </c>
      <c r="L192" s="133">
        <f t="shared" ca="1" si="46"/>
        <v>180</v>
      </c>
      <c r="M192" s="130">
        <f t="shared" ca="1" si="47"/>
        <v>820</v>
      </c>
      <c r="N192" s="100">
        <f t="shared" ca="1" si="48"/>
        <v>4</v>
      </c>
      <c r="O192" s="136">
        <f t="shared" ca="1" si="49"/>
        <v>2.6618557453501217</v>
      </c>
      <c r="P192" s="136">
        <f t="shared" ca="1" si="50"/>
        <v>26.618557453501214</v>
      </c>
      <c r="Q192" s="136">
        <f t="shared" ca="1" si="51"/>
        <v>26.618557453501214</v>
      </c>
      <c r="R192" s="136">
        <f t="shared" ca="1" si="52"/>
        <v>2.6618557453501213</v>
      </c>
      <c r="S192" s="136">
        <f t="shared" ca="1" si="53"/>
        <v>2.6618557453501213</v>
      </c>
      <c r="T192" s="104">
        <f t="shared" ca="1" si="54"/>
        <v>7.5807644584646399E-6</v>
      </c>
      <c r="U192" s="87">
        <f t="shared" ca="1" si="55"/>
        <v>1154.4506512506252</v>
      </c>
      <c r="V192" s="104">
        <f t="shared" ca="1" si="56"/>
        <v>3.287788409022508E-3</v>
      </c>
      <c r="W192" s="133">
        <f t="shared" ca="1" si="57"/>
        <v>4547.8140151953685</v>
      </c>
      <c r="X192" s="104">
        <f t="shared" ca="1" si="58"/>
        <v>1.2951831409468701E-2</v>
      </c>
      <c r="Y192" s="135">
        <f t="shared" ca="1" si="59"/>
        <v>5.126264279750268E-4</v>
      </c>
      <c r="AE192" s="104"/>
    </row>
    <row r="193" spans="1:31" x14ac:dyDescent="0.2">
      <c r="A193" s="98">
        <v>1</v>
      </c>
      <c r="B193" s="98">
        <v>1</v>
      </c>
      <c r="C193" s="98">
        <f t="shared" si="40"/>
        <v>6</v>
      </c>
      <c r="D193" s="98">
        <f t="shared" si="41"/>
        <v>5</v>
      </c>
      <c r="E193" s="98">
        <f t="shared" si="42"/>
        <v>1</v>
      </c>
      <c r="F193" s="118">
        <f t="shared" ca="1" si="43"/>
        <v>0.100979043984</v>
      </c>
      <c r="G193" s="98">
        <v>1</v>
      </c>
      <c r="H193" s="98">
        <v>0</v>
      </c>
      <c r="I193" s="98">
        <v>0</v>
      </c>
      <c r="J193" s="118">
        <f t="shared" ca="1" si="44"/>
        <v>2.9687500000000134E-7</v>
      </c>
      <c r="K193" s="118">
        <f t="shared" ca="1" si="45"/>
        <v>2.9978153682750137E-8</v>
      </c>
      <c r="L193" s="133">
        <f t="shared" ca="1" si="46"/>
        <v>168</v>
      </c>
      <c r="M193" s="130">
        <f t="shared" ca="1" si="47"/>
        <v>832</v>
      </c>
      <c r="N193" s="100">
        <f t="shared" ca="1" si="48"/>
        <v>5</v>
      </c>
      <c r="O193" s="136">
        <f t="shared" ca="1" si="49"/>
        <v>3.2590583346360766</v>
      </c>
      <c r="P193" s="136">
        <f t="shared" ca="1" si="50"/>
        <v>28.410165221359076</v>
      </c>
      <c r="Q193" s="136">
        <f t="shared" ca="1" si="51"/>
        <v>26.618557453501214</v>
      </c>
      <c r="R193" s="136">
        <f t="shared" ca="1" si="52"/>
        <v>2.7514361337430144</v>
      </c>
      <c r="S193" s="136">
        <f t="shared" ca="1" si="53"/>
        <v>3.091543008341366</v>
      </c>
      <c r="T193" s="104">
        <f t="shared" ca="1" si="54"/>
        <v>9.2678751420889165E-8</v>
      </c>
      <c r="U193" s="87">
        <f t="shared" ca="1" si="55"/>
        <v>1294.1569825567776</v>
      </c>
      <c r="V193" s="104">
        <f t="shared" ca="1" si="56"/>
        <v>3.8796436912691267E-5</v>
      </c>
      <c r="W193" s="133">
        <f t="shared" ca="1" si="57"/>
        <v>2412.6900643994204</v>
      </c>
      <c r="X193" s="104">
        <f t="shared" ca="1" si="58"/>
        <v>7.2327993539410154E-5</v>
      </c>
      <c r="Y193" s="135">
        <f t="shared" ca="1" si="59"/>
        <v>5.0363298187020234E-6</v>
      </c>
      <c r="AE193" s="104"/>
    </row>
    <row r="194" spans="1:31" x14ac:dyDescent="0.2">
      <c r="A194" s="98">
        <v>1</v>
      </c>
      <c r="B194" s="98">
        <v>1</v>
      </c>
      <c r="C194" s="98">
        <f t="shared" si="40"/>
        <v>6</v>
      </c>
      <c r="D194" s="98">
        <f t="shared" si="41"/>
        <v>5</v>
      </c>
      <c r="E194" s="98">
        <f t="shared" si="42"/>
        <v>1</v>
      </c>
      <c r="F194" s="118">
        <f t="shared" ca="1" si="43"/>
        <v>0.100979043984</v>
      </c>
      <c r="G194" s="98">
        <v>0</v>
      </c>
      <c r="H194" s="98">
        <v>1</v>
      </c>
      <c r="I194" s="98">
        <v>7</v>
      </c>
      <c r="J194" s="118">
        <f t="shared" si="44"/>
        <v>0</v>
      </c>
      <c r="K194" s="118">
        <f t="shared" ca="1" si="45"/>
        <v>0</v>
      </c>
      <c r="L194" s="133">
        <f t="shared" ca="1" si="46"/>
        <v>252</v>
      </c>
      <c r="M194" s="130">
        <f t="shared" ca="1" si="47"/>
        <v>748</v>
      </c>
      <c r="N194" s="100">
        <f t="shared" ca="1" si="48"/>
        <v>4</v>
      </c>
      <c r="O194" s="136">
        <f t="shared" ca="1" si="49"/>
        <v>2.6618557453501217</v>
      </c>
      <c r="P194" s="136">
        <f t="shared" ca="1" si="50"/>
        <v>26.618557453501214</v>
      </c>
      <c r="Q194" s="136">
        <f t="shared" ca="1" si="51"/>
        <v>26.618557453501214</v>
      </c>
      <c r="R194" s="136">
        <f t="shared" ca="1" si="52"/>
        <v>2.6618557453501213</v>
      </c>
      <c r="S194" s="136">
        <f t="shared" ca="1" si="53"/>
        <v>2.6618557453501213</v>
      </c>
      <c r="T194" s="104">
        <f t="shared" ca="1" si="54"/>
        <v>0</v>
      </c>
      <c r="U194" s="87">
        <f t="shared" ca="1" si="55"/>
        <v>1226.4506512506252</v>
      </c>
      <c r="V194" s="104">
        <f t="shared" ca="1" si="56"/>
        <v>0</v>
      </c>
      <c r="W194" s="133">
        <f t="shared" ca="1" si="57"/>
        <v>17080.991606367581</v>
      </c>
      <c r="X194" s="104">
        <f t="shared" ca="1" si="58"/>
        <v>0</v>
      </c>
      <c r="Y194" s="135">
        <f t="shared" ca="1" si="59"/>
        <v>0</v>
      </c>
      <c r="AE194" s="104"/>
    </row>
    <row r="195" spans="1:31" x14ac:dyDescent="0.2">
      <c r="A195" s="98">
        <v>1</v>
      </c>
      <c r="B195" s="98">
        <v>1</v>
      </c>
      <c r="C195" s="98">
        <f t="shared" si="40"/>
        <v>6</v>
      </c>
      <c r="D195" s="98">
        <f t="shared" si="41"/>
        <v>5</v>
      </c>
      <c r="E195" s="98">
        <f t="shared" si="42"/>
        <v>1</v>
      </c>
      <c r="F195" s="118">
        <f t="shared" ca="1" si="43"/>
        <v>0.100979043984</v>
      </c>
      <c r="G195" s="98">
        <v>0</v>
      </c>
      <c r="H195" s="98">
        <v>1</v>
      </c>
      <c r="I195" s="98">
        <v>6</v>
      </c>
      <c r="J195" s="118">
        <f t="shared" si="44"/>
        <v>0</v>
      </c>
      <c r="K195" s="118">
        <f t="shared" ca="1" si="45"/>
        <v>0</v>
      </c>
      <c r="L195" s="133">
        <f t="shared" ca="1" si="46"/>
        <v>240</v>
      </c>
      <c r="M195" s="130">
        <f t="shared" ca="1" si="47"/>
        <v>760</v>
      </c>
      <c r="N195" s="100">
        <f t="shared" ca="1" si="48"/>
        <v>4</v>
      </c>
      <c r="O195" s="136">
        <f t="shared" ca="1" si="49"/>
        <v>2.6618557453501217</v>
      </c>
      <c r="P195" s="136">
        <f t="shared" ca="1" si="50"/>
        <v>26.618557453501214</v>
      </c>
      <c r="Q195" s="136">
        <f t="shared" ca="1" si="51"/>
        <v>26.618557453501214</v>
      </c>
      <c r="R195" s="136">
        <f t="shared" ca="1" si="52"/>
        <v>2.6618557453501213</v>
      </c>
      <c r="S195" s="136">
        <f t="shared" ca="1" si="53"/>
        <v>2.6618557453501213</v>
      </c>
      <c r="T195" s="104">
        <f t="shared" ca="1" si="54"/>
        <v>0</v>
      </c>
      <c r="U195" s="87">
        <f t="shared" ca="1" si="55"/>
        <v>1214.4506512506252</v>
      </c>
      <c r="V195" s="104">
        <f t="shared" ca="1" si="56"/>
        <v>0</v>
      </c>
      <c r="W195" s="133">
        <f t="shared" ca="1" si="57"/>
        <v>14945.867655571634</v>
      </c>
      <c r="X195" s="104">
        <f t="shared" ca="1" si="58"/>
        <v>0</v>
      </c>
      <c r="Y195" s="135">
        <f t="shared" ca="1" si="59"/>
        <v>0</v>
      </c>
      <c r="AE195" s="104"/>
    </row>
    <row r="196" spans="1:31" x14ac:dyDescent="0.2">
      <c r="A196" s="98">
        <v>1</v>
      </c>
      <c r="B196" s="98">
        <v>1</v>
      </c>
      <c r="C196" s="98">
        <f t="shared" si="40"/>
        <v>6</v>
      </c>
      <c r="D196" s="98">
        <f t="shared" si="41"/>
        <v>5</v>
      </c>
      <c r="E196" s="98">
        <f t="shared" si="42"/>
        <v>1</v>
      </c>
      <c r="F196" s="118">
        <f t="shared" ca="1" si="43"/>
        <v>0.100979043984</v>
      </c>
      <c r="G196" s="98">
        <v>0</v>
      </c>
      <c r="H196" s="98">
        <v>1</v>
      </c>
      <c r="I196" s="98">
        <v>5</v>
      </c>
      <c r="J196" s="118">
        <f t="shared" ca="1" si="44"/>
        <v>0</v>
      </c>
      <c r="K196" s="118">
        <f t="shared" ca="1" si="45"/>
        <v>0</v>
      </c>
      <c r="L196" s="133">
        <f t="shared" ca="1" si="46"/>
        <v>228</v>
      </c>
      <c r="M196" s="130">
        <f t="shared" ca="1" si="47"/>
        <v>772</v>
      </c>
      <c r="N196" s="100">
        <f t="shared" ca="1" si="48"/>
        <v>4</v>
      </c>
      <c r="O196" s="136">
        <f t="shared" ca="1" si="49"/>
        <v>2.6618557453501217</v>
      </c>
      <c r="P196" s="136">
        <f t="shared" ca="1" si="50"/>
        <v>26.618557453501214</v>
      </c>
      <c r="Q196" s="136">
        <f t="shared" ca="1" si="51"/>
        <v>26.618557453501214</v>
      </c>
      <c r="R196" s="136">
        <f t="shared" ca="1" si="52"/>
        <v>2.6618557453501213</v>
      </c>
      <c r="S196" s="136">
        <f t="shared" ca="1" si="53"/>
        <v>2.6618557453501213</v>
      </c>
      <c r="T196" s="104">
        <f t="shared" ca="1" si="54"/>
        <v>0</v>
      </c>
      <c r="U196" s="87">
        <f t="shared" ca="1" si="55"/>
        <v>1202.4506512506252</v>
      </c>
      <c r="V196" s="104">
        <f t="shared" ca="1" si="56"/>
        <v>0</v>
      </c>
      <c r="W196" s="133">
        <f t="shared" ca="1" si="57"/>
        <v>12810.743704775685</v>
      </c>
      <c r="X196" s="104">
        <f t="shared" ca="1" si="58"/>
        <v>0</v>
      </c>
      <c r="Y196" s="135">
        <f t="shared" ca="1" si="59"/>
        <v>0</v>
      </c>
      <c r="AE196" s="104"/>
    </row>
    <row r="197" spans="1:31" x14ac:dyDescent="0.2">
      <c r="A197" s="98">
        <v>1</v>
      </c>
      <c r="B197" s="98">
        <v>1</v>
      </c>
      <c r="C197" s="98">
        <f t="shared" si="40"/>
        <v>6</v>
      </c>
      <c r="D197" s="98">
        <f t="shared" si="41"/>
        <v>5</v>
      </c>
      <c r="E197" s="98">
        <f t="shared" si="42"/>
        <v>1</v>
      </c>
      <c r="F197" s="118">
        <f t="shared" ca="1" si="43"/>
        <v>0.100979043984</v>
      </c>
      <c r="G197" s="98">
        <v>0</v>
      </c>
      <c r="H197" s="98">
        <v>1</v>
      </c>
      <c r="I197" s="98">
        <v>4</v>
      </c>
      <c r="J197" s="118">
        <f t="shared" ca="1" si="44"/>
        <v>0</v>
      </c>
      <c r="K197" s="118">
        <f t="shared" ca="1" si="45"/>
        <v>0</v>
      </c>
      <c r="L197" s="133">
        <f t="shared" ca="1" si="46"/>
        <v>216</v>
      </c>
      <c r="M197" s="130">
        <f t="shared" ca="1" si="47"/>
        <v>784</v>
      </c>
      <c r="N197" s="100">
        <f t="shared" ca="1" si="48"/>
        <v>4</v>
      </c>
      <c r="O197" s="136">
        <f t="shared" ca="1" si="49"/>
        <v>2.6618557453501217</v>
      </c>
      <c r="P197" s="136">
        <f t="shared" ca="1" si="50"/>
        <v>26.618557453501214</v>
      </c>
      <c r="Q197" s="136">
        <f t="shared" ca="1" si="51"/>
        <v>26.618557453501214</v>
      </c>
      <c r="R197" s="136">
        <f t="shared" ca="1" si="52"/>
        <v>2.6618557453501213</v>
      </c>
      <c r="S197" s="136">
        <f t="shared" ca="1" si="53"/>
        <v>2.6618557453501213</v>
      </c>
      <c r="T197" s="104">
        <f t="shared" ca="1" si="54"/>
        <v>0</v>
      </c>
      <c r="U197" s="87">
        <f t="shared" ca="1" si="55"/>
        <v>1190.4506512506252</v>
      </c>
      <c r="V197" s="104">
        <f t="shared" ca="1" si="56"/>
        <v>0</v>
      </c>
      <c r="W197" s="133">
        <f t="shared" ca="1" si="57"/>
        <v>10675.619753979738</v>
      </c>
      <c r="X197" s="104">
        <f t="shared" ca="1" si="58"/>
        <v>0</v>
      </c>
      <c r="Y197" s="135">
        <f t="shared" ca="1" si="59"/>
        <v>0</v>
      </c>
      <c r="AE197" s="104"/>
    </row>
    <row r="198" spans="1:31" x14ac:dyDescent="0.2">
      <c r="A198" s="98">
        <v>1</v>
      </c>
      <c r="B198" s="98">
        <v>1</v>
      </c>
      <c r="C198" s="98">
        <f t="shared" si="40"/>
        <v>6</v>
      </c>
      <c r="D198" s="98">
        <f t="shared" si="41"/>
        <v>5</v>
      </c>
      <c r="E198" s="98">
        <f t="shared" si="42"/>
        <v>1</v>
      </c>
      <c r="F198" s="118">
        <f t="shared" ca="1" si="43"/>
        <v>0.100979043984</v>
      </c>
      <c r="G198" s="98">
        <v>0</v>
      </c>
      <c r="H198" s="98">
        <v>1</v>
      </c>
      <c r="I198" s="98">
        <v>3</v>
      </c>
      <c r="J198" s="118">
        <f t="shared" ca="1" si="44"/>
        <v>0</v>
      </c>
      <c r="K198" s="118">
        <f t="shared" ca="1" si="45"/>
        <v>0</v>
      </c>
      <c r="L198" s="133">
        <f t="shared" ca="1" si="46"/>
        <v>204</v>
      </c>
      <c r="M198" s="130">
        <f t="shared" ca="1" si="47"/>
        <v>796</v>
      </c>
      <c r="N198" s="100">
        <f t="shared" ca="1" si="48"/>
        <v>4</v>
      </c>
      <c r="O198" s="136">
        <f t="shared" ca="1" si="49"/>
        <v>2.6618557453501217</v>
      </c>
      <c r="P198" s="136">
        <f t="shared" ca="1" si="50"/>
        <v>26.618557453501214</v>
      </c>
      <c r="Q198" s="136">
        <f t="shared" ca="1" si="51"/>
        <v>26.618557453501214</v>
      </c>
      <c r="R198" s="136">
        <f t="shared" ca="1" si="52"/>
        <v>2.6618557453501213</v>
      </c>
      <c r="S198" s="136">
        <f t="shared" ca="1" si="53"/>
        <v>2.6618557453501213</v>
      </c>
      <c r="T198" s="104">
        <f t="shared" ca="1" si="54"/>
        <v>0</v>
      </c>
      <c r="U198" s="87">
        <f t="shared" ca="1" si="55"/>
        <v>1178.4506512506252</v>
      </c>
      <c r="V198" s="104">
        <f t="shared" ca="1" si="56"/>
        <v>0</v>
      </c>
      <c r="W198" s="133">
        <f t="shared" ca="1" si="57"/>
        <v>8540.4958031837905</v>
      </c>
      <c r="X198" s="104">
        <f t="shared" ca="1" si="58"/>
        <v>0</v>
      </c>
      <c r="Y198" s="135">
        <f t="shared" ca="1" si="59"/>
        <v>0</v>
      </c>
      <c r="AE198" s="104"/>
    </row>
    <row r="199" spans="1:31" x14ac:dyDescent="0.2">
      <c r="A199" s="98">
        <v>1</v>
      </c>
      <c r="B199" s="98">
        <v>1</v>
      </c>
      <c r="C199" s="98">
        <f t="shared" si="40"/>
        <v>6</v>
      </c>
      <c r="D199" s="98">
        <f t="shared" si="41"/>
        <v>5</v>
      </c>
      <c r="E199" s="98">
        <f t="shared" si="42"/>
        <v>1</v>
      </c>
      <c r="F199" s="118">
        <f t="shared" ca="1" si="43"/>
        <v>0.100979043984</v>
      </c>
      <c r="G199" s="98">
        <v>0</v>
      </c>
      <c r="H199" s="98">
        <v>1</v>
      </c>
      <c r="I199" s="98">
        <v>2</v>
      </c>
      <c r="J199" s="118">
        <f t="shared" ca="1" si="44"/>
        <v>0</v>
      </c>
      <c r="K199" s="118">
        <f t="shared" ca="1" si="45"/>
        <v>0</v>
      </c>
      <c r="L199" s="133">
        <f t="shared" ca="1" si="46"/>
        <v>192</v>
      </c>
      <c r="M199" s="130">
        <f t="shared" ca="1" si="47"/>
        <v>808</v>
      </c>
      <c r="N199" s="100">
        <f t="shared" ca="1" si="48"/>
        <v>4</v>
      </c>
      <c r="O199" s="136">
        <f t="shared" ca="1" si="49"/>
        <v>2.6618557453501217</v>
      </c>
      <c r="P199" s="136">
        <f t="shared" ca="1" si="50"/>
        <v>26.618557453501214</v>
      </c>
      <c r="Q199" s="136">
        <f t="shared" ca="1" si="51"/>
        <v>26.618557453501214</v>
      </c>
      <c r="R199" s="136">
        <f t="shared" ca="1" si="52"/>
        <v>2.6618557453501213</v>
      </c>
      <c r="S199" s="136">
        <f t="shared" ca="1" si="53"/>
        <v>2.6618557453501213</v>
      </c>
      <c r="T199" s="104">
        <f t="shared" ca="1" si="54"/>
        <v>0</v>
      </c>
      <c r="U199" s="87">
        <f t="shared" ca="1" si="55"/>
        <v>1166.4506512506252</v>
      </c>
      <c r="V199" s="104">
        <f t="shared" ca="1" si="56"/>
        <v>0</v>
      </c>
      <c r="W199" s="133">
        <f t="shared" ca="1" si="57"/>
        <v>6405.3718523878433</v>
      </c>
      <c r="X199" s="104">
        <f t="shared" ca="1" si="58"/>
        <v>0</v>
      </c>
      <c r="Y199" s="135">
        <f t="shared" ca="1" si="59"/>
        <v>0</v>
      </c>
      <c r="AE199" s="104"/>
    </row>
    <row r="200" spans="1:31" x14ac:dyDescent="0.2">
      <c r="A200" s="98">
        <v>1</v>
      </c>
      <c r="B200" s="98">
        <v>1</v>
      </c>
      <c r="C200" s="98">
        <f t="shared" si="40"/>
        <v>6</v>
      </c>
      <c r="D200" s="98">
        <f t="shared" si="41"/>
        <v>5</v>
      </c>
      <c r="E200" s="98">
        <f t="shared" si="42"/>
        <v>1</v>
      </c>
      <c r="F200" s="118">
        <f t="shared" ca="1" si="43"/>
        <v>0.100979043984</v>
      </c>
      <c r="G200" s="98">
        <v>0</v>
      </c>
      <c r="H200" s="98">
        <v>1</v>
      </c>
      <c r="I200" s="98">
        <v>1</v>
      </c>
      <c r="J200" s="118">
        <f t="shared" ca="1" si="44"/>
        <v>0</v>
      </c>
      <c r="K200" s="118">
        <f t="shared" ca="1" si="45"/>
        <v>0</v>
      </c>
      <c r="L200" s="133">
        <f t="shared" ca="1" si="46"/>
        <v>180</v>
      </c>
      <c r="M200" s="130">
        <f t="shared" ca="1" si="47"/>
        <v>820</v>
      </c>
      <c r="N200" s="100">
        <f t="shared" ca="1" si="48"/>
        <v>4</v>
      </c>
      <c r="O200" s="136">
        <f t="shared" ca="1" si="49"/>
        <v>2.6618557453501217</v>
      </c>
      <c r="P200" s="136">
        <f t="shared" ca="1" si="50"/>
        <v>26.618557453501214</v>
      </c>
      <c r="Q200" s="136">
        <f t="shared" ca="1" si="51"/>
        <v>26.618557453501214</v>
      </c>
      <c r="R200" s="136">
        <f t="shared" ca="1" si="52"/>
        <v>2.6618557453501213</v>
      </c>
      <c r="S200" s="136">
        <f t="shared" ca="1" si="53"/>
        <v>2.6618557453501213</v>
      </c>
      <c r="T200" s="104">
        <f t="shared" ca="1" si="54"/>
        <v>0</v>
      </c>
      <c r="U200" s="87">
        <f t="shared" ca="1" si="55"/>
        <v>1154.4506512506252</v>
      </c>
      <c r="V200" s="104">
        <f t="shared" ca="1" si="56"/>
        <v>0</v>
      </c>
      <c r="W200" s="133">
        <f t="shared" ca="1" si="57"/>
        <v>4270.2479015918952</v>
      </c>
      <c r="X200" s="104">
        <f t="shared" ca="1" si="58"/>
        <v>0</v>
      </c>
      <c r="Y200" s="135">
        <f t="shared" ca="1" si="59"/>
        <v>0</v>
      </c>
      <c r="AE200" s="104"/>
    </row>
    <row r="201" spans="1:31" x14ac:dyDescent="0.2">
      <c r="A201" s="98">
        <v>1</v>
      </c>
      <c r="B201" s="98">
        <v>1</v>
      </c>
      <c r="C201" s="98">
        <f t="shared" si="40"/>
        <v>6</v>
      </c>
      <c r="D201" s="98">
        <f t="shared" si="41"/>
        <v>5</v>
      </c>
      <c r="E201" s="98">
        <f t="shared" si="42"/>
        <v>1</v>
      </c>
      <c r="F201" s="118">
        <f t="shared" ca="1" si="43"/>
        <v>0.100979043984</v>
      </c>
      <c r="G201" s="98">
        <v>0</v>
      </c>
      <c r="H201" s="98">
        <v>1</v>
      </c>
      <c r="I201" s="98">
        <v>0</v>
      </c>
      <c r="J201" s="118">
        <f t="shared" ca="1" si="44"/>
        <v>0</v>
      </c>
      <c r="K201" s="118">
        <f t="shared" ca="1" si="45"/>
        <v>0</v>
      </c>
      <c r="L201" s="133">
        <f t="shared" ca="1" si="46"/>
        <v>168</v>
      </c>
      <c r="M201" s="130">
        <f t="shared" ca="1" si="47"/>
        <v>832</v>
      </c>
      <c r="N201" s="100">
        <f t="shared" ca="1" si="48"/>
        <v>5</v>
      </c>
      <c r="O201" s="136">
        <f t="shared" ca="1" si="49"/>
        <v>3.2590583346360766</v>
      </c>
      <c r="P201" s="136">
        <f t="shared" ca="1" si="50"/>
        <v>28.410165221359076</v>
      </c>
      <c r="Q201" s="136">
        <f t="shared" ca="1" si="51"/>
        <v>26.618557453501214</v>
      </c>
      <c r="R201" s="136">
        <f t="shared" ca="1" si="52"/>
        <v>2.7514361337430144</v>
      </c>
      <c r="S201" s="136">
        <f t="shared" ca="1" si="53"/>
        <v>3.091543008341366</v>
      </c>
      <c r="T201" s="104">
        <f t="shared" ca="1" si="54"/>
        <v>0</v>
      </c>
      <c r="U201" s="87">
        <f t="shared" ca="1" si="55"/>
        <v>1294.1569825567776</v>
      </c>
      <c r="V201" s="104">
        <f t="shared" ca="1" si="56"/>
        <v>0</v>
      </c>
      <c r="W201" s="133">
        <f t="shared" ca="1" si="57"/>
        <v>2135.1239507959476</v>
      </c>
      <c r="X201" s="104">
        <f t="shared" ca="1" si="58"/>
        <v>0</v>
      </c>
      <c r="Y201" s="135">
        <f t="shared" ca="1" si="59"/>
        <v>0</v>
      </c>
      <c r="AE201" s="104"/>
    </row>
    <row r="202" spans="1:31" x14ac:dyDescent="0.2">
      <c r="A202" s="98">
        <v>1</v>
      </c>
      <c r="B202" s="98">
        <v>1</v>
      </c>
      <c r="C202" s="98">
        <f t="shared" si="40"/>
        <v>6</v>
      </c>
      <c r="D202" s="98">
        <f t="shared" si="41"/>
        <v>5</v>
      </c>
      <c r="E202" s="98">
        <f t="shared" si="42"/>
        <v>1</v>
      </c>
      <c r="F202" s="118">
        <f t="shared" ca="1" si="43"/>
        <v>0.100979043984</v>
      </c>
      <c r="G202" s="98">
        <v>0</v>
      </c>
      <c r="H202" s="98">
        <v>0</v>
      </c>
      <c r="I202" s="98">
        <v>7</v>
      </c>
      <c r="J202" s="118">
        <f t="shared" si="44"/>
        <v>0</v>
      </c>
      <c r="K202" s="118">
        <f t="shared" ca="1" si="45"/>
        <v>0</v>
      </c>
      <c r="L202" s="133">
        <f t="shared" ca="1" si="46"/>
        <v>84</v>
      </c>
      <c r="M202" s="130">
        <f t="shared" ca="1" si="47"/>
        <v>916</v>
      </c>
      <c r="N202" s="100">
        <f t="shared" ca="1" si="48"/>
        <v>5</v>
      </c>
      <c r="O202" s="136">
        <f t="shared" ca="1" si="49"/>
        <v>3.2590583346360766</v>
      </c>
      <c r="P202" s="136">
        <f t="shared" ca="1" si="50"/>
        <v>32.590583346360766</v>
      </c>
      <c r="Q202" s="136">
        <f t="shared" ca="1" si="51"/>
        <v>32.590583346360766</v>
      </c>
      <c r="R202" s="136">
        <f t="shared" ca="1" si="52"/>
        <v>3.2590583346360766</v>
      </c>
      <c r="S202" s="136">
        <f t="shared" ca="1" si="53"/>
        <v>3.2590583346360766</v>
      </c>
      <c r="T202" s="104">
        <f t="shared" ca="1" si="54"/>
        <v>0</v>
      </c>
      <c r="U202" s="87">
        <f t="shared" ca="1" si="55"/>
        <v>1269.3003125517403</v>
      </c>
      <c r="V202" s="104">
        <f t="shared" ca="1" si="56"/>
        <v>0</v>
      </c>
      <c r="W202" s="133">
        <f t="shared" ca="1" si="57"/>
        <v>14945.867655571634</v>
      </c>
      <c r="X202" s="104">
        <f t="shared" ca="1" si="58"/>
        <v>0</v>
      </c>
      <c r="Y202" s="135">
        <f t="shared" ca="1" si="59"/>
        <v>0</v>
      </c>
      <c r="AE202" s="104"/>
    </row>
    <row r="203" spans="1:31" x14ac:dyDescent="0.2">
      <c r="A203" s="98">
        <v>1</v>
      </c>
      <c r="B203" s="98">
        <v>1</v>
      </c>
      <c r="C203" s="98">
        <f t="shared" si="40"/>
        <v>6</v>
      </c>
      <c r="D203" s="98">
        <f t="shared" si="41"/>
        <v>5</v>
      </c>
      <c r="E203" s="98">
        <f t="shared" si="42"/>
        <v>1</v>
      </c>
      <c r="F203" s="118">
        <f t="shared" ca="1" si="43"/>
        <v>0.100979043984</v>
      </c>
      <c r="G203" s="98">
        <v>0</v>
      </c>
      <c r="H203" s="98">
        <v>0</v>
      </c>
      <c r="I203" s="98">
        <v>6</v>
      </c>
      <c r="J203" s="118">
        <f t="shared" si="44"/>
        <v>0</v>
      </c>
      <c r="K203" s="118">
        <f t="shared" ca="1" si="45"/>
        <v>0</v>
      </c>
      <c r="L203" s="133">
        <f t="shared" ca="1" si="46"/>
        <v>72</v>
      </c>
      <c r="M203" s="130">
        <f t="shared" ca="1" si="47"/>
        <v>928</v>
      </c>
      <c r="N203" s="100">
        <f t="shared" ca="1" si="48"/>
        <v>5</v>
      </c>
      <c r="O203" s="136">
        <f t="shared" ca="1" si="49"/>
        <v>3.2590583346360766</v>
      </c>
      <c r="P203" s="136">
        <f t="shared" ca="1" si="50"/>
        <v>32.590583346360766</v>
      </c>
      <c r="Q203" s="136">
        <f t="shared" ca="1" si="51"/>
        <v>32.590583346360766</v>
      </c>
      <c r="R203" s="136">
        <f t="shared" ca="1" si="52"/>
        <v>3.2590583346360766</v>
      </c>
      <c r="S203" s="136">
        <f t="shared" ca="1" si="53"/>
        <v>3.2590583346360766</v>
      </c>
      <c r="T203" s="104">
        <f t="shared" ca="1" si="54"/>
        <v>0</v>
      </c>
      <c r="U203" s="87">
        <f t="shared" ca="1" si="55"/>
        <v>1257.3003125517403</v>
      </c>
      <c r="V203" s="104">
        <f t="shared" ca="1" si="56"/>
        <v>0</v>
      </c>
      <c r="W203" s="133">
        <f t="shared" ca="1" si="57"/>
        <v>12810.743704775687</v>
      </c>
      <c r="X203" s="104">
        <f t="shared" ca="1" si="58"/>
        <v>0</v>
      </c>
      <c r="Y203" s="135">
        <f t="shared" ca="1" si="59"/>
        <v>0</v>
      </c>
      <c r="AE203" s="104"/>
    </row>
    <row r="204" spans="1:31" x14ac:dyDescent="0.2">
      <c r="A204" s="98">
        <v>1</v>
      </c>
      <c r="B204" s="98">
        <v>1</v>
      </c>
      <c r="C204" s="98">
        <f t="shared" si="40"/>
        <v>6</v>
      </c>
      <c r="D204" s="98">
        <f t="shared" si="41"/>
        <v>5</v>
      </c>
      <c r="E204" s="98">
        <f t="shared" si="42"/>
        <v>1</v>
      </c>
      <c r="F204" s="118">
        <f t="shared" ca="1" si="43"/>
        <v>0.100979043984</v>
      </c>
      <c r="G204" s="98">
        <v>0</v>
      </c>
      <c r="H204" s="98">
        <v>0</v>
      </c>
      <c r="I204" s="98">
        <v>5</v>
      </c>
      <c r="J204" s="118">
        <f t="shared" ca="1" si="44"/>
        <v>3.8689046875000001E-2</v>
      </c>
      <c r="K204" s="118">
        <f t="shared" ca="1" si="45"/>
        <v>3.9067829660896624E-3</v>
      </c>
      <c r="L204" s="133">
        <f t="shared" ca="1" si="46"/>
        <v>60</v>
      </c>
      <c r="M204" s="130">
        <f t="shared" ca="1" si="47"/>
        <v>940</v>
      </c>
      <c r="N204" s="100">
        <f t="shared" ca="1" si="48"/>
        <v>5</v>
      </c>
      <c r="O204" s="136">
        <f t="shared" ca="1" si="49"/>
        <v>3.2590583346360766</v>
      </c>
      <c r="P204" s="136">
        <f t="shared" ca="1" si="50"/>
        <v>32.590583346360766</v>
      </c>
      <c r="Q204" s="136">
        <f t="shared" ca="1" si="51"/>
        <v>32.590583346360766</v>
      </c>
      <c r="R204" s="136">
        <f t="shared" ca="1" si="52"/>
        <v>3.2590583346360766</v>
      </c>
      <c r="S204" s="136">
        <f t="shared" ca="1" si="53"/>
        <v>3.2590583346360766</v>
      </c>
      <c r="T204" s="104">
        <f t="shared" ca="1" si="54"/>
        <v>1.2732433587248767E-2</v>
      </c>
      <c r="U204" s="87">
        <f t="shared" ca="1" si="55"/>
        <v>1245.3003125517403</v>
      </c>
      <c r="V204" s="104">
        <f t="shared" ca="1" si="56"/>
        <v>4.8651180487432715</v>
      </c>
      <c r="W204" s="133">
        <f t="shared" ca="1" si="57"/>
        <v>10675.619753979738</v>
      </c>
      <c r="X204" s="104">
        <f t="shared" ca="1" si="58"/>
        <v>41.707329407298353</v>
      </c>
      <c r="Y204" s="135">
        <f t="shared" ca="1" si="59"/>
        <v>0.23440697796537974</v>
      </c>
      <c r="AE204" s="104"/>
    </row>
    <row r="205" spans="1:31" x14ac:dyDescent="0.2">
      <c r="A205" s="98">
        <v>1</v>
      </c>
      <c r="B205" s="98">
        <v>1</v>
      </c>
      <c r="C205" s="98">
        <f t="shared" si="40"/>
        <v>6</v>
      </c>
      <c r="D205" s="98">
        <f t="shared" si="41"/>
        <v>5</v>
      </c>
      <c r="E205" s="98">
        <f t="shared" si="42"/>
        <v>1</v>
      </c>
      <c r="F205" s="118">
        <f t="shared" ca="1" si="43"/>
        <v>0.100979043984</v>
      </c>
      <c r="G205" s="98">
        <v>0</v>
      </c>
      <c r="H205" s="98">
        <v>0</v>
      </c>
      <c r="I205" s="98">
        <v>4</v>
      </c>
      <c r="J205" s="118">
        <f t="shared" ca="1" si="44"/>
        <v>1.0181328125000009E-2</v>
      </c>
      <c r="K205" s="118">
        <f t="shared" ca="1" si="45"/>
        <v>1.0281007805499121E-3</v>
      </c>
      <c r="L205" s="133">
        <f t="shared" ca="1" si="46"/>
        <v>48</v>
      </c>
      <c r="M205" s="130">
        <f t="shared" ca="1" si="47"/>
        <v>952</v>
      </c>
      <c r="N205" s="100">
        <f t="shared" ca="1" si="48"/>
        <v>5</v>
      </c>
      <c r="O205" s="136">
        <f t="shared" ca="1" si="49"/>
        <v>3.2590583346360766</v>
      </c>
      <c r="P205" s="136">
        <f t="shared" ca="1" si="50"/>
        <v>32.590583346360766</v>
      </c>
      <c r="Q205" s="136">
        <f t="shared" ca="1" si="51"/>
        <v>32.590583346360766</v>
      </c>
      <c r="R205" s="136">
        <f t="shared" ca="1" si="52"/>
        <v>3.2590583346360766</v>
      </c>
      <c r="S205" s="136">
        <f t="shared" ca="1" si="53"/>
        <v>3.2590583346360766</v>
      </c>
      <c r="T205" s="104">
        <f t="shared" ca="1" si="54"/>
        <v>3.3506404176970473E-3</v>
      </c>
      <c r="U205" s="87">
        <f t="shared" ca="1" si="55"/>
        <v>1233.3003125517403</v>
      </c>
      <c r="V205" s="104">
        <f t="shared" ca="1" si="56"/>
        <v>1.2679570139868948</v>
      </c>
      <c r="W205" s="133">
        <f t="shared" ca="1" si="57"/>
        <v>8540.4958031837905</v>
      </c>
      <c r="X205" s="104">
        <f t="shared" ca="1" si="58"/>
        <v>8.780490401536504</v>
      </c>
      <c r="Y205" s="135">
        <f t="shared" ca="1" si="59"/>
        <v>4.9348837466395783E-2</v>
      </c>
      <c r="AE205" s="104"/>
    </row>
    <row r="206" spans="1:31" x14ac:dyDescent="0.2">
      <c r="A206" s="98">
        <v>1</v>
      </c>
      <c r="B206" s="98">
        <v>1</v>
      </c>
      <c r="C206" s="98">
        <f t="shared" si="40"/>
        <v>6</v>
      </c>
      <c r="D206" s="98">
        <f t="shared" si="41"/>
        <v>5</v>
      </c>
      <c r="E206" s="98">
        <f t="shared" si="42"/>
        <v>1</v>
      </c>
      <c r="F206" s="118">
        <f t="shared" ca="1" si="43"/>
        <v>0.100979043984</v>
      </c>
      <c r="G206" s="98">
        <v>0</v>
      </c>
      <c r="H206" s="98">
        <v>0</v>
      </c>
      <c r="I206" s="98">
        <v>3</v>
      </c>
      <c r="J206" s="118">
        <f t="shared" ca="1" si="44"/>
        <v>1.0717187500000017E-3</v>
      </c>
      <c r="K206" s="118">
        <f t="shared" ca="1" si="45"/>
        <v>1.0822113479472767E-4</v>
      </c>
      <c r="L206" s="133">
        <f t="shared" ca="1" si="46"/>
        <v>36</v>
      </c>
      <c r="M206" s="130">
        <f t="shared" ca="1" si="47"/>
        <v>964</v>
      </c>
      <c r="N206" s="100">
        <f t="shared" ca="1" si="48"/>
        <v>5</v>
      </c>
      <c r="O206" s="136">
        <f t="shared" ca="1" si="49"/>
        <v>3.2590583346360766</v>
      </c>
      <c r="P206" s="136">
        <f t="shared" ca="1" si="50"/>
        <v>32.590583346360766</v>
      </c>
      <c r="Q206" s="136">
        <f t="shared" ca="1" si="51"/>
        <v>32.590583346360766</v>
      </c>
      <c r="R206" s="136">
        <f t="shared" ca="1" si="52"/>
        <v>3.2590583346360766</v>
      </c>
      <c r="S206" s="136">
        <f t="shared" ca="1" si="53"/>
        <v>3.2590583346360766</v>
      </c>
      <c r="T206" s="104">
        <f t="shared" ca="1" si="54"/>
        <v>3.5269899133653156E-4</v>
      </c>
      <c r="U206" s="87">
        <f t="shared" ca="1" si="55"/>
        <v>1221.3003125517403</v>
      </c>
      <c r="V206" s="104">
        <f t="shared" ca="1" si="56"/>
        <v>0.13217050574950492</v>
      </c>
      <c r="W206" s="133">
        <f t="shared" ca="1" si="57"/>
        <v>6405.3718523878433</v>
      </c>
      <c r="X206" s="104">
        <f t="shared" ca="1" si="58"/>
        <v>0.69319661064761928</v>
      </c>
      <c r="Y206" s="135">
        <f t="shared" ca="1" si="59"/>
        <v>3.8959608526101964E-3</v>
      </c>
      <c r="AE206" s="104"/>
    </row>
    <row r="207" spans="1:31" x14ac:dyDescent="0.2">
      <c r="A207" s="98">
        <v>1</v>
      </c>
      <c r="B207" s="98">
        <v>1</v>
      </c>
      <c r="C207" s="98">
        <f t="shared" si="40"/>
        <v>6</v>
      </c>
      <c r="D207" s="98">
        <f t="shared" si="41"/>
        <v>5</v>
      </c>
      <c r="E207" s="98">
        <f t="shared" si="42"/>
        <v>1</v>
      </c>
      <c r="F207" s="118">
        <f t="shared" ca="1" si="43"/>
        <v>0.100979043984</v>
      </c>
      <c r="G207" s="98">
        <v>0</v>
      </c>
      <c r="H207" s="98">
        <v>0</v>
      </c>
      <c r="I207" s="98">
        <v>2</v>
      </c>
      <c r="J207" s="118">
        <f t="shared" ca="1" si="44"/>
        <v>5.6406250000000155E-5</v>
      </c>
      <c r="K207" s="118">
        <f t="shared" ca="1" si="45"/>
        <v>5.6958491997225157E-6</v>
      </c>
      <c r="L207" s="133">
        <f t="shared" ca="1" si="46"/>
        <v>24</v>
      </c>
      <c r="M207" s="130">
        <f t="shared" ca="1" si="47"/>
        <v>976</v>
      </c>
      <c r="N207" s="100">
        <f t="shared" ca="1" si="48"/>
        <v>5</v>
      </c>
      <c r="O207" s="136">
        <f t="shared" ca="1" si="49"/>
        <v>3.2590583346360766</v>
      </c>
      <c r="P207" s="136">
        <f t="shared" ca="1" si="50"/>
        <v>32.590583346360766</v>
      </c>
      <c r="Q207" s="136">
        <f t="shared" ca="1" si="51"/>
        <v>32.590583346360766</v>
      </c>
      <c r="R207" s="136">
        <f t="shared" ca="1" si="52"/>
        <v>3.2590583346360766</v>
      </c>
      <c r="S207" s="136">
        <f t="shared" ca="1" si="53"/>
        <v>3.2590583346360766</v>
      </c>
      <c r="T207" s="104">
        <f t="shared" ca="1" si="54"/>
        <v>1.8563104807185891E-5</v>
      </c>
      <c r="U207" s="87">
        <f t="shared" ca="1" si="55"/>
        <v>1209.3003125517403</v>
      </c>
      <c r="V207" s="104">
        <f t="shared" ca="1" si="56"/>
        <v>6.8879922174720177E-3</v>
      </c>
      <c r="W207" s="133">
        <f t="shared" ca="1" si="57"/>
        <v>4270.2479015918952</v>
      </c>
      <c r="X207" s="104">
        <f t="shared" ca="1" si="58"/>
        <v>2.4322688092898948E-2</v>
      </c>
      <c r="Y207" s="135">
        <f t="shared" ca="1" si="59"/>
        <v>1.3670038079334037E-4</v>
      </c>
      <c r="AE207" s="104"/>
    </row>
    <row r="208" spans="1:31" x14ac:dyDescent="0.2">
      <c r="A208" s="98">
        <v>1</v>
      </c>
      <c r="B208" s="98">
        <v>1</v>
      </c>
      <c r="C208" s="98">
        <f t="shared" si="40"/>
        <v>6</v>
      </c>
      <c r="D208" s="98">
        <f t="shared" si="41"/>
        <v>5</v>
      </c>
      <c r="E208" s="98">
        <f t="shared" si="42"/>
        <v>1</v>
      </c>
      <c r="F208" s="118">
        <f t="shared" ca="1" si="43"/>
        <v>0.100979043984</v>
      </c>
      <c r="G208" s="98">
        <v>0</v>
      </c>
      <c r="H208" s="98">
        <v>0</v>
      </c>
      <c r="I208" s="98">
        <v>1</v>
      </c>
      <c r="J208" s="118">
        <f t="shared" ca="1" si="44"/>
        <v>1.4843750000000054E-6</v>
      </c>
      <c r="K208" s="118">
        <f t="shared" ca="1" si="45"/>
        <v>1.4989076841375054E-7</v>
      </c>
      <c r="L208" s="133">
        <f t="shared" ca="1" si="46"/>
        <v>12</v>
      </c>
      <c r="M208" s="130">
        <f t="shared" ca="1" si="47"/>
        <v>988</v>
      </c>
      <c r="N208" s="100">
        <f t="shared" ca="1" si="48"/>
        <v>5</v>
      </c>
      <c r="O208" s="136">
        <f t="shared" ca="1" si="49"/>
        <v>3.2590583346360766</v>
      </c>
      <c r="P208" s="136">
        <f t="shared" ca="1" si="50"/>
        <v>32.590583346360766</v>
      </c>
      <c r="Q208" s="136">
        <f t="shared" ca="1" si="51"/>
        <v>32.590583346360766</v>
      </c>
      <c r="R208" s="136">
        <f t="shared" ca="1" si="52"/>
        <v>3.2590583346360766</v>
      </c>
      <c r="S208" s="136">
        <f t="shared" ca="1" si="53"/>
        <v>3.2590583346360766</v>
      </c>
      <c r="T208" s="104">
        <f t="shared" ca="1" si="54"/>
        <v>4.8850275808383965E-7</v>
      </c>
      <c r="U208" s="87">
        <f t="shared" ca="1" si="55"/>
        <v>1197.3003125517403</v>
      </c>
      <c r="V208" s="104">
        <f t="shared" ca="1" si="56"/>
        <v>1.7946426387040404E-4</v>
      </c>
      <c r="W208" s="133">
        <f t="shared" ca="1" si="57"/>
        <v>2135.1239507959476</v>
      </c>
      <c r="X208" s="104">
        <f t="shared" ca="1" si="58"/>
        <v>3.200353696434075E-4</v>
      </c>
      <c r="Y208" s="135">
        <f t="shared" ca="1" si="59"/>
        <v>1.7986892209650065E-6</v>
      </c>
      <c r="AE208" s="104"/>
    </row>
    <row r="209" spans="1:31" x14ac:dyDescent="0.2">
      <c r="A209" s="98">
        <v>1</v>
      </c>
      <c r="B209" s="98">
        <v>1</v>
      </c>
      <c r="C209" s="98">
        <f t="shared" si="40"/>
        <v>6</v>
      </c>
      <c r="D209" s="98">
        <f t="shared" si="41"/>
        <v>5</v>
      </c>
      <c r="E209" s="98">
        <f t="shared" si="42"/>
        <v>1</v>
      </c>
      <c r="F209" s="118">
        <f t="shared" ca="1" si="43"/>
        <v>0.100979043984</v>
      </c>
      <c r="G209" s="98">
        <v>0</v>
      </c>
      <c r="H209" s="98">
        <v>0</v>
      </c>
      <c r="I209" s="98">
        <v>0</v>
      </c>
      <c r="J209" s="118">
        <f t="shared" ca="1" si="44"/>
        <v>1.5625000000000072E-8</v>
      </c>
      <c r="K209" s="118">
        <f t="shared" ca="1" si="45"/>
        <v>1.5777975622500073E-9</v>
      </c>
      <c r="L209" s="133">
        <f t="shared" ca="1" si="46"/>
        <v>0</v>
      </c>
      <c r="M209" s="130">
        <f t="shared" ca="1" si="47"/>
        <v>1000</v>
      </c>
      <c r="N209" s="100">
        <f t="shared" ca="1" si="48"/>
        <v>5</v>
      </c>
      <c r="O209" s="136">
        <f t="shared" ca="1" si="49"/>
        <v>3.2590583346360766</v>
      </c>
      <c r="P209" s="136">
        <f t="shared" ca="1" si="50"/>
        <v>32.590583346360766</v>
      </c>
      <c r="Q209" s="136">
        <f t="shared" ca="1" si="51"/>
        <v>32.590583346360766</v>
      </c>
      <c r="R209" s="136">
        <f t="shared" ca="1" si="52"/>
        <v>3.2590583346360766</v>
      </c>
      <c r="S209" s="136">
        <f t="shared" ca="1" si="53"/>
        <v>3.2590583346360766</v>
      </c>
      <c r="T209" s="104">
        <f t="shared" ca="1" si="54"/>
        <v>5.1421342956193702E-9</v>
      </c>
      <c r="U209" s="87">
        <f t="shared" ca="1" si="55"/>
        <v>1185.3003125517403</v>
      </c>
      <c r="V209" s="104">
        <f t="shared" ca="1" si="56"/>
        <v>1.8701639436783074E-6</v>
      </c>
      <c r="W209" s="133">
        <f t="shared" ca="1" si="57"/>
        <v>0</v>
      </c>
      <c r="X209" s="104">
        <f t="shared" ca="1" si="58"/>
        <v>0</v>
      </c>
      <c r="Y209" s="135">
        <f t="shared" ca="1" si="59"/>
        <v>0</v>
      </c>
      <c r="AE209" s="104"/>
    </row>
    <row r="210" spans="1:31" x14ac:dyDescent="0.2">
      <c r="A210" s="98">
        <v>1</v>
      </c>
      <c r="B210" s="98">
        <v>2</v>
      </c>
      <c r="C210" s="98">
        <f t="shared" ref="C210:C273" si="60">MIN(8, 1+$B$10+$B$9+A210+B210)</f>
        <v>7</v>
      </c>
      <c r="D210" s="98">
        <f t="shared" ref="D210:D273" si="61">C210-(1+$B$10)</f>
        <v>6</v>
      </c>
      <c r="E210" s="98">
        <f t="shared" ref="E210:E273" si="62">MIN(A210, C210-(1+$B$10+$B$9))</f>
        <v>1</v>
      </c>
      <c r="F210" s="118">
        <f t="shared" ref="F210:F273" ca="1" si="63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2.7741495599999996E-2</v>
      </c>
      <c r="G210" s="98">
        <v>1</v>
      </c>
      <c r="H210" s="98">
        <v>1</v>
      </c>
      <c r="I210" s="98">
        <v>7</v>
      </c>
      <c r="J210" s="118">
        <f t="shared" ref="J210:J273" si="64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18">
        <f t="shared" ref="K210:K273" ca="1" si="65">F210*J210</f>
        <v>0</v>
      </c>
      <c r="L210" s="133">
        <f t="shared" ref="L210:L273" ca="1" si="66">MAX((G210+H210)*Set1WSTP + I210*$B$6, Set1SaveTP)</f>
        <v>420</v>
      </c>
      <c r="M210" s="130">
        <f t="shared" ref="M210:M273" ca="1" si="67">MAX(Set1MinTP-(L210+Set1Regain), 0)</f>
        <v>580</v>
      </c>
      <c r="N210" s="100">
        <f t="shared" ref="N210:N273" ca="1" si="68">CEILING(M210/Set1MeleeTP, 1)</f>
        <v>3</v>
      </c>
      <c r="O210" s="136">
        <f t="shared" ref="O210:O273" ca="1" si="69">VLOOKUP(N210,AvgRoundsSet1,2)</f>
        <v>2.0946097612518035</v>
      </c>
      <c r="P210" s="136">
        <f t="shared" ref="P210:P273" ca="1" si="70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20.946097612518034</v>
      </c>
      <c r="Q210" s="136">
        <f t="shared" ref="Q210:Q273" ca="1" si="71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20.946097612518034</v>
      </c>
      <c r="R210" s="136">
        <f t="shared" ref="R210:R273" ca="1" si="72">(P210+Q210)/20</f>
        <v>2.0946097612518035</v>
      </c>
      <c r="S210" s="136">
        <f t="shared" ref="S210:S273" ca="1" si="73">R210*Set1ConserveTP + O210*(1-Set1ConserveTP)</f>
        <v>2.0946097612518035</v>
      </c>
      <c r="T210" s="104">
        <f t="shared" ref="T210:T273" ca="1" si="74">K210*S210</f>
        <v>0</v>
      </c>
      <c r="U210" s="87">
        <f t="shared" ref="U210:U273" ca="1" si="75">MIN(L210+(S210+Set1OverTP)*AvgHitsPerRound1*Set1MeleeTP + Set1Regain + 105*Set1ConserveTP, 3000)</f>
        <v>1194.1775349459019</v>
      </c>
      <c r="V210" s="104">
        <f t="shared" ref="V210:V273" ca="1" si="76">U210*K210</f>
        <v>0</v>
      </c>
      <c r="W210" s="133">
        <f t="shared" ref="W210:W273" ca="1" si="77">G210*$K$10*((1-$L$10)*$L$14 + $L$10*$M$14*$M$10)*Set1WSDmg + H210*$K$13*((1-$L$13)*$L$14 + $L$13*$M$14*$M$11) + I210*$K$11*((1-$L$11)*$L$14 + $L$11*$M$14*$M$11) + E210*$K$12*$L$12*$M$10</f>
        <v>19493.681670767</v>
      </c>
      <c r="X210" s="104">
        <f t="shared" ref="X210:X273" ca="1" si="78">K210*W210</f>
        <v>0</v>
      </c>
      <c r="Y210" s="135">
        <f t="shared" ca="1" si="59"/>
        <v>0</v>
      </c>
      <c r="AE210" s="104"/>
    </row>
    <row r="211" spans="1:31" x14ac:dyDescent="0.2">
      <c r="A211" s="98">
        <v>1</v>
      </c>
      <c r="B211" s="98">
        <v>2</v>
      </c>
      <c r="C211" s="98">
        <f t="shared" si="60"/>
        <v>7</v>
      </c>
      <c r="D211" s="98">
        <f t="shared" si="61"/>
        <v>6</v>
      </c>
      <c r="E211" s="98">
        <f t="shared" si="62"/>
        <v>1</v>
      </c>
      <c r="F211" s="118">
        <f t="shared" ca="1" si="63"/>
        <v>2.7741495599999996E-2</v>
      </c>
      <c r="G211" s="98">
        <v>1</v>
      </c>
      <c r="H211" s="98">
        <v>1</v>
      </c>
      <c r="I211" s="98">
        <v>6</v>
      </c>
      <c r="J211" s="118">
        <f t="shared" ca="1" si="64"/>
        <v>0</v>
      </c>
      <c r="K211" s="118">
        <f t="shared" ca="1" si="65"/>
        <v>0</v>
      </c>
      <c r="L211" s="133">
        <f t="shared" ca="1" si="66"/>
        <v>408</v>
      </c>
      <c r="M211" s="130">
        <f t="shared" ca="1" si="67"/>
        <v>592</v>
      </c>
      <c r="N211" s="100">
        <f t="shared" ca="1" si="68"/>
        <v>3</v>
      </c>
      <c r="O211" s="136">
        <f t="shared" ca="1" si="69"/>
        <v>2.0946097612518035</v>
      </c>
      <c r="P211" s="136">
        <f t="shared" ca="1" si="70"/>
        <v>20.946097612518034</v>
      </c>
      <c r="Q211" s="136">
        <f t="shared" ca="1" si="71"/>
        <v>20.946097612518034</v>
      </c>
      <c r="R211" s="136">
        <f t="shared" ca="1" si="72"/>
        <v>2.0946097612518035</v>
      </c>
      <c r="S211" s="136">
        <f t="shared" ca="1" si="73"/>
        <v>2.0946097612518035</v>
      </c>
      <c r="T211" s="104">
        <f t="shared" ca="1" si="74"/>
        <v>0</v>
      </c>
      <c r="U211" s="87">
        <f t="shared" ca="1" si="75"/>
        <v>1182.1775349459019</v>
      </c>
      <c r="V211" s="104">
        <f t="shared" ca="1" si="76"/>
        <v>0</v>
      </c>
      <c r="W211" s="133">
        <f t="shared" ca="1" si="77"/>
        <v>17358.557719971053</v>
      </c>
      <c r="X211" s="104">
        <f t="shared" ca="1" si="78"/>
        <v>0</v>
      </c>
      <c r="Y211" s="135">
        <f t="shared" ref="Y211:Y274" ca="1" si="79">K211*L211</f>
        <v>0</v>
      </c>
      <c r="AE211" s="104"/>
    </row>
    <row r="212" spans="1:31" x14ac:dyDescent="0.2">
      <c r="A212" s="98">
        <v>1</v>
      </c>
      <c r="B212" s="98">
        <v>2</v>
      </c>
      <c r="C212" s="98">
        <f t="shared" si="60"/>
        <v>7</v>
      </c>
      <c r="D212" s="98">
        <f t="shared" si="61"/>
        <v>6</v>
      </c>
      <c r="E212" s="98">
        <f t="shared" si="62"/>
        <v>1</v>
      </c>
      <c r="F212" s="118">
        <f t="shared" ca="1" si="63"/>
        <v>2.7741495599999996E-2</v>
      </c>
      <c r="G212" s="98">
        <v>1</v>
      </c>
      <c r="H212" s="98">
        <v>1</v>
      </c>
      <c r="I212" s="98">
        <v>5</v>
      </c>
      <c r="J212" s="118">
        <f t="shared" ca="1" si="64"/>
        <v>0</v>
      </c>
      <c r="K212" s="118">
        <f t="shared" ca="1" si="65"/>
        <v>0</v>
      </c>
      <c r="L212" s="133">
        <f t="shared" ca="1" si="66"/>
        <v>396</v>
      </c>
      <c r="M212" s="130">
        <f t="shared" ca="1" si="67"/>
        <v>604</v>
      </c>
      <c r="N212" s="100">
        <f t="shared" ca="1" si="68"/>
        <v>3</v>
      </c>
      <c r="O212" s="136">
        <f t="shared" ca="1" si="69"/>
        <v>2.0946097612518035</v>
      </c>
      <c r="P212" s="136">
        <f t="shared" ca="1" si="70"/>
        <v>20.946097612518034</v>
      </c>
      <c r="Q212" s="136">
        <f t="shared" ca="1" si="71"/>
        <v>20.946097612518034</v>
      </c>
      <c r="R212" s="136">
        <f t="shared" ca="1" si="72"/>
        <v>2.0946097612518035</v>
      </c>
      <c r="S212" s="136">
        <f t="shared" ca="1" si="73"/>
        <v>2.0946097612518035</v>
      </c>
      <c r="T212" s="104">
        <f t="shared" ca="1" si="74"/>
        <v>0</v>
      </c>
      <c r="U212" s="87">
        <f t="shared" ca="1" si="75"/>
        <v>1170.1775349459019</v>
      </c>
      <c r="V212" s="104">
        <f t="shared" ca="1" si="76"/>
        <v>0</v>
      </c>
      <c r="W212" s="133">
        <f t="shared" ca="1" si="77"/>
        <v>15223.433769175106</v>
      </c>
      <c r="X212" s="104">
        <f t="shared" ca="1" si="78"/>
        <v>0</v>
      </c>
      <c r="Y212" s="135">
        <f t="shared" ca="1" si="79"/>
        <v>0</v>
      </c>
      <c r="AE212" s="104"/>
    </row>
    <row r="213" spans="1:31" x14ac:dyDescent="0.2">
      <c r="A213" s="98">
        <v>1</v>
      </c>
      <c r="B213" s="98">
        <v>2</v>
      </c>
      <c r="C213" s="98">
        <f t="shared" si="60"/>
        <v>7</v>
      </c>
      <c r="D213" s="98">
        <f t="shared" si="61"/>
        <v>6</v>
      </c>
      <c r="E213" s="98">
        <f t="shared" si="62"/>
        <v>1</v>
      </c>
      <c r="F213" s="118">
        <f t="shared" ca="1" si="63"/>
        <v>2.7741495599999996E-2</v>
      </c>
      <c r="G213" s="98">
        <v>1</v>
      </c>
      <c r="H213" s="98">
        <v>1</v>
      </c>
      <c r="I213" s="98">
        <v>4</v>
      </c>
      <c r="J213" s="118">
        <f t="shared" ca="1" si="64"/>
        <v>0</v>
      </c>
      <c r="K213" s="118">
        <f t="shared" ca="1" si="65"/>
        <v>0</v>
      </c>
      <c r="L213" s="133">
        <f t="shared" ca="1" si="66"/>
        <v>384</v>
      </c>
      <c r="M213" s="130">
        <f t="shared" ca="1" si="67"/>
        <v>616</v>
      </c>
      <c r="N213" s="100">
        <f t="shared" ca="1" si="68"/>
        <v>3</v>
      </c>
      <c r="O213" s="136">
        <f t="shared" ca="1" si="69"/>
        <v>2.0946097612518035</v>
      </c>
      <c r="P213" s="136">
        <f t="shared" ca="1" si="70"/>
        <v>20.946097612518034</v>
      </c>
      <c r="Q213" s="136">
        <f t="shared" ca="1" si="71"/>
        <v>20.946097612518034</v>
      </c>
      <c r="R213" s="136">
        <f t="shared" ca="1" si="72"/>
        <v>2.0946097612518035</v>
      </c>
      <c r="S213" s="136">
        <f t="shared" ca="1" si="73"/>
        <v>2.0946097612518035</v>
      </c>
      <c r="T213" s="104">
        <f t="shared" ca="1" si="74"/>
        <v>0</v>
      </c>
      <c r="U213" s="87">
        <f t="shared" ca="1" si="75"/>
        <v>1158.1775349459019</v>
      </c>
      <c r="V213" s="104">
        <f t="shared" ca="1" si="76"/>
        <v>0</v>
      </c>
      <c r="W213" s="133">
        <f t="shared" ca="1" si="77"/>
        <v>13088.309818379159</v>
      </c>
      <c r="X213" s="104">
        <f t="shared" ca="1" si="78"/>
        <v>0</v>
      </c>
      <c r="Y213" s="135">
        <f t="shared" ca="1" si="79"/>
        <v>0</v>
      </c>
      <c r="AE213" s="104"/>
    </row>
    <row r="214" spans="1:31" x14ac:dyDescent="0.2">
      <c r="A214" s="98">
        <v>1</v>
      </c>
      <c r="B214" s="98">
        <v>2</v>
      </c>
      <c r="C214" s="98">
        <f t="shared" si="60"/>
        <v>7</v>
      </c>
      <c r="D214" s="98">
        <f t="shared" si="61"/>
        <v>6</v>
      </c>
      <c r="E214" s="98">
        <f t="shared" si="62"/>
        <v>1</v>
      </c>
      <c r="F214" s="118">
        <f t="shared" ca="1" si="63"/>
        <v>2.7741495599999996E-2</v>
      </c>
      <c r="G214" s="98">
        <v>1</v>
      </c>
      <c r="H214" s="98">
        <v>1</v>
      </c>
      <c r="I214" s="98">
        <v>3</v>
      </c>
      <c r="J214" s="118">
        <f t="shared" ca="1" si="64"/>
        <v>0</v>
      </c>
      <c r="K214" s="118">
        <f t="shared" ca="1" si="65"/>
        <v>0</v>
      </c>
      <c r="L214" s="133">
        <f t="shared" ca="1" si="66"/>
        <v>372</v>
      </c>
      <c r="M214" s="130">
        <f t="shared" ca="1" si="67"/>
        <v>628</v>
      </c>
      <c r="N214" s="100">
        <f t="shared" ca="1" si="68"/>
        <v>4</v>
      </c>
      <c r="O214" s="136">
        <f t="shared" ca="1" si="69"/>
        <v>2.6618557453501217</v>
      </c>
      <c r="P214" s="136">
        <f t="shared" ca="1" si="70"/>
        <v>24.349573517107945</v>
      </c>
      <c r="Q214" s="136">
        <f t="shared" ca="1" si="71"/>
        <v>20.946097612518034</v>
      </c>
      <c r="R214" s="136">
        <f t="shared" ca="1" si="72"/>
        <v>2.2647835564812988</v>
      </c>
      <c r="S214" s="136">
        <f t="shared" ca="1" si="73"/>
        <v>2.5308219230234101</v>
      </c>
      <c r="T214" s="104">
        <f t="shared" ca="1" si="74"/>
        <v>0</v>
      </c>
      <c r="U214" s="87">
        <f t="shared" ca="1" si="75"/>
        <v>1300.1875613842344</v>
      </c>
      <c r="V214" s="104">
        <f t="shared" ca="1" si="76"/>
        <v>0</v>
      </c>
      <c r="W214" s="133">
        <f t="shared" ca="1" si="77"/>
        <v>10953.185867583212</v>
      </c>
      <c r="X214" s="104">
        <f t="shared" ca="1" si="78"/>
        <v>0</v>
      </c>
      <c r="Y214" s="135">
        <f t="shared" ca="1" si="79"/>
        <v>0</v>
      </c>
      <c r="AE214" s="104"/>
    </row>
    <row r="215" spans="1:31" x14ac:dyDescent="0.2">
      <c r="A215" s="98">
        <v>1</v>
      </c>
      <c r="B215" s="98">
        <v>2</v>
      </c>
      <c r="C215" s="98">
        <f t="shared" si="60"/>
        <v>7</v>
      </c>
      <c r="D215" s="98">
        <f t="shared" si="61"/>
        <v>6</v>
      </c>
      <c r="E215" s="98">
        <f t="shared" si="62"/>
        <v>1</v>
      </c>
      <c r="F215" s="118">
        <f t="shared" ca="1" si="63"/>
        <v>2.7741495599999996E-2</v>
      </c>
      <c r="G215" s="98">
        <v>1</v>
      </c>
      <c r="H215" s="98">
        <v>1</v>
      </c>
      <c r="I215" s="98">
        <v>2</v>
      </c>
      <c r="J215" s="118">
        <f t="shared" ca="1" si="64"/>
        <v>0</v>
      </c>
      <c r="K215" s="118">
        <f t="shared" ca="1" si="65"/>
        <v>0</v>
      </c>
      <c r="L215" s="133">
        <f t="shared" ca="1" si="66"/>
        <v>360</v>
      </c>
      <c r="M215" s="130">
        <f t="shared" ca="1" si="67"/>
        <v>640</v>
      </c>
      <c r="N215" s="100">
        <f t="shared" ca="1" si="68"/>
        <v>4</v>
      </c>
      <c r="O215" s="136">
        <f t="shared" ca="1" si="69"/>
        <v>2.6618557453501217</v>
      </c>
      <c r="P215" s="136">
        <f t="shared" ca="1" si="70"/>
        <v>26.618557453501214</v>
      </c>
      <c r="Q215" s="136">
        <f t="shared" ca="1" si="71"/>
        <v>25.48406548530458</v>
      </c>
      <c r="R215" s="136">
        <f t="shared" ca="1" si="72"/>
        <v>2.6051311469402898</v>
      </c>
      <c r="S215" s="136">
        <f t="shared" ca="1" si="73"/>
        <v>2.6431366278748771</v>
      </c>
      <c r="T215" s="104">
        <f t="shared" ca="1" si="74"/>
        <v>0</v>
      </c>
      <c r="U215" s="87">
        <f t="shared" ca="1" si="75"/>
        <v>1327.8416384125694</v>
      </c>
      <c r="V215" s="104">
        <f t="shared" ca="1" si="76"/>
        <v>0</v>
      </c>
      <c r="W215" s="133">
        <f t="shared" ca="1" si="77"/>
        <v>8818.0619167872646</v>
      </c>
      <c r="X215" s="104">
        <f t="shared" ca="1" si="78"/>
        <v>0</v>
      </c>
      <c r="Y215" s="135">
        <f t="shared" ca="1" si="79"/>
        <v>0</v>
      </c>
      <c r="AE215" s="104"/>
    </row>
    <row r="216" spans="1:31" x14ac:dyDescent="0.2">
      <c r="A216" s="98">
        <v>1</v>
      </c>
      <c r="B216" s="98">
        <v>2</v>
      </c>
      <c r="C216" s="98">
        <f t="shared" si="60"/>
        <v>7</v>
      </c>
      <c r="D216" s="98">
        <f t="shared" si="61"/>
        <v>6</v>
      </c>
      <c r="E216" s="98">
        <f t="shared" si="62"/>
        <v>1</v>
      </c>
      <c r="F216" s="118">
        <f t="shared" ca="1" si="63"/>
        <v>2.7741495599999996E-2</v>
      </c>
      <c r="G216" s="98">
        <v>1</v>
      </c>
      <c r="H216" s="98">
        <v>1</v>
      </c>
      <c r="I216" s="98">
        <v>1</v>
      </c>
      <c r="J216" s="118">
        <f t="shared" ca="1" si="64"/>
        <v>0</v>
      </c>
      <c r="K216" s="118">
        <f t="shared" ca="1" si="65"/>
        <v>0</v>
      </c>
      <c r="L216" s="133">
        <f t="shared" ca="1" si="66"/>
        <v>348</v>
      </c>
      <c r="M216" s="130">
        <f t="shared" ca="1" si="67"/>
        <v>652</v>
      </c>
      <c r="N216" s="100">
        <f t="shared" ca="1" si="68"/>
        <v>4</v>
      </c>
      <c r="O216" s="136">
        <f t="shared" ca="1" si="69"/>
        <v>2.6618557453501217</v>
      </c>
      <c r="P216" s="136">
        <f t="shared" ca="1" si="70"/>
        <v>26.618557453501214</v>
      </c>
      <c r="Q216" s="136">
        <f t="shared" ca="1" si="71"/>
        <v>26.618557453501214</v>
      </c>
      <c r="R216" s="136">
        <f t="shared" ca="1" si="72"/>
        <v>2.6618557453501213</v>
      </c>
      <c r="S216" s="136">
        <f t="shared" ca="1" si="73"/>
        <v>2.6618557453501213</v>
      </c>
      <c r="T216" s="104">
        <f t="shared" ca="1" si="74"/>
        <v>0</v>
      </c>
      <c r="U216" s="87">
        <f t="shared" ca="1" si="75"/>
        <v>1322.4506512506252</v>
      </c>
      <c r="V216" s="104">
        <f t="shared" ca="1" si="76"/>
        <v>0</v>
      </c>
      <c r="W216" s="133">
        <f t="shared" ca="1" si="77"/>
        <v>6682.9379659913157</v>
      </c>
      <c r="X216" s="104">
        <f t="shared" ca="1" si="78"/>
        <v>0</v>
      </c>
      <c r="Y216" s="135">
        <f t="shared" ca="1" si="79"/>
        <v>0</v>
      </c>
      <c r="AE216" s="104"/>
    </row>
    <row r="217" spans="1:31" x14ac:dyDescent="0.2">
      <c r="A217" s="98">
        <v>1</v>
      </c>
      <c r="B217" s="98">
        <v>2</v>
      </c>
      <c r="C217" s="98">
        <f t="shared" si="60"/>
        <v>7</v>
      </c>
      <c r="D217" s="98">
        <f t="shared" si="61"/>
        <v>6</v>
      </c>
      <c r="E217" s="98">
        <f t="shared" si="62"/>
        <v>1</v>
      </c>
      <c r="F217" s="118">
        <f t="shared" ca="1" si="63"/>
        <v>2.7741495599999996E-2</v>
      </c>
      <c r="G217" s="98">
        <v>1</v>
      </c>
      <c r="H217" s="98">
        <v>1</v>
      </c>
      <c r="I217" s="98">
        <v>0</v>
      </c>
      <c r="J217" s="118">
        <f t="shared" ca="1" si="64"/>
        <v>0</v>
      </c>
      <c r="K217" s="118">
        <f t="shared" ca="1" si="65"/>
        <v>0</v>
      </c>
      <c r="L217" s="133">
        <f t="shared" ca="1" si="66"/>
        <v>336</v>
      </c>
      <c r="M217" s="130">
        <f t="shared" ca="1" si="67"/>
        <v>664</v>
      </c>
      <c r="N217" s="100">
        <f t="shared" ca="1" si="68"/>
        <v>4</v>
      </c>
      <c r="O217" s="136">
        <f t="shared" ca="1" si="69"/>
        <v>2.6618557453501217</v>
      </c>
      <c r="P217" s="136">
        <f t="shared" ca="1" si="70"/>
        <v>26.618557453501214</v>
      </c>
      <c r="Q217" s="136">
        <f t="shared" ca="1" si="71"/>
        <v>26.618557453501214</v>
      </c>
      <c r="R217" s="136">
        <f t="shared" ca="1" si="72"/>
        <v>2.6618557453501213</v>
      </c>
      <c r="S217" s="136">
        <f t="shared" ca="1" si="73"/>
        <v>2.6618557453501213</v>
      </c>
      <c r="T217" s="104">
        <f t="shared" ca="1" si="74"/>
        <v>0</v>
      </c>
      <c r="U217" s="87">
        <f t="shared" ca="1" si="75"/>
        <v>1310.4506512506252</v>
      </c>
      <c r="V217" s="104">
        <f t="shared" ca="1" si="76"/>
        <v>0</v>
      </c>
      <c r="W217" s="133">
        <f t="shared" ca="1" si="77"/>
        <v>4547.8140151953685</v>
      </c>
      <c r="X217" s="104">
        <f t="shared" ca="1" si="78"/>
        <v>0</v>
      </c>
      <c r="Y217" s="135">
        <f t="shared" ca="1" si="79"/>
        <v>0</v>
      </c>
      <c r="AE217" s="104"/>
    </row>
    <row r="218" spans="1:31" x14ac:dyDescent="0.2">
      <c r="A218" s="98">
        <v>1</v>
      </c>
      <c r="B218" s="98">
        <v>2</v>
      </c>
      <c r="C218" s="98">
        <f t="shared" si="60"/>
        <v>7</v>
      </c>
      <c r="D218" s="98">
        <f t="shared" si="61"/>
        <v>6</v>
      </c>
      <c r="E218" s="98">
        <f t="shared" si="62"/>
        <v>1</v>
      </c>
      <c r="F218" s="118">
        <f t="shared" ca="1" si="63"/>
        <v>2.7741495599999996E-2</v>
      </c>
      <c r="G218" s="98">
        <v>1</v>
      </c>
      <c r="H218" s="98">
        <v>0</v>
      </c>
      <c r="I218" s="98">
        <v>7</v>
      </c>
      <c r="J218" s="118">
        <f t="shared" si="64"/>
        <v>0</v>
      </c>
      <c r="K218" s="118">
        <f t="shared" ca="1" si="65"/>
        <v>0</v>
      </c>
      <c r="L218" s="133">
        <f t="shared" ca="1" si="66"/>
        <v>252</v>
      </c>
      <c r="M218" s="130">
        <f t="shared" ca="1" si="67"/>
        <v>748</v>
      </c>
      <c r="N218" s="100">
        <f t="shared" ca="1" si="68"/>
        <v>4</v>
      </c>
      <c r="O218" s="136">
        <f t="shared" ca="1" si="69"/>
        <v>2.6618557453501217</v>
      </c>
      <c r="P218" s="136">
        <f t="shared" ca="1" si="70"/>
        <v>26.618557453501214</v>
      </c>
      <c r="Q218" s="136">
        <f t="shared" ca="1" si="71"/>
        <v>26.618557453501214</v>
      </c>
      <c r="R218" s="136">
        <f t="shared" ca="1" si="72"/>
        <v>2.6618557453501213</v>
      </c>
      <c r="S218" s="136">
        <f t="shared" ca="1" si="73"/>
        <v>2.6618557453501213</v>
      </c>
      <c r="T218" s="104">
        <f t="shared" ca="1" si="74"/>
        <v>0</v>
      </c>
      <c r="U218" s="87">
        <f t="shared" ca="1" si="75"/>
        <v>1226.4506512506252</v>
      </c>
      <c r="V218" s="104">
        <f t="shared" ca="1" si="76"/>
        <v>0</v>
      </c>
      <c r="W218" s="133">
        <f t="shared" ca="1" si="77"/>
        <v>17358.557719971053</v>
      </c>
      <c r="X218" s="104">
        <f t="shared" ca="1" si="78"/>
        <v>0</v>
      </c>
      <c r="Y218" s="135">
        <f t="shared" ca="1" si="79"/>
        <v>0</v>
      </c>
      <c r="AE218" s="104"/>
    </row>
    <row r="219" spans="1:31" x14ac:dyDescent="0.2">
      <c r="A219" s="98">
        <v>1</v>
      </c>
      <c r="B219" s="98">
        <v>2</v>
      </c>
      <c r="C219" s="98">
        <f t="shared" si="60"/>
        <v>7</v>
      </c>
      <c r="D219" s="98">
        <f t="shared" si="61"/>
        <v>6</v>
      </c>
      <c r="E219" s="98">
        <f t="shared" si="62"/>
        <v>1</v>
      </c>
      <c r="F219" s="118">
        <f t="shared" ca="1" si="63"/>
        <v>2.7741495599999996E-2</v>
      </c>
      <c r="G219" s="98">
        <v>1</v>
      </c>
      <c r="H219" s="98">
        <v>0</v>
      </c>
      <c r="I219" s="98">
        <v>6</v>
      </c>
      <c r="J219" s="118">
        <f t="shared" ca="1" si="64"/>
        <v>0.69833729609374984</v>
      </c>
      <c r="K219" s="118">
        <f t="shared" ca="1" si="65"/>
        <v>1.9372921026900657E-2</v>
      </c>
      <c r="L219" s="133">
        <f t="shared" ca="1" si="66"/>
        <v>240</v>
      </c>
      <c r="M219" s="130">
        <f t="shared" ca="1" si="67"/>
        <v>760</v>
      </c>
      <c r="N219" s="100">
        <f t="shared" ca="1" si="68"/>
        <v>4</v>
      </c>
      <c r="O219" s="136">
        <f t="shared" ca="1" si="69"/>
        <v>2.6618557453501217</v>
      </c>
      <c r="P219" s="136">
        <f t="shared" ca="1" si="70"/>
        <v>26.618557453501214</v>
      </c>
      <c r="Q219" s="136">
        <f t="shared" ca="1" si="71"/>
        <v>26.618557453501214</v>
      </c>
      <c r="R219" s="136">
        <f t="shared" ca="1" si="72"/>
        <v>2.6618557453501213</v>
      </c>
      <c r="S219" s="136">
        <f t="shared" ca="1" si="73"/>
        <v>2.6618557453501213</v>
      </c>
      <c r="T219" s="104">
        <f t="shared" ca="1" si="74"/>
        <v>5.1567921139669681E-2</v>
      </c>
      <c r="U219" s="87">
        <f t="shared" ca="1" si="75"/>
        <v>1214.4506512506252</v>
      </c>
      <c r="V219" s="104">
        <f t="shared" ca="1" si="76"/>
        <v>23.527456557746433</v>
      </c>
      <c r="W219" s="133">
        <f t="shared" ca="1" si="77"/>
        <v>15223.433769175106</v>
      </c>
      <c r="X219" s="104">
        <f t="shared" ca="1" si="78"/>
        <v>294.92238016848194</v>
      </c>
      <c r="Y219" s="135">
        <f t="shared" ca="1" si="79"/>
        <v>4.6495010464561579</v>
      </c>
      <c r="AE219" s="104"/>
    </row>
    <row r="220" spans="1:31" x14ac:dyDescent="0.2">
      <c r="A220" s="98">
        <v>1</v>
      </c>
      <c r="B220" s="98">
        <v>2</v>
      </c>
      <c r="C220" s="98">
        <f t="shared" si="60"/>
        <v>7</v>
      </c>
      <c r="D220" s="98">
        <f t="shared" si="61"/>
        <v>6</v>
      </c>
      <c r="E220" s="98">
        <f t="shared" si="62"/>
        <v>1</v>
      </c>
      <c r="F220" s="118">
        <f t="shared" ca="1" si="63"/>
        <v>2.7741495599999996E-2</v>
      </c>
      <c r="G220" s="98">
        <v>1</v>
      </c>
      <c r="H220" s="98">
        <v>0</v>
      </c>
      <c r="I220" s="98">
        <v>5</v>
      </c>
      <c r="J220" s="118">
        <f t="shared" ca="1" si="64"/>
        <v>0.22052756718750019</v>
      </c>
      <c r="K220" s="118">
        <f t="shared" ca="1" si="65"/>
        <v>6.1177645348107403E-3</v>
      </c>
      <c r="L220" s="133">
        <f t="shared" ca="1" si="66"/>
        <v>228</v>
      </c>
      <c r="M220" s="130">
        <f t="shared" ca="1" si="67"/>
        <v>772</v>
      </c>
      <c r="N220" s="100">
        <f t="shared" ca="1" si="68"/>
        <v>4</v>
      </c>
      <c r="O220" s="136">
        <f t="shared" ca="1" si="69"/>
        <v>2.6618557453501217</v>
      </c>
      <c r="P220" s="136">
        <f t="shared" ca="1" si="70"/>
        <v>26.618557453501214</v>
      </c>
      <c r="Q220" s="136">
        <f t="shared" ca="1" si="71"/>
        <v>26.618557453501214</v>
      </c>
      <c r="R220" s="136">
        <f t="shared" ca="1" si="72"/>
        <v>2.6618557453501213</v>
      </c>
      <c r="S220" s="136">
        <f t="shared" ca="1" si="73"/>
        <v>2.6618557453501213</v>
      </c>
      <c r="T220" s="104">
        <f t="shared" ca="1" si="74"/>
        <v>1.6284606675685181E-2</v>
      </c>
      <c r="U220" s="87">
        <f t="shared" ca="1" si="75"/>
        <v>1202.4506512506252</v>
      </c>
      <c r="V220" s="104">
        <f t="shared" ca="1" si="76"/>
        <v>7.3563099490811528</v>
      </c>
      <c r="W220" s="133">
        <f t="shared" ca="1" si="77"/>
        <v>13088.309818379159</v>
      </c>
      <c r="X220" s="104">
        <f t="shared" ca="1" si="78"/>
        <v>80.071197627495224</v>
      </c>
      <c r="Y220" s="135">
        <f t="shared" ca="1" si="79"/>
        <v>1.3948503139368489</v>
      </c>
      <c r="AE220" s="104"/>
    </row>
    <row r="221" spans="1:31" x14ac:dyDescent="0.2">
      <c r="A221" s="98">
        <v>1</v>
      </c>
      <c r="B221" s="98">
        <v>2</v>
      </c>
      <c r="C221" s="98">
        <f t="shared" si="60"/>
        <v>7</v>
      </c>
      <c r="D221" s="98">
        <f t="shared" si="61"/>
        <v>6</v>
      </c>
      <c r="E221" s="98">
        <f t="shared" si="62"/>
        <v>1</v>
      </c>
      <c r="F221" s="118">
        <f t="shared" ca="1" si="63"/>
        <v>2.7741495599999996E-2</v>
      </c>
      <c r="G221" s="98">
        <v>1</v>
      </c>
      <c r="H221" s="98">
        <v>0</v>
      </c>
      <c r="I221" s="98">
        <v>4</v>
      </c>
      <c r="J221" s="118">
        <f t="shared" ca="1" si="64"/>
        <v>2.9016785156250047E-2</v>
      </c>
      <c r="K221" s="118">
        <f t="shared" ca="1" si="65"/>
        <v>8.0496901773825585E-4</v>
      </c>
      <c r="L221" s="133">
        <f t="shared" ca="1" si="66"/>
        <v>216</v>
      </c>
      <c r="M221" s="130">
        <f t="shared" ca="1" si="67"/>
        <v>784</v>
      </c>
      <c r="N221" s="100">
        <f t="shared" ca="1" si="68"/>
        <v>4</v>
      </c>
      <c r="O221" s="136">
        <f t="shared" ca="1" si="69"/>
        <v>2.6618557453501217</v>
      </c>
      <c r="P221" s="136">
        <f t="shared" ca="1" si="70"/>
        <v>26.618557453501214</v>
      </c>
      <c r="Q221" s="136">
        <f t="shared" ca="1" si="71"/>
        <v>26.618557453501214</v>
      </c>
      <c r="R221" s="136">
        <f t="shared" ca="1" si="72"/>
        <v>2.6618557453501213</v>
      </c>
      <c r="S221" s="136">
        <f t="shared" ca="1" si="73"/>
        <v>2.6618557453501213</v>
      </c>
      <c r="T221" s="104">
        <f t="shared" ca="1" si="74"/>
        <v>2.1427114046954198E-3</v>
      </c>
      <c r="U221" s="87">
        <f t="shared" ca="1" si="75"/>
        <v>1190.4506512506252</v>
      </c>
      <c r="V221" s="104">
        <f t="shared" ca="1" si="76"/>
        <v>0.95827589140308278</v>
      </c>
      <c r="W221" s="133">
        <f t="shared" ca="1" si="77"/>
        <v>10953.185867583212</v>
      </c>
      <c r="X221" s="104">
        <f t="shared" ca="1" si="78"/>
        <v>8.8169752689330032</v>
      </c>
      <c r="Y221" s="135">
        <f t="shared" ca="1" si="79"/>
        <v>0.17387330783146326</v>
      </c>
      <c r="AE221" s="104"/>
    </row>
    <row r="222" spans="1:31" x14ac:dyDescent="0.2">
      <c r="A222" s="98">
        <v>1</v>
      </c>
      <c r="B222" s="98">
        <v>2</v>
      </c>
      <c r="C222" s="98">
        <f t="shared" si="60"/>
        <v>7</v>
      </c>
      <c r="D222" s="98">
        <f t="shared" si="61"/>
        <v>6</v>
      </c>
      <c r="E222" s="98">
        <f t="shared" si="62"/>
        <v>1</v>
      </c>
      <c r="F222" s="118">
        <f t="shared" ca="1" si="63"/>
        <v>2.7741495599999996E-2</v>
      </c>
      <c r="G222" s="98">
        <v>1</v>
      </c>
      <c r="H222" s="98">
        <v>0</v>
      </c>
      <c r="I222" s="98">
        <v>3</v>
      </c>
      <c r="J222" s="118">
        <f t="shared" ca="1" si="64"/>
        <v>2.0362656250000047E-3</v>
      </c>
      <c r="K222" s="118">
        <f t="shared" ca="1" si="65"/>
        <v>5.6489053876368869E-5</v>
      </c>
      <c r="L222" s="133">
        <f t="shared" ca="1" si="66"/>
        <v>204</v>
      </c>
      <c r="M222" s="130">
        <f t="shared" ca="1" si="67"/>
        <v>796</v>
      </c>
      <c r="N222" s="100">
        <f t="shared" ca="1" si="68"/>
        <v>4</v>
      </c>
      <c r="O222" s="136">
        <f t="shared" ca="1" si="69"/>
        <v>2.6618557453501217</v>
      </c>
      <c r="P222" s="136">
        <f t="shared" ca="1" si="70"/>
        <v>26.618557453501214</v>
      </c>
      <c r="Q222" s="136">
        <f t="shared" ca="1" si="71"/>
        <v>26.618557453501214</v>
      </c>
      <c r="R222" s="136">
        <f t="shared" ca="1" si="72"/>
        <v>2.6618557453501213</v>
      </c>
      <c r="S222" s="136">
        <f t="shared" ca="1" si="73"/>
        <v>2.6618557453501213</v>
      </c>
      <c r="T222" s="104">
        <f t="shared" ca="1" si="74"/>
        <v>1.5036571261020502E-4</v>
      </c>
      <c r="U222" s="87">
        <f t="shared" ca="1" si="75"/>
        <v>1178.4506512506252</v>
      </c>
      <c r="V222" s="104">
        <f t="shared" ca="1" si="76"/>
        <v>6.6569562329138549E-2</v>
      </c>
      <c r="W222" s="133">
        <f t="shared" ca="1" si="77"/>
        <v>8818.0619167872646</v>
      </c>
      <c r="X222" s="104">
        <f t="shared" ca="1" si="78"/>
        <v>0.49812397470255232</v>
      </c>
      <c r="Y222" s="135">
        <f t="shared" ca="1" si="79"/>
        <v>1.152376699077925E-2</v>
      </c>
      <c r="AE222" s="104"/>
    </row>
    <row r="223" spans="1:31" x14ac:dyDescent="0.2">
      <c r="A223" s="98">
        <v>1</v>
      </c>
      <c r="B223" s="98">
        <v>2</v>
      </c>
      <c r="C223" s="98">
        <f t="shared" si="60"/>
        <v>7</v>
      </c>
      <c r="D223" s="98">
        <f t="shared" si="61"/>
        <v>6</v>
      </c>
      <c r="E223" s="98">
        <f t="shared" si="62"/>
        <v>1</v>
      </c>
      <c r="F223" s="118">
        <f t="shared" ca="1" si="63"/>
        <v>2.7741495599999996E-2</v>
      </c>
      <c r="G223" s="98">
        <v>1</v>
      </c>
      <c r="H223" s="98">
        <v>0</v>
      </c>
      <c r="I223" s="98">
        <v>2</v>
      </c>
      <c r="J223" s="118">
        <f t="shared" ca="1" si="64"/>
        <v>8.0378906250000291E-5</v>
      </c>
      <c r="K223" s="118">
        <f t="shared" ca="1" si="65"/>
        <v>2.2298310740671952E-6</v>
      </c>
      <c r="L223" s="133">
        <f t="shared" ca="1" si="66"/>
        <v>192</v>
      </c>
      <c r="M223" s="130">
        <f t="shared" ca="1" si="67"/>
        <v>808</v>
      </c>
      <c r="N223" s="100">
        <f t="shared" ca="1" si="68"/>
        <v>4</v>
      </c>
      <c r="O223" s="136">
        <f t="shared" ca="1" si="69"/>
        <v>2.6618557453501217</v>
      </c>
      <c r="P223" s="136">
        <f t="shared" ca="1" si="70"/>
        <v>26.618557453501214</v>
      </c>
      <c r="Q223" s="136">
        <f t="shared" ca="1" si="71"/>
        <v>26.618557453501214</v>
      </c>
      <c r="R223" s="136">
        <f t="shared" ca="1" si="72"/>
        <v>2.6618557453501213</v>
      </c>
      <c r="S223" s="136">
        <f t="shared" ca="1" si="73"/>
        <v>2.6618557453501213</v>
      </c>
      <c r="T223" s="104">
        <f t="shared" ca="1" si="74"/>
        <v>5.9354886556659951E-6</v>
      </c>
      <c r="U223" s="87">
        <f t="shared" ca="1" si="75"/>
        <v>1166.4506512506252</v>
      </c>
      <c r="V223" s="104">
        <f t="shared" ca="1" si="76"/>
        <v>2.6009879085245611E-3</v>
      </c>
      <c r="W223" s="133">
        <f t="shared" ca="1" si="77"/>
        <v>6682.9379659913157</v>
      </c>
      <c r="X223" s="104">
        <f t="shared" ca="1" si="78"/>
        <v>1.4901822742630853E-2</v>
      </c>
      <c r="Y223" s="135">
        <f t="shared" ca="1" si="79"/>
        <v>4.2812756622090148E-4</v>
      </c>
      <c r="AE223" s="104"/>
    </row>
    <row r="224" spans="1:31" x14ac:dyDescent="0.2">
      <c r="A224" s="98">
        <v>1</v>
      </c>
      <c r="B224" s="98">
        <v>2</v>
      </c>
      <c r="C224" s="98">
        <f t="shared" si="60"/>
        <v>7</v>
      </c>
      <c r="D224" s="98">
        <f t="shared" si="61"/>
        <v>6</v>
      </c>
      <c r="E224" s="98">
        <f t="shared" si="62"/>
        <v>1</v>
      </c>
      <c r="F224" s="118">
        <f t="shared" ca="1" si="63"/>
        <v>2.7741495599999996E-2</v>
      </c>
      <c r="G224" s="98">
        <v>1</v>
      </c>
      <c r="H224" s="98">
        <v>0</v>
      </c>
      <c r="I224" s="98">
        <v>1</v>
      </c>
      <c r="J224" s="118">
        <f t="shared" ca="1" si="64"/>
        <v>1.6921875000000077E-6</v>
      </c>
      <c r="K224" s="118">
        <f t="shared" ca="1" si="65"/>
        <v>4.6943812085625204E-8</v>
      </c>
      <c r="L224" s="133">
        <f t="shared" ca="1" si="66"/>
        <v>180</v>
      </c>
      <c r="M224" s="130">
        <f t="shared" ca="1" si="67"/>
        <v>820</v>
      </c>
      <c r="N224" s="100">
        <f t="shared" ca="1" si="68"/>
        <v>4</v>
      </c>
      <c r="O224" s="136">
        <f t="shared" ca="1" si="69"/>
        <v>2.6618557453501217</v>
      </c>
      <c r="P224" s="136">
        <f t="shared" ca="1" si="70"/>
        <v>26.618557453501214</v>
      </c>
      <c r="Q224" s="136">
        <f t="shared" ca="1" si="71"/>
        <v>26.618557453501214</v>
      </c>
      <c r="R224" s="136">
        <f t="shared" ca="1" si="72"/>
        <v>2.6618557453501213</v>
      </c>
      <c r="S224" s="136">
        <f t="shared" ca="1" si="73"/>
        <v>2.6618557453501213</v>
      </c>
      <c r="T224" s="104">
        <f t="shared" ca="1" si="74"/>
        <v>1.249576559087579E-7</v>
      </c>
      <c r="U224" s="87">
        <f t="shared" ca="1" si="75"/>
        <v>1154.4506512506252</v>
      </c>
      <c r="V224" s="104">
        <f t="shared" ca="1" si="76"/>
        <v>5.4194314434436987E-5</v>
      </c>
      <c r="W224" s="133">
        <f t="shared" ca="1" si="77"/>
        <v>4547.8140151953685</v>
      </c>
      <c r="X224" s="104">
        <f t="shared" ca="1" si="78"/>
        <v>2.1349172652970403E-4</v>
      </c>
      <c r="Y224" s="135">
        <f t="shared" ca="1" si="79"/>
        <v>8.4498861754125361E-6</v>
      </c>
      <c r="AE224" s="104"/>
    </row>
    <row r="225" spans="1:31" x14ac:dyDescent="0.2">
      <c r="A225" s="98">
        <v>1</v>
      </c>
      <c r="B225" s="98">
        <v>2</v>
      </c>
      <c r="C225" s="98">
        <f t="shared" si="60"/>
        <v>7</v>
      </c>
      <c r="D225" s="98">
        <f t="shared" si="61"/>
        <v>6</v>
      </c>
      <c r="E225" s="98">
        <f t="shared" si="62"/>
        <v>1</v>
      </c>
      <c r="F225" s="118">
        <f t="shared" ca="1" si="63"/>
        <v>2.7741495599999996E-2</v>
      </c>
      <c r="G225" s="98">
        <v>1</v>
      </c>
      <c r="H225" s="98">
        <v>0</v>
      </c>
      <c r="I225" s="98">
        <v>0</v>
      </c>
      <c r="J225" s="118">
        <f t="shared" ca="1" si="64"/>
        <v>1.4843750000000078E-8</v>
      </c>
      <c r="K225" s="118">
        <f t="shared" ca="1" si="65"/>
        <v>4.1178782531250207E-10</v>
      </c>
      <c r="L225" s="133">
        <f t="shared" ca="1" si="66"/>
        <v>168</v>
      </c>
      <c r="M225" s="130">
        <f t="shared" ca="1" si="67"/>
        <v>832</v>
      </c>
      <c r="N225" s="100">
        <f t="shared" ca="1" si="68"/>
        <v>5</v>
      </c>
      <c r="O225" s="136">
        <f t="shared" ca="1" si="69"/>
        <v>3.2590583346360766</v>
      </c>
      <c r="P225" s="136">
        <f t="shared" ca="1" si="70"/>
        <v>28.410165221359076</v>
      </c>
      <c r="Q225" s="136">
        <f t="shared" ca="1" si="71"/>
        <v>26.618557453501214</v>
      </c>
      <c r="R225" s="136">
        <f t="shared" ca="1" si="72"/>
        <v>2.7514361337430144</v>
      </c>
      <c r="S225" s="136">
        <f t="shared" ca="1" si="73"/>
        <v>3.091543008341366</v>
      </c>
      <c r="T225" s="104">
        <f t="shared" ca="1" si="74"/>
        <v>1.2730597722649615E-9</v>
      </c>
      <c r="U225" s="87">
        <f t="shared" ca="1" si="75"/>
        <v>1294.1569825567776</v>
      </c>
      <c r="V225" s="104">
        <f t="shared" ca="1" si="76"/>
        <v>5.3291808946004518E-7</v>
      </c>
      <c r="W225" s="133">
        <f t="shared" ca="1" si="77"/>
        <v>2412.6900643994204</v>
      </c>
      <c r="X225" s="104">
        <f t="shared" ca="1" si="78"/>
        <v>9.9351639477211782E-7</v>
      </c>
      <c r="Y225" s="135">
        <f t="shared" ca="1" si="79"/>
        <v>6.9180354652500345E-8</v>
      </c>
      <c r="AE225" s="104"/>
    </row>
    <row r="226" spans="1:31" x14ac:dyDescent="0.2">
      <c r="A226" s="98">
        <v>1</v>
      </c>
      <c r="B226" s="98">
        <v>2</v>
      </c>
      <c r="C226" s="98">
        <f t="shared" si="60"/>
        <v>7</v>
      </c>
      <c r="D226" s="98">
        <f t="shared" si="61"/>
        <v>6</v>
      </c>
      <c r="E226" s="98">
        <f t="shared" si="62"/>
        <v>1</v>
      </c>
      <c r="F226" s="118">
        <f t="shared" ca="1" si="63"/>
        <v>2.7741495599999996E-2</v>
      </c>
      <c r="G226" s="98">
        <v>0</v>
      </c>
      <c r="H226" s="98">
        <v>1</v>
      </c>
      <c r="I226" s="98">
        <v>7</v>
      </c>
      <c r="J226" s="118">
        <f t="shared" si="64"/>
        <v>0</v>
      </c>
      <c r="K226" s="118">
        <f t="shared" ca="1" si="65"/>
        <v>0</v>
      </c>
      <c r="L226" s="133">
        <f t="shared" ca="1" si="66"/>
        <v>252</v>
      </c>
      <c r="M226" s="130">
        <f t="shared" ca="1" si="67"/>
        <v>748</v>
      </c>
      <c r="N226" s="100">
        <f t="shared" ca="1" si="68"/>
        <v>4</v>
      </c>
      <c r="O226" s="136">
        <f t="shared" ca="1" si="69"/>
        <v>2.6618557453501217</v>
      </c>
      <c r="P226" s="136">
        <f t="shared" ca="1" si="70"/>
        <v>26.618557453501214</v>
      </c>
      <c r="Q226" s="136">
        <f t="shared" ca="1" si="71"/>
        <v>26.618557453501214</v>
      </c>
      <c r="R226" s="136">
        <f t="shared" ca="1" si="72"/>
        <v>2.6618557453501213</v>
      </c>
      <c r="S226" s="136">
        <f t="shared" ca="1" si="73"/>
        <v>2.6618557453501213</v>
      </c>
      <c r="T226" s="104">
        <f t="shared" ca="1" si="74"/>
        <v>0</v>
      </c>
      <c r="U226" s="87">
        <f t="shared" ca="1" si="75"/>
        <v>1226.4506512506252</v>
      </c>
      <c r="V226" s="104">
        <f t="shared" ca="1" si="76"/>
        <v>0</v>
      </c>
      <c r="W226" s="133">
        <f t="shared" ca="1" si="77"/>
        <v>17080.991606367581</v>
      </c>
      <c r="X226" s="104">
        <f t="shared" ca="1" si="78"/>
        <v>0</v>
      </c>
      <c r="Y226" s="135">
        <f t="shared" ca="1" si="79"/>
        <v>0</v>
      </c>
      <c r="AE226" s="104"/>
    </row>
    <row r="227" spans="1:31" x14ac:dyDescent="0.2">
      <c r="A227" s="98">
        <v>1</v>
      </c>
      <c r="B227" s="98">
        <v>2</v>
      </c>
      <c r="C227" s="98">
        <f t="shared" si="60"/>
        <v>7</v>
      </c>
      <c r="D227" s="98">
        <f t="shared" si="61"/>
        <v>6</v>
      </c>
      <c r="E227" s="98">
        <f t="shared" si="62"/>
        <v>1</v>
      </c>
      <c r="F227" s="118">
        <f t="shared" ca="1" si="63"/>
        <v>2.7741495599999996E-2</v>
      </c>
      <c r="G227" s="98">
        <v>0</v>
      </c>
      <c r="H227" s="98">
        <v>1</v>
      </c>
      <c r="I227" s="98">
        <v>6</v>
      </c>
      <c r="J227" s="118">
        <f t="shared" ca="1" si="64"/>
        <v>0</v>
      </c>
      <c r="K227" s="118">
        <f t="shared" ca="1" si="65"/>
        <v>0</v>
      </c>
      <c r="L227" s="133">
        <f t="shared" ca="1" si="66"/>
        <v>240</v>
      </c>
      <c r="M227" s="130">
        <f t="shared" ca="1" si="67"/>
        <v>760</v>
      </c>
      <c r="N227" s="100">
        <f t="shared" ca="1" si="68"/>
        <v>4</v>
      </c>
      <c r="O227" s="136">
        <f t="shared" ca="1" si="69"/>
        <v>2.6618557453501217</v>
      </c>
      <c r="P227" s="136">
        <f t="shared" ca="1" si="70"/>
        <v>26.618557453501214</v>
      </c>
      <c r="Q227" s="136">
        <f t="shared" ca="1" si="71"/>
        <v>26.618557453501214</v>
      </c>
      <c r="R227" s="136">
        <f t="shared" ca="1" si="72"/>
        <v>2.6618557453501213</v>
      </c>
      <c r="S227" s="136">
        <f t="shared" ca="1" si="73"/>
        <v>2.6618557453501213</v>
      </c>
      <c r="T227" s="104">
        <f t="shared" ca="1" si="74"/>
        <v>0</v>
      </c>
      <c r="U227" s="87">
        <f t="shared" ca="1" si="75"/>
        <v>1214.4506512506252</v>
      </c>
      <c r="V227" s="104">
        <f t="shared" ca="1" si="76"/>
        <v>0</v>
      </c>
      <c r="W227" s="133">
        <f t="shared" ca="1" si="77"/>
        <v>14945.867655571634</v>
      </c>
      <c r="X227" s="104">
        <f t="shared" ca="1" si="78"/>
        <v>0</v>
      </c>
      <c r="Y227" s="135">
        <f t="shared" ca="1" si="79"/>
        <v>0</v>
      </c>
      <c r="AE227" s="104"/>
    </row>
    <row r="228" spans="1:31" x14ac:dyDescent="0.2">
      <c r="A228" s="98">
        <v>1</v>
      </c>
      <c r="B228" s="98">
        <v>2</v>
      </c>
      <c r="C228" s="98">
        <f t="shared" si="60"/>
        <v>7</v>
      </c>
      <c r="D228" s="98">
        <f t="shared" si="61"/>
        <v>6</v>
      </c>
      <c r="E228" s="98">
        <f t="shared" si="62"/>
        <v>1</v>
      </c>
      <c r="F228" s="118">
        <f t="shared" ca="1" si="63"/>
        <v>2.7741495599999996E-2</v>
      </c>
      <c r="G228" s="98">
        <v>0</v>
      </c>
      <c r="H228" s="98">
        <v>1</v>
      </c>
      <c r="I228" s="98">
        <v>5</v>
      </c>
      <c r="J228" s="118">
        <f t="shared" ca="1" si="64"/>
        <v>0</v>
      </c>
      <c r="K228" s="118">
        <f t="shared" ca="1" si="65"/>
        <v>0</v>
      </c>
      <c r="L228" s="133">
        <f t="shared" ca="1" si="66"/>
        <v>228</v>
      </c>
      <c r="M228" s="130">
        <f t="shared" ca="1" si="67"/>
        <v>772</v>
      </c>
      <c r="N228" s="100">
        <f t="shared" ca="1" si="68"/>
        <v>4</v>
      </c>
      <c r="O228" s="136">
        <f t="shared" ca="1" si="69"/>
        <v>2.6618557453501217</v>
      </c>
      <c r="P228" s="136">
        <f t="shared" ca="1" si="70"/>
        <v>26.618557453501214</v>
      </c>
      <c r="Q228" s="136">
        <f t="shared" ca="1" si="71"/>
        <v>26.618557453501214</v>
      </c>
      <c r="R228" s="136">
        <f t="shared" ca="1" si="72"/>
        <v>2.6618557453501213</v>
      </c>
      <c r="S228" s="136">
        <f t="shared" ca="1" si="73"/>
        <v>2.6618557453501213</v>
      </c>
      <c r="T228" s="104">
        <f t="shared" ca="1" si="74"/>
        <v>0</v>
      </c>
      <c r="U228" s="87">
        <f t="shared" ca="1" si="75"/>
        <v>1202.4506512506252</v>
      </c>
      <c r="V228" s="104">
        <f t="shared" ca="1" si="76"/>
        <v>0</v>
      </c>
      <c r="W228" s="133">
        <f t="shared" ca="1" si="77"/>
        <v>12810.743704775685</v>
      </c>
      <c r="X228" s="104">
        <f t="shared" ca="1" si="78"/>
        <v>0</v>
      </c>
      <c r="Y228" s="135">
        <f t="shared" ca="1" si="79"/>
        <v>0</v>
      </c>
      <c r="AE228" s="104"/>
    </row>
    <row r="229" spans="1:31" x14ac:dyDescent="0.2">
      <c r="A229" s="98">
        <v>1</v>
      </c>
      <c r="B229" s="98">
        <v>2</v>
      </c>
      <c r="C229" s="98">
        <f t="shared" si="60"/>
        <v>7</v>
      </c>
      <c r="D229" s="98">
        <f t="shared" si="61"/>
        <v>6</v>
      </c>
      <c r="E229" s="98">
        <f t="shared" si="62"/>
        <v>1</v>
      </c>
      <c r="F229" s="118">
        <f t="shared" ca="1" si="63"/>
        <v>2.7741495599999996E-2</v>
      </c>
      <c r="G229" s="98">
        <v>0</v>
      </c>
      <c r="H229" s="98">
        <v>1</v>
      </c>
      <c r="I229" s="98">
        <v>4</v>
      </c>
      <c r="J229" s="118">
        <f t="shared" ca="1" si="64"/>
        <v>0</v>
      </c>
      <c r="K229" s="118">
        <f t="shared" ca="1" si="65"/>
        <v>0</v>
      </c>
      <c r="L229" s="133">
        <f t="shared" ca="1" si="66"/>
        <v>216</v>
      </c>
      <c r="M229" s="130">
        <f t="shared" ca="1" si="67"/>
        <v>784</v>
      </c>
      <c r="N229" s="100">
        <f t="shared" ca="1" si="68"/>
        <v>4</v>
      </c>
      <c r="O229" s="136">
        <f t="shared" ca="1" si="69"/>
        <v>2.6618557453501217</v>
      </c>
      <c r="P229" s="136">
        <f t="shared" ca="1" si="70"/>
        <v>26.618557453501214</v>
      </c>
      <c r="Q229" s="136">
        <f t="shared" ca="1" si="71"/>
        <v>26.618557453501214</v>
      </c>
      <c r="R229" s="136">
        <f t="shared" ca="1" si="72"/>
        <v>2.6618557453501213</v>
      </c>
      <c r="S229" s="136">
        <f t="shared" ca="1" si="73"/>
        <v>2.6618557453501213</v>
      </c>
      <c r="T229" s="104">
        <f t="shared" ca="1" si="74"/>
        <v>0</v>
      </c>
      <c r="U229" s="87">
        <f t="shared" ca="1" si="75"/>
        <v>1190.4506512506252</v>
      </c>
      <c r="V229" s="104">
        <f t="shared" ca="1" si="76"/>
        <v>0</v>
      </c>
      <c r="W229" s="133">
        <f t="shared" ca="1" si="77"/>
        <v>10675.619753979738</v>
      </c>
      <c r="X229" s="104">
        <f t="shared" ca="1" si="78"/>
        <v>0</v>
      </c>
      <c r="Y229" s="135">
        <f t="shared" ca="1" si="79"/>
        <v>0</v>
      </c>
      <c r="AE229" s="104"/>
    </row>
    <row r="230" spans="1:31" x14ac:dyDescent="0.2">
      <c r="A230" s="98">
        <v>1</v>
      </c>
      <c r="B230" s="98">
        <v>2</v>
      </c>
      <c r="C230" s="98">
        <f t="shared" si="60"/>
        <v>7</v>
      </c>
      <c r="D230" s="98">
        <f t="shared" si="61"/>
        <v>6</v>
      </c>
      <c r="E230" s="98">
        <f t="shared" si="62"/>
        <v>1</v>
      </c>
      <c r="F230" s="118">
        <f t="shared" ca="1" si="63"/>
        <v>2.7741495599999996E-2</v>
      </c>
      <c r="G230" s="98">
        <v>0</v>
      </c>
      <c r="H230" s="98">
        <v>1</v>
      </c>
      <c r="I230" s="98">
        <v>3</v>
      </c>
      <c r="J230" s="118">
        <f t="shared" ca="1" si="64"/>
        <v>0</v>
      </c>
      <c r="K230" s="118">
        <f t="shared" ca="1" si="65"/>
        <v>0</v>
      </c>
      <c r="L230" s="133">
        <f t="shared" ca="1" si="66"/>
        <v>204</v>
      </c>
      <c r="M230" s="130">
        <f t="shared" ca="1" si="67"/>
        <v>796</v>
      </c>
      <c r="N230" s="100">
        <f t="shared" ca="1" si="68"/>
        <v>4</v>
      </c>
      <c r="O230" s="136">
        <f t="shared" ca="1" si="69"/>
        <v>2.6618557453501217</v>
      </c>
      <c r="P230" s="136">
        <f t="shared" ca="1" si="70"/>
        <v>26.618557453501214</v>
      </c>
      <c r="Q230" s="136">
        <f t="shared" ca="1" si="71"/>
        <v>26.618557453501214</v>
      </c>
      <c r="R230" s="136">
        <f t="shared" ca="1" si="72"/>
        <v>2.6618557453501213</v>
      </c>
      <c r="S230" s="136">
        <f t="shared" ca="1" si="73"/>
        <v>2.6618557453501213</v>
      </c>
      <c r="T230" s="104">
        <f t="shared" ca="1" si="74"/>
        <v>0</v>
      </c>
      <c r="U230" s="87">
        <f t="shared" ca="1" si="75"/>
        <v>1178.4506512506252</v>
      </c>
      <c r="V230" s="104">
        <f t="shared" ca="1" si="76"/>
        <v>0</v>
      </c>
      <c r="W230" s="133">
        <f t="shared" ca="1" si="77"/>
        <v>8540.4958031837905</v>
      </c>
      <c r="X230" s="104">
        <f t="shared" ca="1" si="78"/>
        <v>0</v>
      </c>
      <c r="Y230" s="135">
        <f t="shared" ca="1" si="79"/>
        <v>0</v>
      </c>
      <c r="AE230" s="104"/>
    </row>
    <row r="231" spans="1:31" x14ac:dyDescent="0.2">
      <c r="A231" s="98">
        <v>1</v>
      </c>
      <c r="B231" s="98">
        <v>2</v>
      </c>
      <c r="C231" s="98">
        <f t="shared" si="60"/>
        <v>7</v>
      </c>
      <c r="D231" s="98">
        <f t="shared" si="61"/>
        <v>6</v>
      </c>
      <c r="E231" s="98">
        <f t="shared" si="62"/>
        <v>1</v>
      </c>
      <c r="F231" s="118">
        <f t="shared" ca="1" si="63"/>
        <v>2.7741495599999996E-2</v>
      </c>
      <c r="G231" s="98">
        <v>0</v>
      </c>
      <c r="H231" s="98">
        <v>1</v>
      </c>
      <c r="I231" s="98">
        <v>2</v>
      </c>
      <c r="J231" s="118">
        <f t="shared" ca="1" si="64"/>
        <v>0</v>
      </c>
      <c r="K231" s="118">
        <f t="shared" ca="1" si="65"/>
        <v>0</v>
      </c>
      <c r="L231" s="133">
        <f t="shared" ca="1" si="66"/>
        <v>192</v>
      </c>
      <c r="M231" s="130">
        <f t="shared" ca="1" si="67"/>
        <v>808</v>
      </c>
      <c r="N231" s="100">
        <f t="shared" ca="1" si="68"/>
        <v>4</v>
      </c>
      <c r="O231" s="136">
        <f t="shared" ca="1" si="69"/>
        <v>2.6618557453501217</v>
      </c>
      <c r="P231" s="136">
        <f t="shared" ca="1" si="70"/>
        <v>26.618557453501214</v>
      </c>
      <c r="Q231" s="136">
        <f t="shared" ca="1" si="71"/>
        <v>26.618557453501214</v>
      </c>
      <c r="R231" s="136">
        <f t="shared" ca="1" si="72"/>
        <v>2.6618557453501213</v>
      </c>
      <c r="S231" s="136">
        <f t="shared" ca="1" si="73"/>
        <v>2.6618557453501213</v>
      </c>
      <c r="T231" s="104">
        <f t="shared" ca="1" si="74"/>
        <v>0</v>
      </c>
      <c r="U231" s="87">
        <f t="shared" ca="1" si="75"/>
        <v>1166.4506512506252</v>
      </c>
      <c r="V231" s="104">
        <f t="shared" ca="1" si="76"/>
        <v>0</v>
      </c>
      <c r="W231" s="133">
        <f t="shared" ca="1" si="77"/>
        <v>6405.3718523878433</v>
      </c>
      <c r="X231" s="104">
        <f t="shared" ca="1" si="78"/>
        <v>0</v>
      </c>
      <c r="Y231" s="135">
        <f t="shared" ca="1" si="79"/>
        <v>0</v>
      </c>
      <c r="AE231" s="104"/>
    </row>
    <row r="232" spans="1:31" x14ac:dyDescent="0.2">
      <c r="A232" s="98">
        <v>1</v>
      </c>
      <c r="B232" s="98">
        <v>2</v>
      </c>
      <c r="C232" s="98">
        <f t="shared" si="60"/>
        <v>7</v>
      </c>
      <c r="D232" s="98">
        <f t="shared" si="61"/>
        <v>6</v>
      </c>
      <c r="E232" s="98">
        <f t="shared" si="62"/>
        <v>1</v>
      </c>
      <c r="F232" s="118">
        <f t="shared" ca="1" si="63"/>
        <v>2.7741495599999996E-2</v>
      </c>
      <c r="G232" s="98">
        <v>0</v>
      </c>
      <c r="H232" s="98">
        <v>1</v>
      </c>
      <c r="I232" s="98">
        <v>1</v>
      </c>
      <c r="J232" s="118">
        <f t="shared" ca="1" si="64"/>
        <v>0</v>
      </c>
      <c r="K232" s="118">
        <f t="shared" ca="1" si="65"/>
        <v>0</v>
      </c>
      <c r="L232" s="133">
        <f t="shared" ca="1" si="66"/>
        <v>180</v>
      </c>
      <c r="M232" s="130">
        <f t="shared" ca="1" si="67"/>
        <v>820</v>
      </c>
      <c r="N232" s="100">
        <f t="shared" ca="1" si="68"/>
        <v>4</v>
      </c>
      <c r="O232" s="136">
        <f t="shared" ca="1" si="69"/>
        <v>2.6618557453501217</v>
      </c>
      <c r="P232" s="136">
        <f t="shared" ca="1" si="70"/>
        <v>26.618557453501214</v>
      </c>
      <c r="Q232" s="136">
        <f t="shared" ca="1" si="71"/>
        <v>26.618557453501214</v>
      </c>
      <c r="R232" s="136">
        <f t="shared" ca="1" si="72"/>
        <v>2.6618557453501213</v>
      </c>
      <c r="S232" s="136">
        <f t="shared" ca="1" si="73"/>
        <v>2.6618557453501213</v>
      </c>
      <c r="T232" s="104">
        <f t="shared" ca="1" si="74"/>
        <v>0</v>
      </c>
      <c r="U232" s="87">
        <f t="shared" ca="1" si="75"/>
        <v>1154.4506512506252</v>
      </c>
      <c r="V232" s="104">
        <f t="shared" ca="1" si="76"/>
        <v>0</v>
      </c>
      <c r="W232" s="133">
        <f t="shared" ca="1" si="77"/>
        <v>4270.2479015918952</v>
      </c>
      <c r="X232" s="104">
        <f t="shared" ca="1" si="78"/>
        <v>0</v>
      </c>
      <c r="Y232" s="135">
        <f t="shared" ca="1" si="79"/>
        <v>0</v>
      </c>
      <c r="AE232" s="104"/>
    </row>
    <row r="233" spans="1:31" x14ac:dyDescent="0.2">
      <c r="A233" s="98">
        <v>1</v>
      </c>
      <c r="B233" s="98">
        <v>2</v>
      </c>
      <c r="C233" s="98">
        <f t="shared" si="60"/>
        <v>7</v>
      </c>
      <c r="D233" s="98">
        <f t="shared" si="61"/>
        <v>6</v>
      </c>
      <c r="E233" s="98">
        <f t="shared" si="62"/>
        <v>1</v>
      </c>
      <c r="F233" s="118">
        <f t="shared" ca="1" si="63"/>
        <v>2.7741495599999996E-2</v>
      </c>
      <c r="G233" s="98">
        <v>0</v>
      </c>
      <c r="H233" s="98">
        <v>1</v>
      </c>
      <c r="I233" s="98">
        <v>0</v>
      </c>
      <c r="J233" s="118">
        <f t="shared" ca="1" si="64"/>
        <v>0</v>
      </c>
      <c r="K233" s="118">
        <f t="shared" ca="1" si="65"/>
        <v>0</v>
      </c>
      <c r="L233" s="133">
        <f t="shared" ca="1" si="66"/>
        <v>168</v>
      </c>
      <c r="M233" s="130">
        <f t="shared" ca="1" si="67"/>
        <v>832</v>
      </c>
      <c r="N233" s="100">
        <f t="shared" ca="1" si="68"/>
        <v>5</v>
      </c>
      <c r="O233" s="136">
        <f t="shared" ca="1" si="69"/>
        <v>3.2590583346360766</v>
      </c>
      <c r="P233" s="136">
        <f t="shared" ca="1" si="70"/>
        <v>28.410165221359076</v>
      </c>
      <c r="Q233" s="136">
        <f t="shared" ca="1" si="71"/>
        <v>26.618557453501214</v>
      </c>
      <c r="R233" s="136">
        <f t="shared" ca="1" si="72"/>
        <v>2.7514361337430144</v>
      </c>
      <c r="S233" s="136">
        <f t="shared" ca="1" si="73"/>
        <v>3.091543008341366</v>
      </c>
      <c r="T233" s="104">
        <f t="shared" ca="1" si="74"/>
        <v>0</v>
      </c>
      <c r="U233" s="87">
        <f t="shared" ca="1" si="75"/>
        <v>1294.1569825567776</v>
      </c>
      <c r="V233" s="104">
        <f t="shared" ca="1" si="76"/>
        <v>0</v>
      </c>
      <c r="W233" s="133">
        <f t="shared" ca="1" si="77"/>
        <v>2135.1239507959476</v>
      </c>
      <c r="X233" s="104">
        <f t="shared" ca="1" si="78"/>
        <v>0</v>
      </c>
      <c r="Y233" s="135">
        <f t="shared" ca="1" si="79"/>
        <v>0</v>
      </c>
      <c r="AE233" s="104"/>
    </row>
    <row r="234" spans="1:31" x14ac:dyDescent="0.2">
      <c r="A234" s="98">
        <v>1</v>
      </c>
      <c r="B234" s="98">
        <v>2</v>
      </c>
      <c r="C234" s="98">
        <f t="shared" si="60"/>
        <v>7</v>
      </c>
      <c r="D234" s="98">
        <f t="shared" si="61"/>
        <v>6</v>
      </c>
      <c r="E234" s="98">
        <f t="shared" si="62"/>
        <v>1</v>
      </c>
      <c r="F234" s="118">
        <f t="shared" ca="1" si="63"/>
        <v>2.7741495599999996E-2</v>
      </c>
      <c r="G234" s="98">
        <v>0</v>
      </c>
      <c r="H234" s="98">
        <v>0</v>
      </c>
      <c r="I234" s="98">
        <v>7</v>
      </c>
      <c r="J234" s="118">
        <f t="shared" si="64"/>
        <v>0</v>
      </c>
      <c r="K234" s="118">
        <f t="shared" ca="1" si="65"/>
        <v>0</v>
      </c>
      <c r="L234" s="133">
        <f t="shared" ca="1" si="66"/>
        <v>84</v>
      </c>
      <c r="M234" s="130">
        <f t="shared" ca="1" si="67"/>
        <v>916</v>
      </c>
      <c r="N234" s="100">
        <f t="shared" ca="1" si="68"/>
        <v>5</v>
      </c>
      <c r="O234" s="136">
        <f t="shared" ca="1" si="69"/>
        <v>3.2590583346360766</v>
      </c>
      <c r="P234" s="136">
        <f t="shared" ca="1" si="70"/>
        <v>32.590583346360766</v>
      </c>
      <c r="Q234" s="136">
        <f t="shared" ca="1" si="71"/>
        <v>32.590583346360766</v>
      </c>
      <c r="R234" s="136">
        <f t="shared" ca="1" si="72"/>
        <v>3.2590583346360766</v>
      </c>
      <c r="S234" s="136">
        <f t="shared" ca="1" si="73"/>
        <v>3.2590583346360766</v>
      </c>
      <c r="T234" s="104">
        <f t="shared" ca="1" si="74"/>
        <v>0</v>
      </c>
      <c r="U234" s="87">
        <f t="shared" ca="1" si="75"/>
        <v>1269.3003125517403</v>
      </c>
      <c r="V234" s="104">
        <f t="shared" ca="1" si="76"/>
        <v>0</v>
      </c>
      <c r="W234" s="133">
        <f t="shared" ca="1" si="77"/>
        <v>14945.867655571634</v>
      </c>
      <c r="X234" s="104">
        <f t="shared" ca="1" si="78"/>
        <v>0</v>
      </c>
      <c r="Y234" s="135">
        <f t="shared" ca="1" si="79"/>
        <v>0</v>
      </c>
      <c r="AE234" s="104"/>
    </row>
    <row r="235" spans="1:31" x14ac:dyDescent="0.2">
      <c r="A235" s="98">
        <v>1</v>
      </c>
      <c r="B235" s="98">
        <v>2</v>
      </c>
      <c r="C235" s="98">
        <f t="shared" si="60"/>
        <v>7</v>
      </c>
      <c r="D235" s="98">
        <f t="shared" si="61"/>
        <v>6</v>
      </c>
      <c r="E235" s="98">
        <f t="shared" si="62"/>
        <v>1</v>
      </c>
      <c r="F235" s="118">
        <f t="shared" ca="1" si="63"/>
        <v>2.7741495599999996E-2</v>
      </c>
      <c r="G235" s="98">
        <v>0</v>
      </c>
      <c r="H235" s="98">
        <v>0</v>
      </c>
      <c r="I235" s="98">
        <v>6</v>
      </c>
      <c r="J235" s="118">
        <f t="shared" ca="1" si="64"/>
        <v>3.6754594531249997E-2</v>
      </c>
      <c r="K235" s="118">
        <f t="shared" ca="1" si="65"/>
        <v>1.0196274224684558E-3</v>
      </c>
      <c r="L235" s="133">
        <f t="shared" ca="1" si="66"/>
        <v>72</v>
      </c>
      <c r="M235" s="130">
        <f t="shared" ca="1" si="67"/>
        <v>928</v>
      </c>
      <c r="N235" s="100">
        <f t="shared" ca="1" si="68"/>
        <v>5</v>
      </c>
      <c r="O235" s="136">
        <f t="shared" ca="1" si="69"/>
        <v>3.2590583346360766</v>
      </c>
      <c r="P235" s="136">
        <f t="shared" ca="1" si="70"/>
        <v>32.590583346360766</v>
      </c>
      <c r="Q235" s="136">
        <f t="shared" ca="1" si="71"/>
        <v>32.590583346360766</v>
      </c>
      <c r="R235" s="136">
        <f t="shared" ca="1" si="72"/>
        <v>3.2590583346360766</v>
      </c>
      <c r="S235" s="136">
        <f t="shared" ca="1" si="73"/>
        <v>3.2590583346360766</v>
      </c>
      <c r="T235" s="104">
        <f t="shared" ca="1" si="74"/>
        <v>3.323025249419321E-3</v>
      </c>
      <c r="U235" s="87">
        <f t="shared" ca="1" si="75"/>
        <v>1257.3003125517403</v>
      </c>
      <c r="V235" s="104">
        <f t="shared" ca="1" si="76"/>
        <v>1.2819778769559147</v>
      </c>
      <c r="W235" s="133">
        <f t="shared" ca="1" si="77"/>
        <v>12810.743704775687</v>
      </c>
      <c r="X235" s="104">
        <f t="shared" ca="1" si="78"/>
        <v>13.06218558360443</v>
      </c>
      <c r="Y235" s="135">
        <f t="shared" ca="1" si="79"/>
        <v>7.3413174417728821E-2</v>
      </c>
      <c r="AE235" s="104"/>
    </row>
    <row r="236" spans="1:31" x14ac:dyDescent="0.2">
      <c r="A236" s="98">
        <v>1</v>
      </c>
      <c r="B236" s="98">
        <v>2</v>
      </c>
      <c r="C236" s="98">
        <f t="shared" si="60"/>
        <v>7</v>
      </c>
      <c r="D236" s="98">
        <f t="shared" si="61"/>
        <v>6</v>
      </c>
      <c r="E236" s="98">
        <f t="shared" si="62"/>
        <v>1</v>
      </c>
      <c r="F236" s="118">
        <f t="shared" ca="1" si="63"/>
        <v>2.7741495599999996E-2</v>
      </c>
      <c r="G236" s="98">
        <v>0</v>
      </c>
      <c r="H236" s="98">
        <v>0</v>
      </c>
      <c r="I236" s="98">
        <v>5</v>
      </c>
      <c r="J236" s="118">
        <f t="shared" ca="1" si="64"/>
        <v>1.1606714062500011E-2</v>
      </c>
      <c r="K236" s="118">
        <f t="shared" ca="1" si="65"/>
        <v>3.2198760709530212E-4</v>
      </c>
      <c r="L236" s="133">
        <f t="shared" ca="1" si="66"/>
        <v>60</v>
      </c>
      <c r="M236" s="130">
        <f t="shared" ca="1" si="67"/>
        <v>940</v>
      </c>
      <c r="N236" s="100">
        <f t="shared" ca="1" si="68"/>
        <v>5</v>
      </c>
      <c r="O236" s="136">
        <f t="shared" ca="1" si="69"/>
        <v>3.2590583346360766</v>
      </c>
      <c r="P236" s="136">
        <f t="shared" ca="1" si="70"/>
        <v>32.590583346360766</v>
      </c>
      <c r="Q236" s="136">
        <f t="shared" ca="1" si="71"/>
        <v>32.590583346360766</v>
      </c>
      <c r="R236" s="136">
        <f t="shared" ca="1" si="72"/>
        <v>3.2590583346360766</v>
      </c>
      <c r="S236" s="136">
        <f t="shared" ca="1" si="73"/>
        <v>3.2590583346360766</v>
      </c>
      <c r="T236" s="104">
        <f t="shared" ca="1" si="74"/>
        <v>1.0493763945534707E-3</v>
      </c>
      <c r="U236" s="87">
        <f t="shared" ca="1" si="75"/>
        <v>1245.3003125517403</v>
      </c>
      <c r="V236" s="104">
        <f t="shared" ca="1" si="76"/>
        <v>0.40097126775356667</v>
      </c>
      <c r="W236" s="133">
        <f t="shared" ca="1" si="77"/>
        <v>10675.619753979738</v>
      </c>
      <c r="X236" s="104">
        <f t="shared" ca="1" si="78"/>
        <v>3.4374172588432739</v>
      </c>
      <c r="Y236" s="135">
        <f t="shared" ca="1" si="79"/>
        <v>1.9319256425718127E-2</v>
      </c>
      <c r="AE236" s="104"/>
    </row>
    <row r="237" spans="1:31" x14ac:dyDescent="0.2">
      <c r="A237" s="98">
        <v>1</v>
      </c>
      <c r="B237" s="98">
        <v>2</v>
      </c>
      <c r="C237" s="98">
        <f t="shared" si="60"/>
        <v>7</v>
      </c>
      <c r="D237" s="98">
        <f t="shared" si="61"/>
        <v>6</v>
      </c>
      <c r="E237" s="98">
        <f t="shared" si="62"/>
        <v>1</v>
      </c>
      <c r="F237" s="118">
        <f t="shared" ca="1" si="63"/>
        <v>2.7741495599999996E-2</v>
      </c>
      <c r="G237" s="98">
        <v>0</v>
      </c>
      <c r="H237" s="98">
        <v>0</v>
      </c>
      <c r="I237" s="98">
        <v>4</v>
      </c>
      <c r="J237" s="118">
        <f t="shared" ca="1" si="64"/>
        <v>1.5271992187500026E-3</v>
      </c>
      <c r="K237" s="118">
        <f t="shared" ca="1" si="65"/>
        <v>4.2366790407276631E-5</v>
      </c>
      <c r="L237" s="133">
        <f t="shared" ca="1" si="66"/>
        <v>48</v>
      </c>
      <c r="M237" s="130">
        <f t="shared" ca="1" si="67"/>
        <v>952</v>
      </c>
      <c r="N237" s="100">
        <f t="shared" ca="1" si="68"/>
        <v>5</v>
      </c>
      <c r="O237" s="136">
        <f t="shared" ca="1" si="69"/>
        <v>3.2590583346360766</v>
      </c>
      <c r="P237" s="136">
        <f t="shared" ca="1" si="70"/>
        <v>32.590583346360766</v>
      </c>
      <c r="Q237" s="136">
        <f t="shared" ca="1" si="71"/>
        <v>32.590583346360766</v>
      </c>
      <c r="R237" s="136">
        <f t="shared" ca="1" si="72"/>
        <v>3.2590583346360766</v>
      </c>
      <c r="S237" s="136">
        <f t="shared" ca="1" si="73"/>
        <v>3.2590583346360766</v>
      </c>
      <c r="T237" s="104">
        <f t="shared" ca="1" si="74"/>
        <v>1.3807584138861469E-4</v>
      </c>
      <c r="U237" s="87">
        <f t="shared" ca="1" si="75"/>
        <v>1233.3003125517403</v>
      </c>
      <c r="V237" s="104">
        <f t="shared" ca="1" si="76"/>
        <v>5.2250975851108342E-2</v>
      </c>
      <c r="W237" s="133">
        <f t="shared" ca="1" si="77"/>
        <v>8540.4958031837905</v>
      </c>
      <c r="X237" s="104">
        <f t="shared" ca="1" si="78"/>
        <v>0.36183339566771333</v>
      </c>
      <c r="Y237" s="135">
        <f t="shared" ca="1" si="79"/>
        <v>2.0336059395492782E-3</v>
      </c>
      <c r="AE237" s="104"/>
    </row>
    <row r="238" spans="1:31" x14ac:dyDescent="0.2">
      <c r="A238" s="98">
        <v>1</v>
      </c>
      <c r="B238" s="98">
        <v>2</v>
      </c>
      <c r="C238" s="98">
        <f t="shared" si="60"/>
        <v>7</v>
      </c>
      <c r="D238" s="98">
        <f t="shared" si="61"/>
        <v>6</v>
      </c>
      <c r="E238" s="98">
        <f t="shared" si="62"/>
        <v>1</v>
      </c>
      <c r="F238" s="118">
        <f t="shared" ca="1" si="63"/>
        <v>2.7741495599999996E-2</v>
      </c>
      <c r="G238" s="98">
        <v>0</v>
      </c>
      <c r="H238" s="98">
        <v>0</v>
      </c>
      <c r="I238" s="98">
        <v>3</v>
      </c>
      <c r="J238" s="118">
        <f t="shared" ca="1" si="64"/>
        <v>1.0717187500000027E-4</v>
      </c>
      <c r="K238" s="118">
        <f t="shared" ca="1" si="65"/>
        <v>2.9731080987562568E-6</v>
      </c>
      <c r="L238" s="133">
        <f t="shared" ca="1" si="66"/>
        <v>36</v>
      </c>
      <c r="M238" s="130">
        <f t="shared" ca="1" si="67"/>
        <v>964</v>
      </c>
      <c r="N238" s="100">
        <f t="shared" ca="1" si="68"/>
        <v>5</v>
      </c>
      <c r="O238" s="136">
        <f t="shared" ca="1" si="69"/>
        <v>3.2590583346360766</v>
      </c>
      <c r="P238" s="136">
        <f t="shared" ca="1" si="70"/>
        <v>32.590583346360766</v>
      </c>
      <c r="Q238" s="136">
        <f t="shared" ca="1" si="71"/>
        <v>32.590583346360766</v>
      </c>
      <c r="R238" s="136">
        <f t="shared" ca="1" si="72"/>
        <v>3.2590583346360766</v>
      </c>
      <c r="S238" s="136">
        <f t="shared" ca="1" si="73"/>
        <v>3.2590583346360766</v>
      </c>
      <c r="T238" s="104">
        <f t="shared" ca="1" si="74"/>
        <v>9.6895327290255979E-6</v>
      </c>
      <c r="U238" s="87">
        <f t="shared" ca="1" si="75"/>
        <v>1221.3003125517403</v>
      </c>
      <c r="V238" s="104">
        <f t="shared" ca="1" si="76"/>
        <v>3.6310578502611267E-3</v>
      </c>
      <c r="W238" s="133">
        <f t="shared" ca="1" si="77"/>
        <v>6405.3718523878433</v>
      </c>
      <c r="X238" s="104">
        <f t="shared" ca="1" si="78"/>
        <v>1.9043862929879665E-2</v>
      </c>
      <c r="Y238" s="135">
        <f t="shared" ca="1" si="79"/>
        <v>1.0703189155522525E-4</v>
      </c>
      <c r="AE238" s="104"/>
    </row>
    <row r="239" spans="1:31" x14ac:dyDescent="0.2">
      <c r="A239" s="98">
        <v>1</v>
      </c>
      <c r="B239" s="98">
        <v>2</v>
      </c>
      <c r="C239" s="98">
        <f t="shared" si="60"/>
        <v>7</v>
      </c>
      <c r="D239" s="98">
        <f t="shared" si="61"/>
        <v>6</v>
      </c>
      <c r="E239" s="98">
        <f t="shared" si="62"/>
        <v>1</v>
      </c>
      <c r="F239" s="118">
        <f t="shared" ca="1" si="63"/>
        <v>2.7741495599999996E-2</v>
      </c>
      <c r="G239" s="98">
        <v>0</v>
      </c>
      <c r="H239" s="98">
        <v>0</v>
      </c>
      <c r="I239" s="98">
        <v>2</v>
      </c>
      <c r="J239" s="118">
        <f t="shared" ca="1" si="64"/>
        <v>4.2304687500000152E-6</v>
      </c>
      <c r="K239" s="118">
        <f t="shared" ca="1" si="65"/>
        <v>1.173595302140629E-7</v>
      </c>
      <c r="L239" s="133">
        <f t="shared" ca="1" si="66"/>
        <v>24</v>
      </c>
      <c r="M239" s="130">
        <f t="shared" ca="1" si="67"/>
        <v>976</v>
      </c>
      <c r="N239" s="100">
        <f t="shared" ca="1" si="68"/>
        <v>5</v>
      </c>
      <c r="O239" s="136">
        <f t="shared" ca="1" si="69"/>
        <v>3.2590583346360766</v>
      </c>
      <c r="P239" s="136">
        <f t="shared" ca="1" si="70"/>
        <v>32.590583346360766</v>
      </c>
      <c r="Q239" s="136">
        <f t="shared" ca="1" si="71"/>
        <v>32.590583346360766</v>
      </c>
      <c r="R239" s="136">
        <f t="shared" ca="1" si="72"/>
        <v>3.2590583346360766</v>
      </c>
      <c r="S239" s="136">
        <f t="shared" ca="1" si="73"/>
        <v>3.2590583346360766</v>
      </c>
      <c r="T239" s="104">
        <f t="shared" ca="1" si="74"/>
        <v>3.8248155509311613E-7</v>
      </c>
      <c r="U239" s="87">
        <f t="shared" ca="1" si="75"/>
        <v>1209.3003125517403</v>
      </c>
      <c r="V239" s="104">
        <f t="shared" ca="1" si="76"/>
        <v>1.4192291656879168E-4</v>
      </c>
      <c r="W239" s="133">
        <f t="shared" ca="1" si="77"/>
        <v>4270.2479015918952</v>
      </c>
      <c r="X239" s="104">
        <f t="shared" ca="1" si="78"/>
        <v>5.011542876284127E-4</v>
      </c>
      <c r="Y239" s="135">
        <f t="shared" ca="1" si="79"/>
        <v>2.8166287251375096E-6</v>
      </c>
      <c r="AE239" s="104"/>
    </row>
    <row r="240" spans="1:31" x14ac:dyDescent="0.2">
      <c r="A240" s="98">
        <v>1</v>
      </c>
      <c r="B240" s="98">
        <v>2</v>
      </c>
      <c r="C240" s="98">
        <f t="shared" si="60"/>
        <v>7</v>
      </c>
      <c r="D240" s="98">
        <f t="shared" si="61"/>
        <v>6</v>
      </c>
      <c r="E240" s="98">
        <f t="shared" si="62"/>
        <v>1</v>
      </c>
      <c r="F240" s="118">
        <f t="shared" ca="1" si="63"/>
        <v>2.7741495599999996E-2</v>
      </c>
      <c r="G240" s="98">
        <v>0</v>
      </c>
      <c r="H240" s="98">
        <v>0</v>
      </c>
      <c r="I240" s="98">
        <v>1</v>
      </c>
      <c r="J240" s="118">
        <f t="shared" ca="1" si="64"/>
        <v>8.9062500000000418E-8</v>
      </c>
      <c r="K240" s="118">
        <f t="shared" ca="1" si="65"/>
        <v>2.4707269518750113E-9</v>
      </c>
      <c r="L240" s="133">
        <f t="shared" ca="1" si="66"/>
        <v>12</v>
      </c>
      <c r="M240" s="130">
        <f t="shared" ca="1" si="67"/>
        <v>988</v>
      </c>
      <c r="N240" s="100">
        <f t="shared" ca="1" si="68"/>
        <v>5</v>
      </c>
      <c r="O240" s="136">
        <f t="shared" ca="1" si="69"/>
        <v>3.2590583346360766</v>
      </c>
      <c r="P240" s="136">
        <f t="shared" ca="1" si="70"/>
        <v>32.590583346360766</v>
      </c>
      <c r="Q240" s="136">
        <f t="shared" ca="1" si="71"/>
        <v>32.590583346360766</v>
      </c>
      <c r="R240" s="136">
        <f t="shared" ca="1" si="72"/>
        <v>3.2590583346360766</v>
      </c>
      <c r="S240" s="136">
        <f t="shared" ca="1" si="73"/>
        <v>3.2590583346360766</v>
      </c>
      <c r="T240" s="104">
        <f t="shared" ca="1" si="74"/>
        <v>8.0522432651182449E-9</v>
      </c>
      <c r="U240" s="87">
        <f t="shared" ca="1" si="75"/>
        <v>1197.3003125517403</v>
      </c>
      <c r="V240" s="104">
        <f t="shared" ca="1" si="76"/>
        <v>2.9582021517099595E-6</v>
      </c>
      <c r="W240" s="133">
        <f t="shared" ca="1" si="77"/>
        <v>2135.1239507959476</v>
      </c>
      <c r="X240" s="104">
        <f t="shared" ca="1" si="78"/>
        <v>5.2753082908254035E-6</v>
      </c>
      <c r="Y240" s="135">
        <f t="shared" ca="1" si="79"/>
        <v>2.9648723422500137E-8</v>
      </c>
      <c r="AE240" s="104"/>
    </row>
    <row r="241" spans="1:31" x14ac:dyDescent="0.2">
      <c r="A241" s="98">
        <v>1</v>
      </c>
      <c r="B241" s="98">
        <v>2</v>
      </c>
      <c r="C241" s="98">
        <f t="shared" si="60"/>
        <v>7</v>
      </c>
      <c r="D241" s="98">
        <f t="shared" si="61"/>
        <v>6</v>
      </c>
      <c r="E241" s="98">
        <f t="shared" si="62"/>
        <v>1</v>
      </c>
      <c r="F241" s="118">
        <f t="shared" ca="1" si="63"/>
        <v>2.7741495599999996E-2</v>
      </c>
      <c r="G241" s="98">
        <v>0</v>
      </c>
      <c r="H241" s="98">
        <v>0</v>
      </c>
      <c r="I241" s="98">
        <v>0</v>
      </c>
      <c r="J241" s="118">
        <f t="shared" ca="1" si="64"/>
        <v>7.812500000000041E-10</v>
      </c>
      <c r="K241" s="118">
        <f t="shared" ca="1" si="65"/>
        <v>2.1673043437500111E-11</v>
      </c>
      <c r="L241" s="133">
        <f t="shared" ca="1" si="66"/>
        <v>0</v>
      </c>
      <c r="M241" s="130">
        <f t="shared" ca="1" si="67"/>
        <v>1000</v>
      </c>
      <c r="N241" s="100">
        <f t="shared" ca="1" si="68"/>
        <v>5</v>
      </c>
      <c r="O241" s="136">
        <f t="shared" ca="1" si="69"/>
        <v>3.2590583346360766</v>
      </c>
      <c r="P241" s="136">
        <f t="shared" ca="1" si="70"/>
        <v>32.590583346360766</v>
      </c>
      <c r="Q241" s="136">
        <f t="shared" ca="1" si="71"/>
        <v>32.590583346360766</v>
      </c>
      <c r="R241" s="136">
        <f t="shared" ca="1" si="72"/>
        <v>3.2590583346360766</v>
      </c>
      <c r="S241" s="136">
        <f t="shared" ca="1" si="73"/>
        <v>3.2590583346360766</v>
      </c>
      <c r="T241" s="104">
        <f t="shared" ca="1" si="74"/>
        <v>7.0633712851914466E-11</v>
      </c>
      <c r="U241" s="87">
        <f t="shared" ca="1" si="75"/>
        <v>1185.3003125517403</v>
      </c>
      <c r="V241" s="104">
        <f t="shared" ca="1" si="76"/>
        <v>2.5689065160416324E-8</v>
      </c>
      <c r="W241" s="133">
        <f t="shared" ca="1" si="77"/>
        <v>0</v>
      </c>
      <c r="X241" s="104">
        <f t="shared" ca="1" si="78"/>
        <v>0</v>
      </c>
      <c r="Y241" s="135">
        <f t="shared" ca="1" si="79"/>
        <v>0</v>
      </c>
      <c r="AE241" s="104"/>
    </row>
    <row r="242" spans="1:31" x14ac:dyDescent="0.2">
      <c r="A242" s="98">
        <v>1</v>
      </c>
      <c r="B242" s="98">
        <v>3</v>
      </c>
      <c r="C242" s="98">
        <f t="shared" si="60"/>
        <v>8</v>
      </c>
      <c r="D242" s="98">
        <f t="shared" si="61"/>
        <v>7</v>
      </c>
      <c r="E242" s="98">
        <f t="shared" si="62"/>
        <v>1</v>
      </c>
      <c r="F242" s="118">
        <f t="shared" ca="1" si="63"/>
        <v>9.5331599999999989E-3</v>
      </c>
      <c r="G242" s="98">
        <v>1</v>
      </c>
      <c r="H242" s="98">
        <v>1</v>
      </c>
      <c r="I242" s="98">
        <v>7</v>
      </c>
      <c r="J242" s="118">
        <f t="shared" ca="1" si="64"/>
        <v>0</v>
      </c>
      <c r="K242" s="118">
        <f t="shared" ca="1" si="65"/>
        <v>0</v>
      </c>
      <c r="L242" s="133">
        <f t="shared" ca="1" si="66"/>
        <v>420</v>
      </c>
      <c r="M242" s="130">
        <f t="shared" ca="1" si="67"/>
        <v>580</v>
      </c>
      <c r="N242" s="100">
        <f t="shared" ca="1" si="68"/>
        <v>3</v>
      </c>
      <c r="O242" s="136">
        <f t="shared" ca="1" si="69"/>
        <v>2.0946097612518035</v>
      </c>
      <c r="P242" s="136">
        <f t="shared" ca="1" si="70"/>
        <v>20.946097612518034</v>
      </c>
      <c r="Q242" s="136">
        <f t="shared" ca="1" si="71"/>
        <v>20.946097612518034</v>
      </c>
      <c r="R242" s="136">
        <f t="shared" ca="1" si="72"/>
        <v>2.0946097612518035</v>
      </c>
      <c r="S242" s="136">
        <f t="shared" ca="1" si="73"/>
        <v>2.0946097612518035</v>
      </c>
      <c r="T242" s="104">
        <f t="shared" ca="1" si="74"/>
        <v>0</v>
      </c>
      <c r="U242" s="87">
        <f t="shared" ca="1" si="75"/>
        <v>1194.1775349459019</v>
      </c>
      <c r="V242" s="104">
        <f t="shared" ca="1" si="76"/>
        <v>0</v>
      </c>
      <c r="W242" s="133">
        <f t="shared" ca="1" si="77"/>
        <v>19493.681670767</v>
      </c>
      <c r="X242" s="104">
        <f t="shared" ca="1" si="78"/>
        <v>0</v>
      </c>
      <c r="Y242" s="135">
        <f t="shared" ca="1" si="79"/>
        <v>0</v>
      </c>
      <c r="AE242" s="104"/>
    </row>
    <row r="243" spans="1:31" x14ac:dyDescent="0.2">
      <c r="A243" s="98">
        <v>1</v>
      </c>
      <c r="B243" s="98">
        <v>3</v>
      </c>
      <c r="C243" s="98">
        <f t="shared" si="60"/>
        <v>8</v>
      </c>
      <c r="D243" s="98">
        <f t="shared" si="61"/>
        <v>7</v>
      </c>
      <c r="E243" s="98">
        <f t="shared" si="62"/>
        <v>1</v>
      </c>
      <c r="F243" s="118">
        <f t="shared" ca="1" si="63"/>
        <v>9.5331599999999989E-3</v>
      </c>
      <c r="G243" s="98">
        <v>1</v>
      </c>
      <c r="H243" s="98">
        <v>1</v>
      </c>
      <c r="I243" s="98">
        <v>6</v>
      </c>
      <c r="J243" s="118">
        <f t="shared" ca="1" si="64"/>
        <v>0</v>
      </c>
      <c r="K243" s="118">
        <f t="shared" ca="1" si="65"/>
        <v>0</v>
      </c>
      <c r="L243" s="133">
        <f t="shared" ca="1" si="66"/>
        <v>408</v>
      </c>
      <c r="M243" s="130">
        <f t="shared" ca="1" si="67"/>
        <v>592</v>
      </c>
      <c r="N243" s="100">
        <f t="shared" ca="1" si="68"/>
        <v>3</v>
      </c>
      <c r="O243" s="136">
        <f t="shared" ca="1" si="69"/>
        <v>2.0946097612518035</v>
      </c>
      <c r="P243" s="136">
        <f t="shared" ca="1" si="70"/>
        <v>20.946097612518034</v>
      </c>
      <c r="Q243" s="136">
        <f t="shared" ca="1" si="71"/>
        <v>20.946097612518034</v>
      </c>
      <c r="R243" s="136">
        <f t="shared" ca="1" si="72"/>
        <v>2.0946097612518035</v>
      </c>
      <c r="S243" s="136">
        <f t="shared" ca="1" si="73"/>
        <v>2.0946097612518035</v>
      </c>
      <c r="T243" s="104">
        <f t="shared" ca="1" si="74"/>
        <v>0</v>
      </c>
      <c r="U243" s="87">
        <f t="shared" ca="1" si="75"/>
        <v>1182.1775349459019</v>
      </c>
      <c r="V243" s="104">
        <f t="shared" ca="1" si="76"/>
        <v>0</v>
      </c>
      <c r="W243" s="133">
        <f t="shared" ca="1" si="77"/>
        <v>17358.557719971053</v>
      </c>
      <c r="X243" s="104">
        <f t="shared" ca="1" si="78"/>
        <v>0</v>
      </c>
      <c r="Y243" s="135">
        <f t="shared" ca="1" si="79"/>
        <v>0</v>
      </c>
      <c r="AE243" s="104"/>
    </row>
    <row r="244" spans="1:31" x14ac:dyDescent="0.2">
      <c r="A244" s="98">
        <v>1</v>
      </c>
      <c r="B244" s="98">
        <v>3</v>
      </c>
      <c r="C244" s="98">
        <f t="shared" si="60"/>
        <v>8</v>
      </c>
      <c r="D244" s="98">
        <f t="shared" si="61"/>
        <v>7</v>
      </c>
      <c r="E244" s="98">
        <f t="shared" si="62"/>
        <v>1</v>
      </c>
      <c r="F244" s="118">
        <f t="shared" ca="1" si="63"/>
        <v>9.5331599999999989E-3</v>
      </c>
      <c r="G244" s="98">
        <v>1</v>
      </c>
      <c r="H244" s="98">
        <v>1</v>
      </c>
      <c r="I244" s="98">
        <v>5</v>
      </c>
      <c r="J244" s="118">
        <f t="shared" ca="1" si="64"/>
        <v>0</v>
      </c>
      <c r="K244" s="118">
        <f t="shared" ca="1" si="65"/>
        <v>0</v>
      </c>
      <c r="L244" s="133">
        <f t="shared" ca="1" si="66"/>
        <v>396</v>
      </c>
      <c r="M244" s="130">
        <f t="shared" ca="1" si="67"/>
        <v>604</v>
      </c>
      <c r="N244" s="100">
        <f t="shared" ca="1" si="68"/>
        <v>3</v>
      </c>
      <c r="O244" s="136">
        <f t="shared" ca="1" si="69"/>
        <v>2.0946097612518035</v>
      </c>
      <c r="P244" s="136">
        <f t="shared" ca="1" si="70"/>
        <v>20.946097612518034</v>
      </c>
      <c r="Q244" s="136">
        <f t="shared" ca="1" si="71"/>
        <v>20.946097612518034</v>
      </c>
      <c r="R244" s="136">
        <f t="shared" ca="1" si="72"/>
        <v>2.0946097612518035</v>
      </c>
      <c r="S244" s="136">
        <f t="shared" ca="1" si="73"/>
        <v>2.0946097612518035</v>
      </c>
      <c r="T244" s="104">
        <f t="shared" ca="1" si="74"/>
        <v>0</v>
      </c>
      <c r="U244" s="87">
        <f t="shared" ca="1" si="75"/>
        <v>1170.1775349459019</v>
      </c>
      <c r="V244" s="104">
        <f t="shared" ca="1" si="76"/>
        <v>0</v>
      </c>
      <c r="W244" s="133">
        <f t="shared" ca="1" si="77"/>
        <v>15223.433769175106</v>
      </c>
      <c r="X244" s="104">
        <f t="shared" ca="1" si="78"/>
        <v>0</v>
      </c>
      <c r="Y244" s="135">
        <f t="shared" ca="1" si="79"/>
        <v>0</v>
      </c>
      <c r="AE244" s="104"/>
    </row>
    <row r="245" spans="1:31" x14ac:dyDescent="0.2">
      <c r="A245" s="98">
        <v>1</v>
      </c>
      <c r="B245" s="98">
        <v>3</v>
      </c>
      <c r="C245" s="98">
        <f t="shared" si="60"/>
        <v>8</v>
      </c>
      <c r="D245" s="98">
        <f t="shared" si="61"/>
        <v>7</v>
      </c>
      <c r="E245" s="98">
        <f t="shared" si="62"/>
        <v>1</v>
      </c>
      <c r="F245" s="118">
        <f t="shared" ca="1" si="63"/>
        <v>9.5331599999999989E-3</v>
      </c>
      <c r="G245" s="98">
        <v>1</v>
      </c>
      <c r="H245" s="98">
        <v>1</v>
      </c>
      <c r="I245" s="98">
        <v>4</v>
      </c>
      <c r="J245" s="118">
        <f t="shared" ca="1" si="64"/>
        <v>0</v>
      </c>
      <c r="K245" s="118">
        <f t="shared" ca="1" si="65"/>
        <v>0</v>
      </c>
      <c r="L245" s="133">
        <f t="shared" ca="1" si="66"/>
        <v>384</v>
      </c>
      <c r="M245" s="130">
        <f t="shared" ca="1" si="67"/>
        <v>616</v>
      </c>
      <c r="N245" s="100">
        <f t="shared" ca="1" si="68"/>
        <v>3</v>
      </c>
      <c r="O245" s="136">
        <f t="shared" ca="1" si="69"/>
        <v>2.0946097612518035</v>
      </c>
      <c r="P245" s="136">
        <f t="shared" ca="1" si="70"/>
        <v>20.946097612518034</v>
      </c>
      <c r="Q245" s="136">
        <f t="shared" ca="1" si="71"/>
        <v>20.946097612518034</v>
      </c>
      <c r="R245" s="136">
        <f t="shared" ca="1" si="72"/>
        <v>2.0946097612518035</v>
      </c>
      <c r="S245" s="136">
        <f t="shared" ca="1" si="73"/>
        <v>2.0946097612518035</v>
      </c>
      <c r="T245" s="104">
        <f t="shared" ca="1" si="74"/>
        <v>0</v>
      </c>
      <c r="U245" s="87">
        <f t="shared" ca="1" si="75"/>
        <v>1158.1775349459019</v>
      </c>
      <c r="V245" s="104">
        <f t="shared" ca="1" si="76"/>
        <v>0</v>
      </c>
      <c r="W245" s="133">
        <f t="shared" ca="1" si="77"/>
        <v>13088.309818379159</v>
      </c>
      <c r="X245" s="104">
        <f t="shared" ca="1" si="78"/>
        <v>0</v>
      </c>
      <c r="Y245" s="135">
        <f t="shared" ca="1" si="79"/>
        <v>0</v>
      </c>
      <c r="AE245" s="104"/>
    </row>
    <row r="246" spans="1:31" x14ac:dyDescent="0.2">
      <c r="A246" s="98">
        <v>1</v>
      </c>
      <c r="B246" s="98">
        <v>3</v>
      </c>
      <c r="C246" s="98">
        <f t="shared" si="60"/>
        <v>8</v>
      </c>
      <c r="D246" s="98">
        <f t="shared" si="61"/>
        <v>7</v>
      </c>
      <c r="E246" s="98">
        <f t="shared" si="62"/>
        <v>1</v>
      </c>
      <c r="F246" s="118">
        <f t="shared" ca="1" si="63"/>
        <v>9.5331599999999989E-3</v>
      </c>
      <c r="G246" s="98">
        <v>1</v>
      </c>
      <c r="H246" s="98">
        <v>1</v>
      </c>
      <c r="I246" s="98">
        <v>3</v>
      </c>
      <c r="J246" s="118">
        <f t="shared" ca="1" si="64"/>
        <v>0</v>
      </c>
      <c r="K246" s="118">
        <f t="shared" ca="1" si="65"/>
        <v>0</v>
      </c>
      <c r="L246" s="133">
        <f t="shared" ca="1" si="66"/>
        <v>372</v>
      </c>
      <c r="M246" s="130">
        <f t="shared" ca="1" si="67"/>
        <v>628</v>
      </c>
      <c r="N246" s="100">
        <f t="shared" ca="1" si="68"/>
        <v>4</v>
      </c>
      <c r="O246" s="136">
        <f t="shared" ca="1" si="69"/>
        <v>2.6618557453501217</v>
      </c>
      <c r="P246" s="136">
        <f t="shared" ca="1" si="70"/>
        <v>24.349573517107945</v>
      </c>
      <c r="Q246" s="136">
        <f t="shared" ca="1" si="71"/>
        <v>20.946097612518034</v>
      </c>
      <c r="R246" s="136">
        <f t="shared" ca="1" si="72"/>
        <v>2.2647835564812988</v>
      </c>
      <c r="S246" s="136">
        <f t="shared" ca="1" si="73"/>
        <v>2.5308219230234101</v>
      </c>
      <c r="T246" s="104">
        <f t="shared" ca="1" si="74"/>
        <v>0</v>
      </c>
      <c r="U246" s="87">
        <f t="shared" ca="1" si="75"/>
        <v>1300.1875613842344</v>
      </c>
      <c r="V246" s="104">
        <f t="shared" ca="1" si="76"/>
        <v>0</v>
      </c>
      <c r="W246" s="133">
        <f t="shared" ca="1" si="77"/>
        <v>10953.185867583212</v>
      </c>
      <c r="X246" s="104">
        <f t="shared" ca="1" si="78"/>
        <v>0</v>
      </c>
      <c r="Y246" s="135">
        <f t="shared" ca="1" si="79"/>
        <v>0</v>
      </c>
      <c r="AE246" s="104"/>
    </row>
    <row r="247" spans="1:31" x14ac:dyDescent="0.2">
      <c r="A247" s="98">
        <v>1</v>
      </c>
      <c r="B247" s="98">
        <v>3</v>
      </c>
      <c r="C247" s="98">
        <f t="shared" si="60"/>
        <v>8</v>
      </c>
      <c r="D247" s="98">
        <f t="shared" si="61"/>
        <v>7</v>
      </c>
      <c r="E247" s="98">
        <f t="shared" si="62"/>
        <v>1</v>
      </c>
      <c r="F247" s="118">
        <f t="shared" ca="1" si="63"/>
        <v>9.5331599999999989E-3</v>
      </c>
      <c r="G247" s="98">
        <v>1</v>
      </c>
      <c r="H247" s="98">
        <v>1</v>
      </c>
      <c r="I247" s="98">
        <v>2</v>
      </c>
      <c r="J247" s="118">
        <f t="shared" ca="1" si="64"/>
        <v>0</v>
      </c>
      <c r="K247" s="118">
        <f t="shared" ca="1" si="65"/>
        <v>0</v>
      </c>
      <c r="L247" s="133">
        <f t="shared" ca="1" si="66"/>
        <v>360</v>
      </c>
      <c r="M247" s="130">
        <f t="shared" ca="1" si="67"/>
        <v>640</v>
      </c>
      <c r="N247" s="100">
        <f t="shared" ca="1" si="68"/>
        <v>4</v>
      </c>
      <c r="O247" s="136">
        <f t="shared" ca="1" si="69"/>
        <v>2.6618557453501217</v>
      </c>
      <c r="P247" s="136">
        <f t="shared" ca="1" si="70"/>
        <v>26.618557453501214</v>
      </c>
      <c r="Q247" s="136">
        <f t="shared" ca="1" si="71"/>
        <v>25.48406548530458</v>
      </c>
      <c r="R247" s="136">
        <f t="shared" ca="1" si="72"/>
        <v>2.6051311469402898</v>
      </c>
      <c r="S247" s="136">
        <f t="shared" ca="1" si="73"/>
        <v>2.6431366278748771</v>
      </c>
      <c r="T247" s="104">
        <f t="shared" ca="1" si="74"/>
        <v>0</v>
      </c>
      <c r="U247" s="87">
        <f t="shared" ca="1" si="75"/>
        <v>1327.8416384125694</v>
      </c>
      <c r="V247" s="104">
        <f t="shared" ca="1" si="76"/>
        <v>0</v>
      </c>
      <c r="W247" s="133">
        <f t="shared" ca="1" si="77"/>
        <v>8818.0619167872646</v>
      </c>
      <c r="X247" s="104">
        <f t="shared" ca="1" si="78"/>
        <v>0</v>
      </c>
      <c r="Y247" s="135">
        <f t="shared" ca="1" si="79"/>
        <v>0</v>
      </c>
      <c r="AE247" s="104"/>
    </row>
    <row r="248" spans="1:31" x14ac:dyDescent="0.2">
      <c r="A248" s="98">
        <v>1</v>
      </c>
      <c r="B248" s="98">
        <v>3</v>
      </c>
      <c r="C248" s="98">
        <f t="shared" si="60"/>
        <v>8</v>
      </c>
      <c r="D248" s="98">
        <f t="shared" si="61"/>
        <v>7</v>
      </c>
      <c r="E248" s="98">
        <f t="shared" si="62"/>
        <v>1</v>
      </c>
      <c r="F248" s="118">
        <f t="shared" ca="1" si="63"/>
        <v>9.5331599999999989E-3</v>
      </c>
      <c r="G248" s="98">
        <v>1</v>
      </c>
      <c r="H248" s="98">
        <v>1</v>
      </c>
      <c r="I248" s="98">
        <v>1</v>
      </c>
      <c r="J248" s="118">
        <f t="shared" ca="1" si="64"/>
        <v>0</v>
      </c>
      <c r="K248" s="118">
        <f t="shared" ca="1" si="65"/>
        <v>0</v>
      </c>
      <c r="L248" s="133">
        <f t="shared" ca="1" si="66"/>
        <v>348</v>
      </c>
      <c r="M248" s="130">
        <f t="shared" ca="1" si="67"/>
        <v>652</v>
      </c>
      <c r="N248" s="100">
        <f t="shared" ca="1" si="68"/>
        <v>4</v>
      </c>
      <c r="O248" s="136">
        <f t="shared" ca="1" si="69"/>
        <v>2.6618557453501217</v>
      </c>
      <c r="P248" s="136">
        <f t="shared" ca="1" si="70"/>
        <v>26.618557453501214</v>
      </c>
      <c r="Q248" s="136">
        <f t="shared" ca="1" si="71"/>
        <v>26.618557453501214</v>
      </c>
      <c r="R248" s="136">
        <f t="shared" ca="1" si="72"/>
        <v>2.6618557453501213</v>
      </c>
      <c r="S248" s="136">
        <f t="shared" ca="1" si="73"/>
        <v>2.6618557453501213</v>
      </c>
      <c r="T248" s="104">
        <f t="shared" ca="1" si="74"/>
        <v>0</v>
      </c>
      <c r="U248" s="87">
        <f t="shared" ca="1" si="75"/>
        <v>1322.4506512506252</v>
      </c>
      <c r="V248" s="104">
        <f t="shared" ca="1" si="76"/>
        <v>0</v>
      </c>
      <c r="W248" s="133">
        <f t="shared" ca="1" si="77"/>
        <v>6682.9379659913157</v>
      </c>
      <c r="X248" s="104">
        <f t="shared" ca="1" si="78"/>
        <v>0</v>
      </c>
      <c r="Y248" s="135">
        <f t="shared" ca="1" si="79"/>
        <v>0</v>
      </c>
      <c r="AE248" s="104"/>
    </row>
    <row r="249" spans="1:31" x14ac:dyDescent="0.2">
      <c r="A249" s="98">
        <v>1</v>
      </c>
      <c r="B249" s="98">
        <v>3</v>
      </c>
      <c r="C249" s="98">
        <f t="shared" si="60"/>
        <v>8</v>
      </c>
      <c r="D249" s="98">
        <f t="shared" si="61"/>
        <v>7</v>
      </c>
      <c r="E249" s="98">
        <f t="shared" si="62"/>
        <v>1</v>
      </c>
      <c r="F249" s="118">
        <f t="shared" ca="1" si="63"/>
        <v>9.5331599999999989E-3</v>
      </c>
      <c r="G249" s="98">
        <v>1</v>
      </c>
      <c r="H249" s="98">
        <v>1</v>
      </c>
      <c r="I249" s="98">
        <v>0</v>
      </c>
      <c r="J249" s="118">
        <f t="shared" ca="1" si="64"/>
        <v>0</v>
      </c>
      <c r="K249" s="118">
        <f t="shared" ca="1" si="65"/>
        <v>0</v>
      </c>
      <c r="L249" s="133">
        <f t="shared" ca="1" si="66"/>
        <v>336</v>
      </c>
      <c r="M249" s="130">
        <f t="shared" ca="1" si="67"/>
        <v>664</v>
      </c>
      <c r="N249" s="100">
        <f t="shared" ca="1" si="68"/>
        <v>4</v>
      </c>
      <c r="O249" s="136">
        <f t="shared" ca="1" si="69"/>
        <v>2.6618557453501217</v>
      </c>
      <c r="P249" s="136">
        <f t="shared" ca="1" si="70"/>
        <v>26.618557453501214</v>
      </c>
      <c r="Q249" s="136">
        <f t="shared" ca="1" si="71"/>
        <v>26.618557453501214</v>
      </c>
      <c r="R249" s="136">
        <f t="shared" ca="1" si="72"/>
        <v>2.6618557453501213</v>
      </c>
      <c r="S249" s="136">
        <f t="shared" ca="1" si="73"/>
        <v>2.6618557453501213</v>
      </c>
      <c r="T249" s="104">
        <f t="shared" ca="1" si="74"/>
        <v>0</v>
      </c>
      <c r="U249" s="87">
        <f t="shared" ca="1" si="75"/>
        <v>1310.4506512506252</v>
      </c>
      <c r="V249" s="104">
        <f t="shared" ca="1" si="76"/>
        <v>0</v>
      </c>
      <c r="W249" s="133">
        <f t="shared" ca="1" si="77"/>
        <v>4547.8140151953685</v>
      </c>
      <c r="X249" s="104">
        <f t="shared" ca="1" si="78"/>
        <v>0</v>
      </c>
      <c r="Y249" s="135">
        <f t="shared" ca="1" si="79"/>
        <v>0</v>
      </c>
      <c r="AE249" s="104"/>
    </row>
    <row r="250" spans="1:31" x14ac:dyDescent="0.2">
      <c r="A250" s="98">
        <v>1</v>
      </c>
      <c r="B250" s="98">
        <v>3</v>
      </c>
      <c r="C250" s="98">
        <f t="shared" si="60"/>
        <v>8</v>
      </c>
      <c r="D250" s="98">
        <f t="shared" si="61"/>
        <v>7</v>
      </c>
      <c r="E250" s="98">
        <f t="shared" si="62"/>
        <v>1</v>
      </c>
      <c r="F250" s="118">
        <f t="shared" ca="1" si="63"/>
        <v>9.5331599999999989E-3</v>
      </c>
      <c r="G250" s="98">
        <v>1</v>
      </c>
      <c r="H250" s="98">
        <v>0</v>
      </c>
      <c r="I250" s="98">
        <v>7</v>
      </c>
      <c r="J250" s="118">
        <f t="shared" ca="1" si="64"/>
        <v>0.66342043128906247</v>
      </c>
      <c r="K250" s="118">
        <f t="shared" ca="1" si="65"/>
        <v>6.3244931187476381E-3</v>
      </c>
      <c r="L250" s="133">
        <f t="shared" ca="1" si="66"/>
        <v>252</v>
      </c>
      <c r="M250" s="130">
        <f t="shared" ca="1" si="67"/>
        <v>748</v>
      </c>
      <c r="N250" s="100">
        <f t="shared" ca="1" si="68"/>
        <v>4</v>
      </c>
      <c r="O250" s="136">
        <f t="shared" ca="1" si="69"/>
        <v>2.6618557453501217</v>
      </c>
      <c r="P250" s="136">
        <f t="shared" ca="1" si="70"/>
        <v>26.618557453501214</v>
      </c>
      <c r="Q250" s="136">
        <f t="shared" ca="1" si="71"/>
        <v>26.618557453501214</v>
      </c>
      <c r="R250" s="136">
        <f t="shared" ca="1" si="72"/>
        <v>2.6618557453501213</v>
      </c>
      <c r="S250" s="136">
        <f t="shared" ca="1" si="73"/>
        <v>2.6618557453501213</v>
      </c>
      <c r="T250" s="104">
        <f t="shared" ca="1" si="74"/>
        <v>1.6834888344565709E-2</v>
      </c>
      <c r="U250" s="87">
        <f t="shared" ca="1" si="75"/>
        <v>1226.4506512506252</v>
      </c>
      <c r="V250" s="104">
        <f t="shared" ca="1" si="76"/>
        <v>7.7566787043181389</v>
      </c>
      <c r="W250" s="133">
        <f t="shared" ca="1" si="77"/>
        <v>17358.557719971053</v>
      </c>
      <c r="X250" s="104">
        <f t="shared" ca="1" si="78"/>
        <v>109.78407885134061</v>
      </c>
      <c r="Y250" s="135">
        <f t="shared" ca="1" si="79"/>
        <v>1.5937722659244047</v>
      </c>
      <c r="AE250" s="104"/>
    </row>
    <row r="251" spans="1:31" x14ac:dyDescent="0.2">
      <c r="A251" s="98">
        <v>1</v>
      </c>
      <c r="B251" s="98">
        <v>3</v>
      </c>
      <c r="C251" s="98">
        <f t="shared" si="60"/>
        <v>8</v>
      </c>
      <c r="D251" s="98">
        <f t="shared" si="61"/>
        <v>7</v>
      </c>
      <c r="E251" s="98">
        <f t="shared" si="62"/>
        <v>1</v>
      </c>
      <c r="F251" s="118">
        <f t="shared" ca="1" si="63"/>
        <v>9.5331599999999989E-3</v>
      </c>
      <c r="G251" s="98">
        <v>1</v>
      </c>
      <c r="H251" s="98">
        <v>0</v>
      </c>
      <c r="I251" s="98">
        <v>6</v>
      </c>
      <c r="J251" s="118">
        <f t="shared" ca="1" si="64"/>
        <v>0.24441805363281272</v>
      </c>
      <c r="K251" s="118">
        <f t="shared" ca="1" si="65"/>
        <v>2.3300764121701846E-3</v>
      </c>
      <c r="L251" s="133">
        <f t="shared" ca="1" si="66"/>
        <v>240</v>
      </c>
      <c r="M251" s="130">
        <f t="shared" ca="1" si="67"/>
        <v>760</v>
      </c>
      <c r="N251" s="100">
        <f t="shared" ca="1" si="68"/>
        <v>4</v>
      </c>
      <c r="O251" s="136">
        <f t="shared" ca="1" si="69"/>
        <v>2.6618557453501217</v>
      </c>
      <c r="P251" s="136">
        <f t="shared" ca="1" si="70"/>
        <v>26.618557453501214</v>
      </c>
      <c r="Q251" s="136">
        <f t="shared" ca="1" si="71"/>
        <v>26.618557453501214</v>
      </c>
      <c r="R251" s="136">
        <f t="shared" ca="1" si="72"/>
        <v>2.6618557453501213</v>
      </c>
      <c r="S251" s="136">
        <f t="shared" ca="1" si="73"/>
        <v>2.6618557453501213</v>
      </c>
      <c r="T251" s="104">
        <f t="shared" ca="1" si="74"/>
        <v>6.2023272848400028E-3</v>
      </c>
      <c r="U251" s="87">
        <f t="shared" ca="1" si="75"/>
        <v>1214.4506512506252</v>
      </c>
      <c r="V251" s="104">
        <f t="shared" ca="1" si="76"/>
        <v>2.8297628162238011</v>
      </c>
      <c r="W251" s="133">
        <f t="shared" ca="1" si="77"/>
        <v>15223.433769175106</v>
      </c>
      <c r="X251" s="104">
        <f t="shared" ca="1" si="78"/>
        <v>35.471763937789959</v>
      </c>
      <c r="Y251" s="135">
        <f t="shared" ca="1" si="79"/>
        <v>0.55921833892084427</v>
      </c>
      <c r="AE251" s="104"/>
    </row>
    <row r="252" spans="1:31" x14ac:dyDescent="0.2">
      <c r="A252" s="98">
        <v>1</v>
      </c>
      <c r="B252" s="98">
        <v>3</v>
      </c>
      <c r="C252" s="98">
        <f t="shared" si="60"/>
        <v>8</v>
      </c>
      <c r="D252" s="98">
        <f t="shared" si="61"/>
        <v>7</v>
      </c>
      <c r="E252" s="98">
        <f t="shared" si="62"/>
        <v>1</v>
      </c>
      <c r="F252" s="118">
        <f t="shared" ca="1" si="63"/>
        <v>9.5331599999999989E-3</v>
      </c>
      <c r="G252" s="98">
        <v>1</v>
      </c>
      <c r="H252" s="98">
        <v>0</v>
      </c>
      <c r="I252" s="98">
        <v>5</v>
      </c>
      <c r="J252" s="118">
        <f t="shared" ca="1" si="64"/>
        <v>3.8592324257812567E-2</v>
      </c>
      <c r="K252" s="118">
        <f t="shared" ca="1" si="65"/>
        <v>3.6790680192160842E-4</v>
      </c>
      <c r="L252" s="133">
        <f t="shared" ca="1" si="66"/>
        <v>228</v>
      </c>
      <c r="M252" s="130">
        <f t="shared" ca="1" si="67"/>
        <v>772</v>
      </c>
      <c r="N252" s="100">
        <f t="shared" ca="1" si="68"/>
        <v>4</v>
      </c>
      <c r="O252" s="136">
        <f t="shared" ca="1" si="69"/>
        <v>2.6618557453501217</v>
      </c>
      <c r="P252" s="136">
        <f t="shared" ca="1" si="70"/>
        <v>26.618557453501214</v>
      </c>
      <c r="Q252" s="136">
        <f t="shared" ca="1" si="71"/>
        <v>26.618557453501214</v>
      </c>
      <c r="R252" s="136">
        <f t="shared" ca="1" si="72"/>
        <v>2.6618557453501213</v>
      </c>
      <c r="S252" s="136">
        <f t="shared" ca="1" si="73"/>
        <v>2.6618557453501213</v>
      </c>
      <c r="T252" s="104">
        <f t="shared" ca="1" si="74"/>
        <v>9.7931483444842248E-4</v>
      </c>
      <c r="U252" s="87">
        <f t="shared" ca="1" si="75"/>
        <v>1202.4506512506252</v>
      </c>
      <c r="V252" s="104">
        <f t="shared" ca="1" si="76"/>
        <v>0.44238977357017284</v>
      </c>
      <c r="W252" s="133">
        <f t="shared" ca="1" si="77"/>
        <v>13088.309818379159</v>
      </c>
      <c r="X252" s="104">
        <f t="shared" ca="1" si="78"/>
        <v>4.8152782078390644</v>
      </c>
      <c r="Y252" s="135">
        <f t="shared" ca="1" si="79"/>
        <v>8.3882750838126713E-2</v>
      </c>
      <c r="AE252" s="104"/>
    </row>
    <row r="253" spans="1:31" x14ac:dyDescent="0.2">
      <c r="A253" s="98">
        <v>1</v>
      </c>
      <c r="B253" s="98">
        <v>3</v>
      </c>
      <c r="C253" s="98">
        <f t="shared" si="60"/>
        <v>8</v>
      </c>
      <c r="D253" s="98">
        <f t="shared" si="61"/>
        <v>7</v>
      </c>
      <c r="E253" s="98">
        <f t="shared" si="62"/>
        <v>1</v>
      </c>
      <c r="F253" s="118">
        <f t="shared" ca="1" si="63"/>
        <v>9.5331599999999989E-3</v>
      </c>
      <c r="G253" s="98">
        <v>1</v>
      </c>
      <c r="H253" s="98">
        <v>0</v>
      </c>
      <c r="I253" s="98">
        <v>4</v>
      </c>
      <c r="J253" s="118">
        <f t="shared" ca="1" si="64"/>
        <v>3.3852916015625085E-3</v>
      </c>
      <c r="K253" s="118">
        <f t="shared" ca="1" si="65"/>
        <v>3.2272526484351638E-5</v>
      </c>
      <c r="L253" s="133">
        <f t="shared" ca="1" si="66"/>
        <v>216</v>
      </c>
      <c r="M253" s="130">
        <f t="shared" ca="1" si="67"/>
        <v>784</v>
      </c>
      <c r="N253" s="100">
        <f t="shared" ca="1" si="68"/>
        <v>4</v>
      </c>
      <c r="O253" s="136">
        <f t="shared" ca="1" si="69"/>
        <v>2.6618557453501217</v>
      </c>
      <c r="P253" s="136">
        <f t="shared" ca="1" si="70"/>
        <v>26.618557453501214</v>
      </c>
      <c r="Q253" s="136">
        <f t="shared" ca="1" si="71"/>
        <v>26.618557453501214</v>
      </c>
      <c r="R253" s="136">
        <f t="shared" ca="1" si="72"/>
        <v>2.6618557453501213</v>
      </c>
      <c r="S253" s="136">
        <f t="shared" ca="1" si="73"/>
        <v>2.6618557453501213</v>
      </c>
      <c r="T253" s="104">
        <f t="shared" ca="1" si="74"/>
        <v>8.5904810039335355E-5</v>
      </c>
      <c r="U253" s="87">
        <f t="shared" ca="1" si="75"/>
        <v>1190.4506512506252</v>
      </c>
      <c r="V253" s="104">
        <f t="shared" ca="1" si="76"/>
        <v>3.8418850170799455E-2</v>
      </c>
      <c r="W253" s="133">
        <f t="shared" ca="1" si="77"/>
        <v>10953.185867583212</v>
      </c>
      <c r="X253" s="104">
        <f t="shared" ca="1" si="78"/>
        <v>0.35348698099960529</v>
      </c>
      <c r="Y253" s="135">
        <f t="shared" ca="1" si="79"/>
        <v>6.970865720619954E-3</v>
      </c>
      <c r="AE253" s="104"/>
    </row>
    <row r="254" spans="1:31" x14ac:dyDescent="0.2">
      <c r="A254" s="98">
        <v>1</v>
      </c>
      <c r="B254" s="98">
        <v>3</v>
      </c>
      <c r="C254" s="98">
        <f t="shared" si="60"/>
        <v>8</v>
      </c>
      <c r="D254" s="98">
        <f t="shared" si="61"/>
        <v>7</v>
      </c>
      <c r="E254" s="98">
        <f t="shared" si="62"/>
        <v>1</v>
      </c>
      <c r="F254" s="118">
        <f t="shared" ca="1" si="63"/>
        <v>9.5331599999999989E-3</v>
      </c>
      <c r="G254" s="98">
        <v>1</v>
      </c>
      <c r="H254" s="98">
        <v>0</v>
      </c>
      <c r="I254" s="98">
        <v>3</v>
      </c>
      <c r="J254" s="118">
        <f t="shared" ca="1" si="64"/>
        <v>1.7817324218750058E-4</v>
      </c>
      <c r="K254" s="118">
        <f t="shared" ca="1" si="65"/>
        <v>1.6985540254921928E-6</v>
      </c>
      <c r="L254" s="133">
        <f t="shared" ca="1" si="66"/>
        <v>204</v>
      </c>
      <c r="M254" s="130">
        <f t="shared" ca="1" si="67"/>
        <v>796</v>
      </c>
      <c r="N254" s="100">
        <f t="shared" ca="1" si="68"/>
        <v>4</v>
      </c>
      <c r="O254" s="136">
        <f t="shared" ca="1" si="69"/>
        <v>2.6618557453501217</v>
      </c>
      <c r="P254" s="136">
        <f t="shared" ca="1" si="70"/>
        <v>26.618557453501214</v>
      </c>
      <c r="Q254" s="136">
        <f t="shared" ca="1" si="71"/>
        <v>26.618557453501214</v>
      </c>
      <c r="R254" s="136">
        <f t="shared" ca="1" si="72"/>
        <v>2.6618557453501213</v>
      </c>
      <c r="S254" s="136">
        <f t="shared" ca="1" si="73"/>
        <v>2.6618557453501213</v>
      </c>
      <c r="T254" s="104">
        <f t="shared" ca="1" si="74"/>
        <v>4.5213057915439694E-6</v>
      </c>
      <c r="U254" s="87">
        <f t="shared" ca="1" si="75"/>
        <v>1178.4506512506252</v>
      </c>
      <c r="V254" s="104">
        <f t="shared" ca="1" si="76"/>
        <v>2.0016620975256455E-3</v>
      </c>
      <c r="W254" s="133">
        <f t="shared" ca="1" si="77"/>
        <v>8818.0619167872646</v>
      </c>
      <c r="X254" s="104">
        <f t="shared" ca="1" si="78"/>
        <v>1.497795456579841E-2</v>
      </c>
      <c r="Y254" s="135">
        <f t="shared" ca="1" si="79"/>
        <v>3.4650502120040731E-4</v>
      </c>
      <c r="AE254" s="104"/>
    </row>
    <row r="255" spans="1:31" x14ac:dyDescent="0.2">
      <c r="A255" s="98">
        <v>1</v>
      </c>
      <c r="B255" s="98">
        <v>3</v>
      </c>
      <c r="C255" s="98">
        <f t="shared" si="60"/>
        <v>8</v>
      </c>
      <c r="D255" s="98">
        <f t="shared" si="61"/>
        <v>7</v>
      </c>
      <c r="E255" s="98">
        <f t="shared" si="62"/>
        <v>1</v>
      </c>
      <c r="F255" s="118">
        <f t="shared" ca="1" si="63"/>
        <v>9.5331599999999989E-3</v>
      </c>
      <c r="G255" s="98">
        <v>1</v>
      </c>
      <c r="H255" s="98">
        <v>0</v>
      </c>
      <c r="I255" s="98">
        <v>2</v>
      </c>
      <c r="J255" s="118">
        <f t="shared" ca="1" si="64"/>
        <v>5.6265234375000243E-6</v>
      </c>
      <c r="K255" s="118">
        <f t="shared" ca="1" si="65"/>
        <v>5.3638548173437728E-8</v>
      </c>
      <c r="L255" s="133">
        <f t="shared" ca="1" si="66"/>
        <v>192</v>
      </c>
      <c r="M255" s="130">
        <f t="shared" ca="1" si="67"/>
        <v>808</v>
      </c>
      <c r="N255" s="100">
        <f t="shared" ca="1" si="68"/>
        <v>4</v>
      </c>
      <c r="O255" s="136">
        <f t="shared" ca="1" si="69"/>
        <v>2.6618557453501217</v>
      </c>
      <c r="P255" s="136">
        <f t="shared" ca="1" si="70"/>
        <v>26.618557453501214</v>
      </c>
      <c r="Q255" s="136">
        <f t="shared" ca="1" si="71"/>
        <v>26.618557453501214</v>
      </c>
      <c r="R255" s="136">
        <f t="shared" ca="1" si="72"/>
        <v>2.6618557453501213</v>
      </c>
      <c r="S255" s="136">
        <f t="shared" ca="1" si="73"/>
        <v>2.6618557453501213</v>
      </c>
      <c r="T255" s="104">
        <f t="shared" ca="1" si="74"/>
        <v>1.4277807762770446E-7</v>
      </c>
      <c r="U255" s="87">
        <f t="shared" ca="1" si="75"/>
        <v>1166.4506512506252</v>
      </c>
      <c r="V255" s="104">
        <f t="shared" ca="1" si="76"/>
        <v>6.2566719449044472E-5</v>
      </c>
      <c r="W255" s="133">
        <f t="shared" ca="1" si="77"/>
        <v>6682.9379659913157</v>
      </c>
      <c r="X255" s="104">
        <f t="shared" ca="1" si="78"/>
        <v>3.5846309002892111E-4</v>
      </c>
      <c r="Y255" s="135">
        <f t="shared" ca="1" si="79"/>
        <v>1.0298601249300044E-5</v>
      </c>
      <c r="AE255" s="104"/>
    </row>
    <row r="256" spans="1:31" x14ac:dyDescent="0.2">
      <c r="A256" s="98">
        <v>1</v>
      </c>
      <c r="B256" s="98">
        <v>3</v>
      </c>
      <c r="C256" s="98">
        <f t="shared" si="60"/>
        <v>8</v>
      </c>
      <c r="D256" s="98">
        <f t="shared" si="61"/>
        <v>7</v>
      </c>
      <c r="E256" s="98">
        <f t="shared" si="62"/>
        <v>1</v>
      </c>
      <c r="F256" s="118">
        <f t="shared" ca="1" si="63"/>
        <v>9.5331599999999989E-3</v>
      </c>
      <c r="G256" s="98">
        <v>1</v>
      </c>
      <c r="H256" s="98">
        <v>0</v>
      </c>
      <c r="I256" s="98">
        <v>1</v>
      </c>
      <c r="J256" s="118">
        <f t="shared" ca="1" si="64"/>
        <v>9.8710937500000504E-8</v>
      </c>
      <c r="K256" s="118">
        <f t="shared" ca="1" si="65"/>
        <v>9.4102716093750476E-10</v>
      </c>
      <c r="L256" s="133">
        <f t="shared" ca="1" si="66"/>
        <v>180</v>
      </c>
      <c r="M256" s="130">
        <f t="shared" ca="1" si="67"/>
        <v>820</v>
      </c>
      <c r="N256" s="100">
        <f t="shared" ca="1" si="68"/>
        <v>4</v>
      </c>
      <c r="O256" s="136">
        <f t="shared" ca="1" si="69"/>
        <v>2.6618557453501217</v>
      </c>
      <c r="P256" s="136">
        <f t="shared" ca="1" si="70"/>
        <v>26.618557453501214</v>
      </c>
      <c r="Q256" s="136">
        <f t="shared" ca="1" si="71"/>
        <v>26.618557453501214</v>
      </c>
      <c r="R256" s="136">
        <f t="shared" ca="1" si="72"/>
        <v>2.6618557453501213</v>
      </c>
      <c r="S256" s="136">
        <f t="shared" ca="1" si="73"/>
        <v>2.6618557453501213</v>
      </c>
      <c r="T256" s="104">
        <f t="shared" ca="1" si="74"/>
        <v>2.5048785548720104E-9</v>
      </c>
      <c r="U256" s="87">
        <f t="shared" ca="1" si="75"/>
        <v>1154.4506512506252</v>
      </c>
      <c r="V256" s="104">
        <f t="shared" ca="1" si="76"/>
        <v>1.0863694187888294E-6</v>
      </c>
      <c r="W256" s="133">
        <f t="shared" ca="1" si="77"/>
        <v>4547.8140151953685</v>
      </c>
      <c r="X256" s="104">
        <f t="shared" ca="1" si="78"/>
        <v>4.2796165111910914E-6</v>
      </c>
      <c r="Y256" s="135">
        <f t="shared" ca="1" si="79"/>
        <v>1.6938488896875086E-7</v>
      </c>
      <c r="AE256" s="104"/>
    </row>
    <row r="257" spans="1:31" x14ac:dyDescent="0.2">
      <c r="A257" s="98">
        <v>1</v>
      </c>
      <c r="B257" s="98">
        <v>3</v>
      </c>
      <c r="C257" s="98">
        <f t="shared" si="60"/>
        <v>8</v>
      </c>
      <c r="D257" s="98">
        <f t="shared" si="61"/>
        <v>7</v>
      </c>
      <c r="E257" s="98">
        <f t="shared" si="62"/>
        <v>1</v>
      </c>
      <c r="F257" s="118">
        <f t="shared" ca="1" si="63"/>
        <v>9.5331599999999989E-3</v>
      </c>
      <c r="G257" s="98">
        <v>1</v>
      </c>
      <c r="H257" s="98">
        <v>0</v>
      </c>
      <c r="I257" s="98">
        <v>0</v>
      </c>
      <c r="J257" s="118">
        <f t="shared" ca="1" si="64"/>
        <v>7.4218750000000458E-10</v>
      </c>
      <c r="K257" s="118">
        <f t="shared" ca="1" si="65"/>
        <v>7.0753921875000431E-12</v>
      </c>
      <c r="L257" s="133">
        <f t="shared" ca="1" si="66"/>
        <v>168</v>
      </c>
      <c r="M257" s="130">
        <f t="shared" ca="1" si="67"/>
        <v>832</v>
      </c>
      <c r="N257" s="100">
        <f t="shared" ca="1" si="68"/>
        <v>5</v>
      </c>
      <c r="O257" s="136">
        <f t="shared" ca="1" si="69"/>
        <v>3.2590583346360766</v>
      </c>
      <c r="P257" s="136">
        <f t="shared" ca="1" si="70"/>
        <v>28.410165221359076</v>
      </c>
      <c r="Q257" s="136">
        <f t="shared" ca="1" si="71"/>
        <v>26.618557453501214</v>
      </c>
      <c r="R257" s="136">
        <f t="shared" ca="1" si="72"/>
        <v>2.7514361337430144</v>
      </c>
      <c r="S257" s="136">
        <f t="shared" ca="1" si="73"/>
        <v>3.091543008341366</v>
      </c>
      <c r="T257" s="104">
        <f t="shared" ca="1" si="74"/>
        <v>2.1873879248538882E-11</v>
      </c>
      <c r="U257" s="87">
        <f t="shared" ca="1" si="75"/>
        <v>1294.1569825567776</v>
      </c>
      <c r="V257" s="104">
        <f t="shared" ca="1" si="76"/>
        <v>9.1566682037808546E-9</v>
      </c>
      <c r="W257" s="133">
        <f t="shared" ca="1" si="77"/>
        <v>2412.6900643994204</v>
      </c>
      <c r="X257" s="104">
        <f t="shared" ca="1" si="78"/>
        <v>1.7070728432510634E-8</v>
      </c>
      <c r="Y257" s="135">
        <f t="shared" ca="1" si="79"/>
        <v>1.1886658875000072E-9</v>
      </c>
      <c r="AE257" s="104"/>
    </row>
    <row r="258" spans="1:31" x14ac:dyDescent="0.2">
      <c r="A258" s="98">
        <v>1</v>
      </c>
      <c r="B258" s="98">
        <v>3</v>
      </c>
      <c r="C258" s="98">
        <f t="shared" si="60"/>
        <v>8</v>
      </c>
      <c r="D258" s="98">
        <f t="shared" si="61"/>
        <v>7</v>
      </c>
      <c r="E258" s="98">
        <f t="shared" si="62"/>
        <v>1</v>
      </c>
      <c r="F258" s="118">
        <f t="shared" ca="1" si="63"/>
        <v>9.5331599999999989E-3</v>
      </c>
      <c r="G258" s="98">
        <v>0</v>
      </c>
      <c r="H258" s="98">
        <v>1</v>
      </c>
      <c r="I258" s="98">
        <v>7</v>
      </c>
      <c r="J258" s="118">
        <f t="shared" ca="1" si="64"/>
        <v>0</v>
      </c>
      <c r="K258" s="118">
        <f t="shared" ca="1" si="65"/>
        <v>0</v>
      </c>
      <c r="L258" s="133">
        <f t="shared" ca="1" si="66"/>
        <v>252</v>
      </c>
      <c r="M258" s="130">
        <f t="shared" ca="1" si="67"/>
        <v>748</v>
      </c>
      <c r="N258" s="100">
        <f t="shared" ca="1" si="68"/>
        <v>4</v>
      </c>
      <c r="O258" s="136">
        <f t="shared" ca="1" si="69"/>
        <v>2.6618557453501217</v>
      </c>
      <c r="P258" s="136">
        <f t="shared" ca="1" si="70"/>
        <v>26.618557453501214</v>
      </c>
      <c r="Q258" s="136">
        <f t="shared" ca="1" si="71"/>
        <v>26.618557453501214</v>
      </c>
      <c r="R258" s="136">
        <f t="shared" ca="1" si="72"/>
        <v>2.6618557453501213</v>
      </c>
      <c r="S258" s="136">
        <f t="shared" ca="1" si="73"/>
        <v>2.6618557453501213</v>
      </c>
      <c r="T258" s="104">
        <f t="shared" ca="1" si="74"/>
        <v>0</v>
      </c>
      <c r="U258" s="87">
        <f t="shared" ca="1" si="75"/>
        <v>1226.4506512506252</v>
      </c>
      <c r="V258" s="104">
        <f t="shared" ca="1" si="76"/>
        <v>0</v>
      </c>
      <c r="W258" s="133">
        <f t="shared" ca="1" si="77"/>
        <v>17080.991606367581</v>
      </c>
      <c r="X258" s="104">
        <f t="shared" ca="1" si="78"/>
        <v>0</v>
      </c>
      <c r="Y258" s="135">
        <f t="shared" ca="1" si="79"/>
        <v>0</v>
      </c>
      <c r="AE258" s="104"/>
    </row>
    <row r="259" spans="1:31" x14ac:dyDescent="0.2">
      <c r="A259" s="98">
        <v>1</v>
      </c>
      <c r="B259" s="98">
        <v>3</v>
      </c>
      <c r="C259" s="98">
        <f t="shared" si="60"/>
        <v>8</v>
      </c>
      <c r="D259" s="98">
        <f t="shared" si="61"/>
        <v>7</v>
      </c>
      <c r="E259" s="98">
        <f t="shared" si="62"/>
        <v>1</v>
      </c>
      <c r="F259" s="118">
        <f t="shared" ca="1" si="63"/>
        <v>9.5331599999999989E-3</v>
      </c>
      <c r="G259" s="98">
        <v>0</v>
      </c>
      <c r="H259" s="98">
        <v>1</v>
      </c>
      <c r="I259" s="98">
        <v>6</v>
      </c>
      <c r="J259" s="118">
        <f t="shared" ca="1" si="64"/>
        <v>0</v>
      </c>
      <c r="K259" s="118">
        <f t="shared" ca="1" si="65"/>
        <v>0</v>
      </c>
      <c r="L259" s="133">
        <f t="shared" ca="1" si="66"/>
        <v>240</v>
      </c>
      <c r="M259" s="130">
        <f t="shared" ca="1" si="67"/>
        <v>760</v>
      </c>
      <c r="N259" s="100">
        <f t="shared" ca="1" si="68"/>
        <v>4</v>
      </c>
      <c r="O259" s="136">
        <f t="shared" ca="1" si="69"/>
        <v>2.6618557453501217</v>
      </c>
      <c r="P259" s="136">
        <f t="shared" ca="1" si="70"/>
        <v>26.618557453501214</v>
      </c>
      <c r="Q259" s="136">
        <f t="shared" ca="1" si="71"/>
        <v>26.618557453501214</v>
      </c>
      <c r="R259" s="136">
        <f t="shared" ca="1" si="72"/>
        <v>2.6618557453501213</v>
      </c>
      <c r="S259" s="136">
        <f t="shared" ca="1" si="73"/>
        <v>2.6618557453501213</v>
      </c>
      <c r="T259" s="104">
        <f t="shared" ca="1" si="74"/>
        <v>0</v>
      </c>
      <c r="U259" s="87">
        <f t="shared" ca="1" si="75"/>
        <v>1214.4506512506252</v>
      </c>
      <c r="V259" s="104">
        <f t="shared" ca="1" si="76"/>
        <v>0</v>
      </c>
      <c r="W259" s="133">
        <f t="shared" ca="1" si="77"/>
        <v>14945.867655571634</v>
      </c>
      <c r="X259" s="104">
        <f t="shared" ca="1" si="78"/>
        <v>0</v>
      </c>
      <c r="Y259" s="135">
        <f t="shared" ca="1" si="79"/>
        <v>0</v>
      </c>
      <c r="AE259" s="104"/>
    </row>
    <row r="260" spans="1:31" x14ac:dyDescent="0.2">
      <c r="A260" s="98">
        <v>1</v>
      </c>
      <c r="B260" s="98">
        <v>3</v>
      </c>
      <c r="C260" s="98">
        <f t="shared" si="60"/>
        <v>8</v>
      </c>
      <c r="D260" s="98">
        <f t="shared" si="61"/>
        <v>7</v>
      </c>
      <c r="E260" s="98">
        <f t="shared" si="62"/>
        <v>1</v>
      </c>
      <c r="F260" s="118">
        <f t="shared" ca="1" si="63"/>
        <v>9.5331599999999989E-3</v>
      </c>
      <c r="G260" s="98">
        <v>0</v>
      </c>
      <c r="H260" s="98">
        <v>1</v>
      </c>
      <c r="I260" s="98">
        <v>5</v>
      </c>
      <c r="J260" s="118">
        <f t="shared" ca="1" si="64"/>
        <v>0</v>
      </c>
      <c r="K260" s="118">
        <f t="shared" ca="1" si="65"/>
        <v>0</v>
      </c>
      <c r="L260" s="133">
        <f t="shared" ca="1" si="66"/>
        <v>228</v>
      </c>
      <c r="M260" s="130">
        <f t="shared" ca="1" si="67"/>
        <v>772</v>
      </c>
      <c r="N260" s="100">
        <f t="shared" ca="1" si="68"/>
        <v>4</v>
      </c>
      <c r="O260" s="136">
        <f t="shared" ca="1" si="69"/>
        <v>2.6618557453501217</v>
      </c>
      <c r="P260" s="136">
        <f t="shared" ca="1" si="70"/>
        <v>26.618557453501214</v>
      </c>
      <c r="Q260" s="136">
        <f t="shared" ca="1" si="71"/>
        <v>26.618557453501214</v>
      </c>
      <c r="R260" s="136">
        <f t="shared" ca="1" si="72"/>
        <v>2.6618557453501213</v>
      </c>
      <c r="S260" s="136">
        <f t="shared" ca="1" si="73"/>
        <v>2.6618557453501213</v>
      </c>
      <c r="T260" s="104">
        <f t="shared" ca="1" si="74"/>
        <v>0</v>
      </c>
      <c r="U260" s="87">
        <f t="shared" ca="1" si="75"/>
        <v>1202.4506512506252</v>
      </c>
      <c r="V260" s="104">
        <f t="shared" ca="1" si="76"/>
        <v>0</v>
      </c>
      <c r="W260" s="133">
        <f t="shared" ca="1" si="77"/>
        <v>12810.743704775685</v>
      </c>
      <c r="X260" s="104">
        <f t="shared" ca="1" si="78"/>
        <v>0</v>
      </c>
      <c r="Y260" s="135">
        <f t="shared" ca="1" si="79"/>
        <v>0</v>
      </c>
      <c r="AE260" s="104"/>
    </row>
    <row r="261" spans="1:31" x14ac:dyDescent="0.2">
      <c r="A261" s="98">
        <v>1</v>
      </c>
      <c r="B261" s="98">
        <v>3</v>
      </c>
      <c r="C261" s="98">
        <f t="shared" si="60"/>
        <v>8</v>
      </c>
      <c r="D261" s="98">
        <f t="shared" si="61"/>
        <v>7</v>
      </c>
      <c r="E261" s="98">
        <f t="shared" si="62"/>
        <v>1</v>
      </c>
      <c r="F261" s="118">
        <f t="shared" ca="1" si="63"/>
        <v>9.5331599999999989E-3</v>
      </c>
      <c r="G261" s="98">
        <v>0</v>
      </c>
      <c r="H261" s="98">
        <v>1</v>
      </c>
      <c r="I261" s="98">
        <v>4</v>
      </c>
      <c r="J261" s="118">
        <f t="shared" ca="1" si="64"/>
        <v>0</v>
      </c>
      <c r="K261" s="118">
        <f t="shared" ca="1" si="65"/>
        <v>0</v>
      </c>
      <c r="L261" s="133">
        <f t="shared" ca="1" si="66"/>
        <v>216</v>
      </c>
      <c r="M261" s="130">
        <f t="shared" ca="1" si="67"/>
        <v>784</v>
      </c>
      <c r="N261" s="100">
        <f t="shared" ca="1" si="68"/>
        <v>4</v>
      </c>
      <c r="O261" s="136">
        <f t="shared" ca="1" si="69"/>
        <v>2.6618557453501217</v>
      </c>
      <c r="P261" s="136">
        <f t="shared" ca="1" si="70"/>
        <v>26.618557453501214</v>
      </c>
      <c r="Q261" s="136">
        <f t="shared" ca="1" si="71"/>
        <v>26.618557453501214</v>
      </c>
      <c r="R261" s="136">
        <f t="shared" ca="1" si="72"/>
        <v>2.6618557453501213</v>
      </c>
      <c r="S261" s="136">
        <f t="shared" ca="1" si="73"/>
        <v>2.6618557453501213</v>
      </c>
      <c r="T261" s="104">
        <f t="shared" ca="1" si="74"/>
        <v>0</v>
      </c>
      <c r="U261" s="87">
        <f t="shared" ca="1" si="75"/>
        <v>1190.4506512506252</v>
      </c>
      <c r="V261" s="104">
        <f t="shared" ca="1" si="76"/>
        <v>0</v>
      </c>
      <c r="W261" s="133">
        <f t="shared" ca="1" si="77"/>
        <v>10675.619753979738</v>
      </c>
      <c r="X261" s="104">
        <f t="shared" ca="1" si="78"/>
        <v>0</v>
      </c>
      <c r="Y261" s="135">
        <f t="shared" ca="1" si="79"/>
        <v>0</v>
      </c>
      <c r="AE261" s="104"/>
    </row>
    <row r="262" spans="1:31" x14ac:dyDescent="0.2">
      <c r="A262" s="98">
        <v>1</v>
      </c>
      <c r="B262" s="98">
        <v>3</v>
      </c>
      <c r="C262" s="98">
        <f t="shared" si="60"/>
        <v>8</v>
      </c>
      <c r="D262" s="98">
        <f t="shared" si="61"/>
        <v>7</v>
      </c>
      <c r="E262" s="98">
        <f t="shared" si="62"/>
        <v>1</v>
      </c>
      <c r="F262" s="118">
        <f t="shared" ca="1" si="63"/>
        <v>9.5331599999999989E-3</v>
      </c>
      <c r="G262" s="98">
        <v>0</v>
      </c>
      <c r="H262" s="98">
        <v>1</v>
      </c>
      <c r="I262" s="98">
        <v>3</v>
      </c>
      <c r="J262" s="118">
        <f t="shared" ca="1" si="64"/>
        <v>0</v>
      </c>
      <c r="K262" s="118">
        <f t="shared" ca="1" si="65"/>
        <v>0</v>
      </c>
      <c r="L262" s="133">
        <f t="shared" ca="1" si="66"/>
        <v>204</v>
      </c>
      <c r="M262" s="130">
        <f t="shared" ca="1" si="67"/>
        <v>796</v>
      </c>
      <c r="N262" s="100">
        <f t="shared" ca="1" si="68"/>
        <v>4</v>
      </c>
      <c r="O262" s="136">
        <f t="shared" ca="1" si="69"/>
        <v>2.6618557453501217</v>
      </c>
      <c r="P262" s="136">
        <f t="shared" ca="1" si="70"/>
        <v>26.618557453501214</v>
      </c>
      <c r="Q262" s="136">
        <f t="shared" ca="1" si="71"/>
        <v>26.618557453501214</v>
      </c>
      <c r="R262" s="136">
        <f t="shared" ca="1" si="72"/>
        <v>2.6618557453501213</v>
      </c>
      <c r="S262" s="136">
        <f t="shared" ca="1" si="73"/>
        <v>2.6618557453501213</v>
      </c>
      <c r="T262" s="104">
        <f t="shared" ca="1" si="74"/>
        <v>0</v>
      </c>
      <c r="U262" s="87">
        <f t="shared" ca="1" si="75"/>
        <v>1178.4506512506252</v>
      </c>
      <c r="V262" s="104">
        <f t="shared" ca="1" si="76"/>
        <v>0</v>
      </c>
      <c r="W262" s="133">
        <f t="shared" ca="1" si="77"/>
        <v>8540.4958031837905</v>
      </c>
      <c r="X262" s="104">
        <f t="shared" ca="1" si="78"/>
        <v>0</v>
      </c>
      <c r="Y262" s="135">
        <f t="shared" ca="1" si="79"/>
        <v>0</v>
      </c>
      <c r="AE262" s="104"/>
    </row>
    <row r="263" spans="1:31" x14ac:dyDescent="0.2">
      <c r="A263" s="98">
        <v>1</v>
      </c>
      <c r="B263" s="98">
        <v>3</v>
      </c>
      <c r="C263" s="98">
        <f t="shared" si="60"/>
        <v>8</v>
      </c>
      <c r="D263" s="98">
        <f t="shared" si="61"/>
        <v>7</v>
      </c>
      <c r="E263" s="98">
        <f t="shared" si="62"/>
        <v>1</v>
      </c>
      <c r="F263" s="118">
        <f t="shared" ca="1" si="63"/>
        <v>9.5331599999999989E-3</v>
      </c>
      <c r="G263" s="98">
        <v>0</v>
      </c>
      <c r="H263" s="98">
        <v>1</v>
      </c>
      <c r="I263" s="98">
        <v>2</v>
      </c>
      <c r="J263" s="118">
        <f t="shared" ca="1" si="64"/>
        <v>0</v>
      </c>
      <c r="K263" s="118">
        <f t="shared" ca="1" si="65"/>
        <v>0</v>
      </c>
      <c r="L263" s="133">
        <f t="shared" ca="1" si="66"/>
        <v>192</v>
      </c>
      <c r="M263" s="130">
        <f t="shared" ca="1" si="67"/>
        <v>808</v>
      </c>
      <c r="N263" s="100">
        <f t="shared" ca="1" si="68"/>
        <v>4</v>
      </c>
      <c r="O263" s="136">
        <f t="shared" ca="1" si="69"/>
        <v>2.6618557453501217</v>
      </c>
      <c r="P263" s="136">
        <f t="shared" ca="1" si="70"/>
        <v>26.618557453501214</v>
      </c>
      <c r="Q263" s="136">
        <f t="shared" ca="1" si="71"/>
        <v>26.618557453501214</v>
      </c>
      <c r="R263" s="136">
        <f t="shared" ca="1" si="72"/>
        <v>2.6618557453501213</v>
      </c>
      <c r="S263" s="136">
        <f t="shared" ca="1" si="73"/>
        <v>2.6618557453501213</v>
      </c>
      <c r="T263" s="104">
        <f t="shared" ca="1" si="74"/>
        <v>0</v>
      </c>
      <c r="U263" s="87">
        <f t="shared" ca="1" si="75"/>
        <v>1166.4506512506252</v>
      </c>
      <c r="V263" s="104">
        <f t="shared" ca="1" si="76"/>
        <v>0</v>
      </c>
      <c r="W263" s="133">
        <f t="shared" ca="1" si="77"/>
        <v>6405.3718523878433</v>
      </c>
      <c r="X263" s="104">
        <f t="shared" ca="1" si="78"/>
        <v>0</v>
      </c>
      <c r="Y263" s="135">
        <f t="shared" ca="1" si="79"/>
        <v>0</v>
      </c>
      <c r="AE263" s="104"/>
    </row>
    <row r="264" spans="1:31" x14ac:dyDescent="0.2">
      <c r="A264" s="98">
        <v>1</v>
      </c>
      <c r="B264" s="98">
        <v>3</v>
      </c>
      <c r="C264" s="98">
        <f t="shared" si="60"/>
        <v>8</v>
      </c>
      <c r="D264" s="98">
        <f t="shared" si="61"/>
        <v>7</v>
      </c>
      <c r="E264" s="98">
        <f t="shared" si="62"/>
        <v>1</v>
      </c>
      <c r="F264" s="118">
        <f t="shared" ca="1" si="63"/>
        <v>9.5331599999999989E-3</v>
      </c>
      <c r="G264" s="98">
        <v>0</v>
      </c>
      <c r="H264" s="98">
        <v>1</v>
      </c>
      <c r="I264" s="98">
        <v>1</v>
      </c>
      <c r="J264" s="118">
        <f t="shared" ca="1" si="64"/>
        <v>0</v>
      </c>
      <c r="K264" s="118">
        <f t="shared" ca="1" si="65"/>
        <v>0</v>
      </c>
      <c r="L264" s="133">
        <f t="shared" ca="1" si="66"/>
        <v>180</v>
      </c>
      <c r="M264" s="130">
        <f t="shared" ca="1" si="67"/>
        <v>820</v>
      </c>
      <c r="N264" s="100">
        <f t="shared" ca="1" si="68"/>
        <v>4</v>
      </c>
      <c r="O264" s="136">
        <f t="shared" ca="1" si="69"/>
        <v>2.6618557453501217</v>
      </c>
      <c r="P264" s="136">
        <f t="shared" ca="1" si="70"/>
        <v>26.618557453501214</v>
      </c>
      <c r="Q264" s="136">
        <f t="shared" ca="1" si="71"/>
        <v>26.618557453501214</v>
      </c>
      <c r="R264" s="136">
        <f t="shared" ca="1" si="72"/>
        <v>2.6618557453501213</v>
      </c>
      <c r="S264" s="136">
        <f t="shared" ca="1" si="73"/>
        <v>2.6618557453501213</v>
      </c>
      <c r="T264" s="104">
        <f t="shared" ca="1" si="74"/>
        <v>0</v>
      </c>
      <c r="U264" s="87">
        <f t="shared" ca="1" si="75"/>
        <v>1154.4506512506252</v>
      </c>
      <c r="V264" s="104">
        <f t="shared" ca="1" si="76"/>
        <v>0</v>
      </c>
      <c r="W264" s="133">
        <f t="shared" ca="1" si="77"/>
        <v>4270.2479015918952</v>
      </c>
      <c r="X264" s="104">
        <f t="shared" ca="1" si="78"/>
        <v>0</v>
      </c>
      <c r="Y264" s="135">
        <f t="shared" ca="1" si="79"/>
        <v>0</v>
      </c>
      <c r="AE264" s="104"/>
    </row>
    <row r="265" spans="1:31" x14ac:dyDescent="0.2">
      <c r="A265" s="98">
        <v>1</v>
      </c>
      <c r="B265" s="98">
        <v>3</v>
      </c>
      <c r="C265" s="98">
        <f t="shared" si="60"/>
        <v>8</v>
      </c>
      <c r="D265" s="98">
        <f t="shared" si="61"/>
        <v>7</v>
      </c>
      <c r="E265" s="98">
        <f t="shared" si="62"/>
        <v>1</v>
      </c>
      <c r="F265" s="118">
        <f t="shared" ca="1" si="63"/>
        <v>9.5331599999999989E-3</v>
      </c>
      <c r="G265" s="98">
        <v>0</v>
      </c>
      <c r="H265" s="98">
        <v>1</v>
      </c>
      <c r="I265" s="98">
        <v>0</v>
      </c>
      <c r="J265" s="118">
        <f t="shared" ca="1" si="64"/>
        <v>0</v>
      </c>
      <c r="K265" s="118">
        <f t="shared" ca="1" si="65"/>
        <v>0</v>
      </c>
      <c r="L265" s="133">
        <f t="shared" ca="1" si="66"/>
        <v>168</v>
      </c>
      <c r="M265" s="130">
        <f t="shared" ca="1" si="67"/>
        <v>832</v>
      </c>
      <c r="N265" s="100">
        <f t="shared" ca="1" si="68"/>
        <v>5</v>
      </c>
      <c r="O265" s="136">
        <f t="shared" ca="1" si="69"/>
        <v>3.2590583346360766</v>
      </c>
      <c r="P265" s="136">
        <f t="shared" ca="1" si="70"/>
        <v>28.410165221359076</v>
      </c>
      <c r="Q265" s="136">
        <f t="shared" ca="1" si="71"/>
        <v>26.618557453501214</v>
      </c>
      <c r="R265" s="136">
        <f t="shared" ca="1" si="72"/>
        <v>2.7514361337430144</v>
      </c>
      <c r="S265" s="136">
        <f t="shared" ca="1" si="73"/>
        <v>3.091543008341366</v>
      </c>
      <c r="T265" s="104">
        <f t="shared" ca="1" si="74"/>
        <v>0</v>
      </c>
      <c r="U265" s="87">
        <f t="shared" ca="1" si="75"/>
        <v>1294.1569825567776</v>
      </c>
      <c r="V265" s="104">
        <f t="shared" ca="1" si="76"/>
        <v>0</v>
      </c>
      <c r="W265" s="133">
        <f t="shared" ca="1" si="77"/>
        <v>2135.1239507959476</v>
      </c>
      <c r="X265" s="104">
        <f t="shared" ca="1" si="78"/>
        <v>0</v>
      </c>
      <c r="Y265" s="135">
        <f t="shared" ca="1" si="79"/>
        <v>0</v>
      </c>
      <c r="AE265" s="104"/>
    </row>
    <row r="266" spans="1:31" x14ac:dyDescent="0.2">
      <c r="A266" s="98">
        <v>1</v>
      </c>
      <c r="B266" s="98">
        <v>3</v>
      </c>
      <c r="C266" s="98">
        <f t="shared" si="60"/>
        <v>8</v>
      </c>
      <c r="D266" s="98">
        <f t="shared" si="61"/>
        <v>7</v>
      </c>
      <c r="E266" s="98">
        <f t="shared" si="62"/>
        <v>1</v>
      </c>
      <c r="F266" s="118">
        <f t="shared" ca="1" si="63"/>
        <v>9.5331599999999989E-3</v>
      </c>
      <c r="G266" s="98">
        <v>0</v>
      </c>
      <c r="H266" s="98">
        <v>0</v>
      </c>
      <c r="I266" s="98">
        <v>7</v>
      </c>
      <c r="J266" s="118">
        <f t="shared" ca="1" si="64"/>
        <v>3.4916864804687496E-2</v>
      </c>
      <c r="K266" s="118">
        <f t="shared" ca="1" si="65"/>
        <v>3.3286805888145462E-4</v>
      </c>
      <c r="L266" s="133">
        <f t="shared" ca="1" si="66"/>
        <v>84</v>
      </c>
      <c r="M266" s="130">
        <f t="shared" ca="1" si="67"/>
        <v>916</v>
      </c>
      <c r="N266" s="100">
        <f t="shared" ca="1" si="68"/>
        <v>5</v>
      </c>
      <c r="O266" s="136">
        <f t="shared" ca="1" si="69"/>
        <v>3.2590583346360766</v>
      </c>
      <c r="P266" s="136">
        <f t="shared" ca="1" si="70"/>
        <v>32.590583346360766</v>
      </c>
      <c r="Q266" s="136">
        <f t="shared" ca="1" si="71"/>
        <v>32.590583346360766</v>
      </c>
      <c r="R266" s="136">
        <f t="shared" ca="1" si="72"/>
        <v>3.2590583346360766</v>
      </c>
      <c r="S266" s="136">
        <f t="shared" ca="1" si="73"/>
        <v>3.2590583346360766</v>
      </c>
      <c r="T266" s="104">
        <f t="shared" ca="1" si="74"/>
        <v>1.0848364216317369E-3</v>
      </c>
      <c r="U266" s="87">
        <f t="shared" ca="1" si="75"/>
        <v>1269.3003125517403</v>
      </c>
      <c r="V266" s="104">
        <f t="shared" ca="1" si="76"/>
        <v>0.42250953117672141</v>
      </c>
      <c r="W266" s="133">
        <f t="shared" ca="1" si="77"/>
        <v>14945.867655571634</v>
      </c>
      <c r="X266" s="104">
        <f t="shared" ca="1" si="78"/>
        <v>4.9750019548092466</v>
      </c>
      <c r="Y266" s="135">
        <f t="shared" ca="1" si="79"/>
        <v>2.7960916946042188E-2</v>
      </c>
      <c r="AE266" s="104"/>
    </row>
    <row r="267" spans="1:31" x14ac:dyDescent="0.2">
      <c r="A267" s="98">
        <v>1</v>
      </c>
      <c r="B267" s="98">
        <v>3</v>
      </c>
      <c r="C267" s="98">
        <f t="shared" si="60"/>
        <v>8</v>
      </c>
      <c r="D267" s="98">
        <f t="shared" si="61"/>
        <v>7</v>
      </c>
      <c r="E267" s="98">
        <f t="shared" si="62"/>
        <v>1</v>
      </c>
      <c r="F267" s="118">
        <f t="shared" ca="1" si="63"/>
        <v>9.5331599999999989E-3</v>
      </c>
      <c r="G267" s="98">
        <v>0</v>
      </c>
      <c r="H267" s="98">
        <v>0</v>
      </c>
      <c r="I267" s="98">
        <v>6</v>
      </c>
      <c r="J267" s="118">
        <f t="shared" ca="1" si="64"/>
        <v>1.2864108085937513E-2</v>
      </c>
      <c r="K267" s="118">
        <f t="shared" ca="1" si="65"/>
        <v>1.2263560064053604E-4</v>
      </c>
      <c r="L267" s="133">
        <f t="shared" ca="1" si="66"/>
        <v>72</v>
      </c>
      <c r="M267" s="130">
        <f t="shared" ca="1" si="67"/>
        <v>928</v>
      </c>
      <c r="N267" s="100">
        <f t="shared" ca="1" si="68"/>
        <v>5</v>
      </c>
      <c r="O267" s="136">
        <f t="shared" ca="1" si="69"/>
        <v>3.2590583346360766</v>
      </c>
      <c r="P267" s="136">
        <f t="shared" ca="1" si="70"/>
        <v>32.590583346360766</v>
      </c>
      <c r="Q267" s="136">
        <f t="shared" ca="1" si="71"/>
        <v>32.590583346360766</v>
      </c>
      <c r="R267" s="136">
        <f t="shared" ca="1" si="72"/>
        <v>3.2590583346360766</v>
      </c>
      <c r="S267" s="136">
        <f t="shared" ca="1" si="73"/>
        <v>3.2590583346360766</v>
      </c>
      <c r="T267" s="104">
        <f t="shared" ca="1" si="74"/>
        <v>3.9967657639064036E-4</v>
      </c>
      <c r="U267" s="87">
        <f t="shared" ca="1" si="75"/>
        <v>1257.3003125517403</v>
      </c>
      <c r="V267" s="104">
        <f t="shared" ca="1" si="76"/>
        <v>0.15418977901531636</v>
      </c>
      <c r="W267" s="133">
        <f t="shared" ca="1" si="77"/>
        <v>12810.743704775687</v>
      </c>
      <c r="X267" s="104">
        <f t="shared" ca="1" si="78"/>
        <v>1.5710532488871323</v>
      </c>
      <c r="Y267" s="135">
        <f t="shared" ca="1" si="79"/>
        <v>8.8297632461185951E-3</v>
      </c>
      <c r="AE267" s="104"/>
    </row>
    <row r="268" spans="1:31" x14ac:dyDescent="0.2">
      <c r="A268" s="98">
        <v>1</v>
      </c>
      <c r="B268" s="98">
        <v>3</v>
      </c>
      <c r="C268" s="98">
        <f t="shared" si="60"/>
        <v>8</v>
      </c>
      <c r="D268" s="98">
        <f t="shared" si="61"/>
        <v>7</v>
      </c>
      <c r="E268" s="98">
        <f t="shared" si="62"/>
        <v>1</v>
      </c>
      <c r="F268" s="118">
        <f t="shared" ca="1" si="63"/>
        <v>9.5331599999999989E-3</v>
      </c>
      <c r="G268" s="98">
        <v>0</v>
      </c>
      <c r="H268" s="98">
        <v>0</v>
      </c>
      <c r="I268" s="98">
        <v>5</v>
      </c>
      <c r="J268" s="118">
        <f t="shared" ca="1" si="64"/>
        <v>2.0311749609375038E-3</v>
      </c>
      <c r="K268" s="118">
        <f t="shared" ca="1" si="65"/>
        <v>1.9363515890610973E-5</v>
      </c>
      <c r="L268" s="133">
        <f t="shared" ca="1" si="66"/>
        <v>60</v>
      </c>
      <c r="M268" s="130">
        <f t="shared" ca="1" si="67"/>
        <v>940</v>
      </c>
      <c r="N268" s="100">
        <f t="shared" ca="1" si="68"/>
        <v>5</v>
      </c>
      <c r="O268" s="136">
        <f t="shared" ca="1" si="69"/>
        <v>3.2590583346360766</v>
      </c>
      <c r="P268" s="136">
        <f t="shared" ca="1" si="70"/>
        <v>32.590583346360766</v>
      </c>
      <c r="Q268" s="136">
        <f t="shared" ca="1" si="71"/>
        <v>32.590583346360766</v>
      </c>
      <c r="R268" s="136">
        <f t="shared" ca="1" si="72"/>
        <v>3.2590583346360766</v>
      </c>
      <c r="S268" s="136">
        <f t="shared" ca="1" si="73"/>
        <v>3.2590583346360766</v>
      </c>
      <c r="T268" s="104">
        <f t="shared" ca="1" si="74"/>
        <v>6.3106827851153801E-5</v>
      </c>
      <c r="U268" s="87">
        <f t="shared" ca="1" si="75"/>
        <v>1245.3003125517403</v>
      </c>
      <c r="V268" s="104">
        <f t="shared" ca="1" si="76"/>
        <v>2.4113392390678435E-2</v>
      </c>
      <c r="W268" s="133">
        <f t="shared" ca="1" si="77"/>
        <v>10675.619753979738</v>
      </c>
      <c r="X268" s="104">
        <f t="shared" ca="1" si="78"/>
        <v>0.20671753274830706</v>
      </c>
      <c r="Y268" s="135">
        <f t="shared" ca="1" si="79"/>
        <v>1.1618109534366583E-3</v>
      </c>
      <c r="AE268" s="104"/>
    </row>
    <row r="269" spans="1:31" x14ac:dyDescent="0.2">
      <c r="A269" s="98">
        <v>1</v>
      </c>
      <c r="B269" s="98">
        <v>3</v>
      </c>
      <c r="C269" s="98">
        <f t="shared" si="60"/>
        <v>8</v>
      </c>
      <c r="D269" s="98">
        <f t="shared" si="61"/>
        <v>7</v>
      </c>
      <c r="E269" s="98">
        <f t="shared" si="62"/>
        <v>1</v>
      </c>
      <c r="F269" s="118">
        <f t="shared" ca="1" si="63"/>
        <v>9.5331599999999989E-3</v>
      </c>
      <c r="G269" s="98">
        <v>0</v>
      </c>
      <c r="H269" s="98">
        <v>0</v>
      </c>
      <c r="I269" s="98">
        <v>4</v>
      </c>
      <c r="J269" s="118">
        <f t="shared" ca="1" si="64"/>
        <v>1.7817324218750047E-4</v>
      </c>
      <c r="K269" s="118">
        <f t="shared" ca="1" si="65"/>
        <v>1.6985540254921917E-6</v>
      </c>
      <c r="L269" s="133">
        <f t="shared" ca="1" si="66"/>
        <v>48</v>
      </c>
      <c r="M269" s="130">
        <f t="shared" ca="1" si="67"/>
        <v>952</v>
      </c>
      <c r="N269" s="100">
        <f t="shared" ca="1" si="68"/>
        <v>5</v>
      </c>
      <c r="O269" s="136">
        <f t="shared" ca="1" si="69"/>
        <v>3.2590583346360766</v>
      </c>
      <c r="P269" s="136">
        <f t="shared" ca="1" si="70"/>
        <v>32.590583346360766</v>
      </c>
      <c r="Q269" s="136">
        <f t="shared" ca="1" si="71"/>
        <v>32.590583346360766</v>
      </c>
      <c r="R269" s="136">
        <f t="shared" ca="1" si="72"/>
        <v>3.2590583346360766</v>
      </c>
      <c r="S269" s="136">
        <f t="shared" ca="1" si="73"/>
        <v>3.2590583346360766</v>
      </c>
      <c r="T269" s="104">
        <f t="shared" ca="1" si="74"/>
        <v>5.5356866536099865E-6</v>
      </c>
      <c r="U269" s="87">
        <f t="shared" ca="1" si="75"/>
        <v>1233.3003125517403</v>
      </c>
      <c r="V269" s="104">
        <f t="shared" ca="1" si="76"/>
        <v>2.0948272105255367E-3</v>
      </c>
      <c r="W269" s="133">
        <f t="shared" ca="1" si="77"/>
        <v>8540.4958031837905</v>
      </c>
      <c r="X269" s="104">
        <f t="shared" ca="1" si="78"/>
        <v>1.4506493526196996E-2</v>
      </c>
      <c r="Y269" s="135">
        <f t="shared" ca="1" si="79"/>
        <v>8.1530593223625198E-5</v>
      </c>
      <c r="AE269" s="104"/>
    </row>
    <row r="270" spans="1:31" x14ac:dyDescent="0.2">
      <c r="A270" s="98">
        <v>1</v>
      </c>
      <c r="B270" s="98">
        <v>3</v>
      </c>
      <c r="C270" s="98">
        <f t="shared" si="60"/>
        <v>8</v>
      </c>
      <c r="D270" s="98">
        <f t="shared" si="61"/>
        <v>7</v>
      </c>
      <c r="E270" s="98">
        <f t="shared" si="62"/>
        <v>1</v>
      </c>
      <c r="F270" s="118">
        <f t="shared" ca="1" si="63"/>
        <v>9.5331599999999989E-3</v>
      </c>
      <c r="G270" s="98">
        <v>0</v>
      </c>
      <c r="H270" s="98">
        <v>0</v>
      </c>
      <c r="I270" s="98">
        <v>3</v>
      </c>
      <c r="J270" s="118">
        <f t="shared" ca="1" si="64"/>
        <v>9.3775390625000315E-6</v>
      </c>
      <c r="K270" s="118">
        <f t="shared" ca="1" si="65"/>
        <v>8.9397580289062794E-8</v>
      </c>
      <c r="L270" s="133">
        <f t="shared" ca="1" si="66"/>
        <v>36</v>
      </c>
      <c r="M270" s="130">
        <f t="shared" ca="1" si="67"/>
        <v>964</v>
      </c>
      <c r="N270" s="100">
        <f t="shared" ca="1" si="68"/>
        <v>5</v>
      </c>
      <c r="O270" s="136">
        <f t="shared" ca="1" si="69"/>
        <v>3.2590583346360766</v>
      </c>
      <c r="P270" s="136">
        <f t="shared" ca="1" si="70"/>
        <v>32.590583346360766</v>
      </c>
      <c r="Q270" s="136">
        <f t="shared" ca="1" si="71"/>
        <v>32.590583346360766</v>
      </c>
      <c r="R270" s="136">
        <f t="shared" ca="1" si="72"/>
        <v>3.2590583346360766</v>
      </c>
      <c r="S270" s="136">
        <f t="shared" ca="1" si="73"/>
        <v>3.2590583346360766</v>
      </c>
      <c r="T270" s="104">
        <f t="shared" ca="1" si="74"/>
        <v>2.9135192913736792E-7</v>
      </c>
      <c r="U270" s="87">
        <f t="shared" ca="1" si="75"/>
        <v>1221.3003125517403</v>
      </c>
      <c r="V270" s="104">
        <f t="shared" ca="1" si="76"/>
        <v>1.0918129274840169E-4</v>
      </c>
      <c r="W270" s="133">
        <f t="shared" ca="1" si="77"/>
        <v>6405.3718523878433</v>
      </c>
      <c r="X270" s="104">
        <f t="shared" ca="1" si="78"/>
        <v>5.7262474445514508E-4</v>
      </c>
      <c r="Y270" s="135">
        <f t="shared" ca="1" si="79"/>
        <v>3.2183128904062604E-6</v>
      </c>
      <c r="AE270" s="104"/>
    </row>
    <row r="271" spans="1:31" x14ac:dyDescent="0.2">
      <c r="A271" s="98">
        <v>1</v>
      </c>
      <c r="B271" s="98">
        <v>3</v>
      </c>
      <c r="C271" s="98">
        <f t="shared" si="60"/>
        <v>8</v>
      </c>
      <c r="D271" s="98">
        <f t="shared" si="61"/>
        <v>7</v>
      </c>
      <c r="E271" s="98">
        <f t="shared" si="62"/>
        <v>1</v>
      </c>
      <c r="F271" s="118">
        <f t="shared" ca="1" si="63"/>
        <v>9.5331599999999989E-3</v>
      </c>
      <c r="G271" s="98">
        <v>0</v>
      </c>
      <c r="H271" s="98">
        <v>0</v>
      </c>
      <c r="I271" s="98">
        <v>2</v>
      </c>
      <c r="J271" s="118">
        <f t="shared" ca="1" si="64"/>
        <v>2.961328125000013E-7</v>
      </c>
      <c r="K271" s="118">
        <f t="shared" ca="1" si="65"/>
        <v>2.8230814828125122E-9</v>
      </c>
      <c r="L271" s="133">
        <f t="shared" ca="1" si="66"/>
        <v>24</v>
      </c>
      <c r="M271" s="130">
        <f t="shared" ca="1" si="67"/>
        <v>976</v>
      </c>
      <c r="N271" s="100">
        <f t="shared" ca="1" si="68"/>
        <v>5</v>
      </c>
      <c r="O271" s="136">
        <f t="shared" ca="1" si="69"/>
        <v>3.2590583346360766</v>
      </c>
      <c r="P271" s="136">
        <f t="shared" ca="1" si="70"/>
        <v>32.590583346360766</v>
      </c>
      <c r="Q271" s="136">
        <f t="shared" ca="1" si="71"/>
        <v>32.590583346360766</v>
      </c>
      <c r="R271" s="136">
        <f t="shared" ca="1" si="72"/>
        <v>3.2590583346360766</v>
      </c>
      <c r="S271" s="136">
        <f t="shared" ca="1" si="73"/>
        <v>3.2590583346360766</v>
      </c>
      <c r="T271" s="104">
        <f t="shared" ca="1" si="74"/>
        <v>9.2005872359168918E-9</v>
      </c>
      <c r="U271" s="87">
        <f t="shared" ca="1" si="75"/>
        <v>1209.3003125517403</v>
      </c>
      <c r="V271" s="104">
        <f t="shared" ca="1" si="76"/>
        <v>3.4139533195242012E-6</v>
      </c>
      <c r="W271" s="133">
        <f t="shared" ca="1" si="77"/>
        <v>4270.2479015918952</v>
      </c>
      <c r="X271" s="104">
        <f t="shared" ca="1" si="78"/>
        <v>1.2055257778003066E-5</v>
      </c>
      <c r="Y271" s="135">
        <f t="shared" ca="1" si="79"/>
        <v>6.7753955587500287E-8</v>
      </c>
      <c r="AE271" s="104"/>
    </row>
    <row r="272" spans="1:31" x14ac:dyDescent="0.2">
      <c r="A272" s="98">
        <v>1</v>
      </c>
      <c r="B272" s="98">
        <v>3</v>
      </c>
      <c r="C272" s="98">
        <f t="shared" si="60"/>
        <v>8</v>
      </c>
      <c r="D272" s="98">
        <f t="shared" si="61"/>
        <v>7</v>
      </c>
      <c r="E272" s="98">
        <f t="shared" si="62"/>
        <v>1</v>
      </c>
      <c r="F272" s="118">
        <f t="shared" ca="1" si="63"/>
        <v>9.5331599999999989E-3</v>
      </c>
      <c r="G272" s="98">
        <v>0</v>
      </c>
      <c r="H272" s="98">
        <v>0</v>
      </c>
      <c r="I272" s="98">
        <v>1</v>
      </c>
      <c r="J272" s="118">
        <f t="shared" ca="1" si="64"/>
        <v>5.1953125000000272E-9</v>
      </c>
      <c r="K272" s="118">
        <f t="shared" ca="1" si="65"/>
        <v>4.9527745312500253E-11</v>
      </c>
      <c r="L272" s="133">
        <f t="shared" ca="1" si="66"/>
        <v>12</v>
      </c>
      <c r="M272" s="130">
        <f t="shared" ca="1" si="67"/>
        <v>988</v>
      </c>
      <c r="N272" s="100">
        <f t="shared" ca="1" si="68"/>
        <v>5</v>
      </c>
      <c r="O272" s="136">
        <f t="shared" ca="1" si="69"/>
        <v>3.2590583346360766</v>
      </c>
      <c r="P272" s="136">
        <f t="shared" ca="1" si="70"/>
        <v>32.590583346360766</v>
      </c>
      <c r="Q272" s="136">
        <f t="shared" ca="1" si="71"/>
        <v>32.590583346360766</v>
      </c>
      <c r="R272" s="136">
        <f t="shared" ca="1" si="72"/>
        <v>3.2590583346360766</v>
      </c>
      <c r="S272" s="136">
        <f t="shared" ca="1" si="73"/>
        <v>3.2590583346360766</v>
      </c>
      <c r="T272" s="104">
        <f t="shared" ca="1" si="74"/>
        <v>1.6141381115643683E-10</v>
      </c>
      <c r="U272" s="87">
        <f t="shared" ca="1" si="75"/>
        <v>1197.3003125517403</v>
      </c>
      <c r="V272" s="104">
        <f t="shared" ca="1" si="76"/>
        <v>5.9299584942639543E-8</v>
      </c>
      <c r="W272" s="133">
        <f t="shared" ca="1" si="77"/>
        <v>2135.1239507959476</v>
      </c>
      <c r="X272" s="104">
        <f t="shared" ca="1" si="78"/>
        <v>1.0574787524564102E-7</v>
      </c>
      <c r="Y272" s="135">
        <f t="shared" ca="1" si="79"/>
        <v>5.9433294375000306E-10</v>
      </c>
      <c r="AE272" s="104"/>
    </row>
    <row r="273" spans="1:31" x14ac:dyDescent="0.2">
      <c r="A273" s="98">
        <v>1</v>
      </c>
      <c r="B273" s="98">
        <v>3</v>
      </c>
      <c r="C273" s="98">
        <f t="shared" si="60"/>
        <v>8</v>
      </c>
      <c r="D273" s="98">
        <f t="shared" si="61"/>
        <v>7</v>
      </c>
      <c r="E273" s="98">
        <f t="shared" si="62"/>
        <v>1</v>
      </c>
      <c r="F273" s="118">
        <f t="shared" ca="1" si="63"/>
        <v>9.5331599999999989E-3</v>
      </c>
      <c r="G273" s="98">
        <v>0</v>
      </c>
      <c r="H273" s="98">
        <v>0</v>
      </c>
      <c r="I273" s="98">
        <v>0</v>
      </c>
      <c r="J273" s="118">
        <f t="shared" ca="1" si="64"/>
        <v>3.9062500000000246E-11</v>
      </c>
      <c r="K273" s="118">
        <f t="shared" ca="1" si="65"/>
        <v>3.7238906250000233E-13</v>
      </c>
      <c r="L273" s="133">
        <f t="shared" ca="1" si="66"/>
        <v>0</v>
      </c>
      <c r="M273" s="130">
        <f t="shared" ca="1" si="67"/>
        <v>1000</v>
      </c>
      <c r="N273" s="100">
        <f t="shared" ca="1" si="68"/>
        <v>5</v>
      </c>
      <c r="O273" s="136">
        <f t="shared" ca="1" si="69"/>
        <v>3.2590583346360766</v>
      </c>
      <c r="P273" s="136">
        <f t="shared" ca="1" si="70"/>
        <v>32.590583346360766</v>
      </c>
      <c r="Q273" s="136">
        <f t="shared" ca="1" si="71"/>
        <v>32.590583346360766</v>
      </c>
      <c r="R273" s="136">
        <f t="shared" ca="1" si="72"/>
        <v>3.2590583346360766</v>
      </c>
      <c r="S273" s="136">
        <f t="shared" ca="1" si="73"/>
        <v>3.2590583346360766</v>
      </c>
      <c r="T273" s="104">
        <f t="shared" ca="1" si="74"/>
        <v>1.2136376778679474E-12</v>
      </c>
      <c r="U273" s="87">
        <f t="shared" ca="1" si="75"/>
        <v>1185.3003125517403</v>
      </c>
      <c r="V273" s="104">
        <f t="shared" ca="1" si="76"/>
        <v>4.4139287217210228E-10</v>
      </c>
      <c r="W273" s="133">
        <f t="shared" ca="1" si="77"/>
        <v>0</v>
      </c>
      <c r="X273" s="104">
        <f t="shared" ca="1" si="78"/>
        <v>0</v>
      </c>
      <c r="Y273" s="135">
        <f t="shared" ca="1" si="79"/>
        <v>0</v>
      </c>
      <c r="AE273" s="104"/>
    </row>
    <row r="274" spans="1:31" x14ac:dyDescent="0.2">
      <c r="A274" s="98">
        <v>2</v>
      </c>
      <c r="B274" s="98">
        <v>0</v>
      </c>
      <c r="C274" s="98">
        <f t="shared" ref="C274:C337" si="80">MIN(8, 1+$B$10+$B$9+A274+B274)</f>
        <v>6</v>
      </c>
      <c r="D274" s="98">
        <f t="shared" ref="D274:D337" si="81">C274-(1+$B$10)</f>
        <v>5</v>
      </c>
      <c r="E274" s="98">
        <f t="shared" ref="E274:E337" si="82">MIN(A274, C274-(1+$B$10+$B$9))</f>
        <v>2</v>
      </c>
      <c r="F274" s="118">
        <f t="shared" ref="F274:F337" ca="1" si="83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4.9318214399999991E-2</v>
      </c>
      <c r="G274" s="98">
        <v>1</v>
      </c>
      <c r="H274" s="98">
        <v>1</v>
      </c>
      <c r="I274" s="98">
        <v>7</v>
      </c>
      <c r="J274" s="118">
        <f t="shared" ref="J274:J337" si="84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18">
        <f t="shared" ref="K274:K337" ca="1" si="85">F274*J274</f>
        <v>0</v>
      </c>
      <c r="L274" s="133">
        <f t="shared" ref="L274:L337" ca="1" si="86">MAX((G274+H274)*Set1WSTP + I274*$B$6, Set1SaveTP)</f>
        <v>420</v>
      </c>
      <c r="M274" s="130">
        <f t="shared" ref="M274:M337" ca="1" si="87">MAX(Set1MinTP-(L274+Set1Regain), 0)</f>
        <v>580</v>
      </c>
      <c r="N274" s="100">
        <f t="shared" ref="N274:N337" ca="1" si="88">CEILING(M274/Set1MeleeTP, 1)</f>
        <v>3</v>
      </c>
      <c r="O274" s="136">
        <f t="shared" ref="O274:O337" ca="1" si="89">VLOOKUP(N274,AvgRoundsSet1,2)</f>
        <v>2.0946097612518035</v>
      </c>
      <c r="P274" s="136">
        <f t="shared" ref="P274:P337" ca="1" si="90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20.946097612518034</v>
      </c>
      <c r="Q274" s="136">
        <f t="shared" ref="Q274:Q337" ca="1" si="91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20.946097612518034</v>
      </c>
      <c r="R274" s="136">
        <f t="shared" ref="R274:R337" ca="1" si="92">(P274+Q274)/20</f>
        <v>2.0946097612518035</v>
      </c>
      <c r="S274" s="136">
        <f t="shared" ref="S274:S337" ca="1" si="93">R274*Set1ConserveTP + O274*(1-Set1ConserveTP)</f>
        <v>2.0946097612518035</v>
      </c>
      <c r="T274" s="104">
        <f t="shared" ref="T274:T337" ca="1" si="94">K274*S274</f>
        <v>0</v>
      </c>
      <c r="U274" s="87">
        <f t="shared" ref="U274:U337" ca="1" si="95">MIN(L274+(S274+Set1OverTP)*AvgHitsPerRound1*Set1MeleeTP + Set1Regain + 105*Set1ConserveTP, 3000)</f>
        <v>1194.1775349459019</v>
      </c>
      <c r="V274" s="104">
        <f t="shared" ref="V274:V337" ca="1" si="96">U274*K274</f>
        <v>0</v>
      </c>
      <c r="W274" s="133">
        <f t="shared" ref="W274:W337" ca="1" si="97">G274*$K$10*((1-$L$10)*$L$14 + $L$10*$M$14*$M$10)*Set1WSDmg + H274*$K$13*((1-$L$13)*$L$14 + $L$13*$M$14*$M$11) + I274*$K$11*((1-$L$11)*$L$14 + $L$11*$M$14*$M$11) + E274*$K$12*$L$12*$M$10</f>
        <v>19493.681670767</v>
      </c>
      <c r="X274" s="104">
        <f t="shared" ref="X274:X337" ca="1" si="98">K274*W274</f>
        <v>0</v>
      </c>
      <c r="Y274" s="135">
        <f t="shared" ca="1" si="79"/>
        <v>0</v>
      </c>
      <c r="AE274" s="104"/>
    </row>
    <row r="275" spans="1:31" x14ac:dyDescent="0.2">
      <c r="A275" s="98">
        <v>2</v>
      </c>
      <c r="B275" s="98">
        <v>0</v>
      </c>
      <c r="C275" s="98">
        <f t="shared" si="80"/>
        <v>6</v>
      </c>
      <c r="D275" s="98">
        <f t="shared" si="81"/>
        <v>5</v>
      </c>
      <c r="E275" s="98">
        <f t="shared" si="82"/>
        <v>2</v>
      </c>
      <c r="F275" s="118">
        <f t="shared" ca="1" si="83"/>
        <v>4.9318214399999991E-2</v>
      </c>
      <c r="G275" s="98">
        <v>1</v>
      </c>
      <c r="H275" s="98">
        <v>1</v>
      </c>
      <c r="I275" s="98">
        <v>6</v>
      </c>
      <c r="J275" s="118">
        <f t="shared" si="84"/>
        <v>0</v>
      </c>
      <c r="K275" s="118">
        <f t="shared" ca="1" si="85"/>
        <v>0</v>
      </c>
      <c r="L275" s="133">
        <f t="shared" ca="1" si="86"/>
        <v>408</v>
      </c>
      <c r="M275" s="130">
        <f t="shared" ca="1" si="87"/>
        <v>592</v>
      </c>
      <c r="N275" s="100">
        <f t="shared" ca="1" si="88"/>
        <v>3</v>
      </c>
      <c r="O275" s="136">
        <f t="shared" ca="1" si="89"/>
        <v>2.0946097612518035</v>
      </c>
      <c r="P275" s="136">
        <f t="shared" ca="1" si="90"/>
        <v>20.946097612518034</v>
      </c>
      <c r="Q275" s="136">
        <f t="shared" ca="1" si="91"/>
        <v>20.946097612518034</v>
      </c>
      <c r="R275" s="136">
        <f t="shared" ca="1" si="92"/>
        <v>2.0946097612518035</v>
      </c>
      <c r="S275" s="136">
        <f t="shared" ca="1" si="93"/>
        <v>2.0946097612518035</v>
      </c>
      <c r="T275" s="104">
        <f t="shared" ca="1" si="94"/>
        <v>0</v>
      </c>
      <c r="U275" s="87">
        <f t="shared" ca="1" si="95"/>
        <v>1182.1775349459019</v>
      </c>
      <c r="V275" s="104">
        <f t="shared" ca="1" si="96"/>
        <v>0</v>
      </c>
      <c r="W275" s="133">
        <f t="shared" ca="1" si="97"/>
        <v>17358.557719971053</v>
      </c>
      <c r="X275" s="104">
        <f t="shared" ca="1" si="98"/>
        <v>0</v>
      </c>
      <c r="Y275" s="135">
        <f t="shared" ref="Y275:Y338" ca="1" si="99">K275*L275</f>
        <v>0</v>
      </c>
      <c r="AE275" s="104"/>
    </row>
    <row r="276" spans="1:31" x14ac:dyDescent="0.2">
      <c r="A276" s="98">
        <v>2</v>
      </c>
      <c r="B276" s="98">
        <v>0</v>
      </c>
      <c r="C276" s="98">
        <f t="shared" si="80"/>
        <v>6</v>
      </c>
      <c r="D276" s="98">
        <f t="shared" si="81"/>
        <v>5</v>
      </c>
      <c r="E276" s="98">
        <f t="shared" si="82"/>
        <v>2</v>
      </c>
      <c r="F276" s="118">
        <f t="shared" ca="1" si="83"/>
        <v>4.9318214399999991E-2</v>
      </c>
      <c r="G276" s="98">
        <v>1</v>
      </c>
      <c r="H276" s="98">
        <v>1</v>
      </c>
      <c r="I276" s="98">
        <v>5</v>
      </c>
      <c r="J276" s="118">
        <f t="shared" ca="1" si="84"/>
        <v>0</v>
      </c>
      <c r="K276" s="118">
        <f t="shared" ca="1" si="85"/>
        <v>0</v>
      </c>
      <c r="L276" s="133">
        <f t="shared" ca="1" si="86"/>
        <v>396</v>
      </c>
      <c r="M276" s="130">
        <f t="shared" ca="1" si="87"/>
        <v>604</v>
      </c>
      <c r="N276" s="100">
        <f t="shared" ca="1" si="88"/>
        <v>3</v>
      </c>
      <c r="O276" s="136">
        <f t="shared" ca="1" si="89"/>
        <v>2.0946097612518035</v>
      </c>
      <c r="P276" s="136">
        <f t="shared" ca="1" si="90"/>
        <v>20.946097612518034</v>
      </c>
      <c r="Q276" s="136">
        <f t="shared" ca="1" si="91"/>
        <v>20.946097612518034</v>
      </c>
      <c r="R276" s="136">
        <f t="shared" ca="1" si="92"/>
        <v>2.0946097612518035</v>
      </c>
      <c r="S276" s="136">
        <f t="shared" ca="1" si="93"/>
        <v>2.0946097612518035</v>
      </c>
      <c r="T276" s="104">
        <f t="shared" ca="1" si="94"/>
        <v>0</v>
      </c>
      <c r="U276" s="87">
        <f t="shared" ca="1" si="95"/>
        <v>1170.1775349459019</v>
      </c>
      <c r="V276" s="104">
        <f t="shared" ca="1" si="96"/>
        <v>0</v>
      </c>
      <c r="W276" s="133">
        <f t="shared" ca="1" si="97"/>
        <v>15223.433769175106</v>
      </c>
      <c r="X276" s="104">
        <f t="shared" ca="1" si="98"/>
        <v>0</v>
      </c>
      <c r="Y276" s="135">
        <f t="shared" ca="1" si="99"/>
        <v>0</v>
      </c>
      <c r="AE276" s="104"/>
    </row>
    <row r="277" spans="1:31" x14ac:dyDescent="0.2">
      <c r="A277" s="98">
        <v>2</v>
      </c>
      <c r="B277" s="98">
        <v>0</v>
      </c>
      <c r="C277" s="98">
        <f t="shared" si="80"/>
        <v>6</v>
      </c>
      <c r="D277" s="98">
        <f t="shared" si="81"/>
        <v>5</v>
      </c>
      <c r="E277" s="98">
        <f t="shared" si="82"/>
        <v>2</v>
      </c>
      <c r="F277" s="118">
        <f t="shared" ca="1" si="83"/>
        <v>4.9318214399999991E-2</v>
      </c>
      <c r="G277" s="98">
        <v>1</v>
      </c>
      <c r="H277" s="98">
        <v>1</v>
      </c>
      <c r="I277" s="98">
        <v>4</v>
      </c>
      <c r="J277" s="118">
        <f t="shared" ca="1" si="84"/>
        <v>0</v>
      </c>
      <c r="K277" s="118">
        <f t="shared" ca="1" si="85"/>
        <v>0</v>
      </c>
      <c r="L277" s="133">
        <f t="shared" ca="1" si="86"/>
        <v>384</v>
      </c>
      <c r="M277" s="130">
        <f t="shared" ca="1" si="87"/>
        <v>616</v>
      </c>
      <c r="N277" s="100">
        <f t="shared" ca="1" si="88"/>
        <v>3</v>
      </c>
      <c r="O277" s="136">
        <f t="shared" ca="1" si="89"/>
        <v>2.0946097612518035</v>
      </c>
      <c r="P277" s="136">
        <f t="shared" ca="1" si="90"/>
        <v>20.946097612518034</v>
      </c>
      <c r="Q277" s="136">
        <f t="shared" ca="1" si="91"/>
        <v>20.946097612518034</v>
      </c>
      <c r="R277" s="136">
        <f t="shared" ca="1" si="92"/>
        <v>2.0946097612518035</v>
      </c>
      <c r="S277" s="136">
        <f t="shared" ca="1" si="93"/>
        <v>2.0946097612518035</v>
      </c>
      <c r="T277" s="104">
        <f t="shared" ca="1" si="94"/>
        <v>0</v>
      </c>
      <c r="U277" s="87">
        <f t="shared" ca="1" si="95"/>
        <v>1158.1775349459019</v>
      </c>
      <c r="V277" s="104">
        <f t="shared" ca="1" si="96"/>
        <v>0</v>
      </c>
      <c r="W277" s="133">
        <f t="shared" ca="1" si="97"/>
        <v>13088.309818379159</v>
      </c>
      <c r="X277" s="104">
        <f t="shared" ca="1" si="98"/>
        <v>0</v>
      </c>
      <c r="Y277" s="135">
        <f t="shared" ca="1" si="99"/>
        <v>0</v>
      </c>
      <c r="AE277" s="104"/>
    </row>
    <row r="278" spans="1:31" x14ac:dyDescent="0.2">
      <c r="A278" s="98">
        <v>2</v>
      </c>
      <c r="B278" s="98">
        <v>0</v>
      </c>
      <c r="C278" s="98">
        <f t="shared" si="80"/>
        <v>6</v>
      </c>
      <c r="D278" s="98">
        <f t="shared" si="81"/>
        <v>5</v>
      </c>
      <c r="E278" s="98">
        <f t="shared" si="82"/>
        <v>2</v>
      </c>
      <c r="F278" s="118">
        <f t="shared" ca="1" si="83"/>
        <v>4.9318214399999991E-2</v>
      </c>
      <c r="G278" s="98">
        <v>1</v>
      </c>
      <c r="H278" s="98">
        <v>1</v>
      </c>
      <c r="I278" s="98">
        <v>3</v>
      </c>
      <c r="J278" s="118">
        <f t="shared" ca="1" si="84"/>
        <v>0</v>
      </c>
      <c r="K278" s="118">
        <f t="shared" ca="1" si="85"/>
        <v>0</v>
      </c>
      <c r="L278" s="133">
        <f t="shared" ca="1" si="86"/>
        <v>372</v>
      </c>
      <c r="M278" s="130">
        <f t="shared" ca="1" si="87"/>
        <v>628</v>
      </c>
      <c r="N278" s="100">
        <f t="shared" ca="1" si="88"/>
        <v>4</v>
      </c>
      <c r="O278" s="136">
        <f t="shared" ca="1" si="89"/>
        <v>2.6618557453501217</v>
      </c>
      <c r="P278" s="136">
        <f t="shared" ca="1" si="90"/>
        <v>24.349573517107945</v>
      </c>
      <c r="Q278" s="136">
        <f t="shared" ca="1" si="91"/>
        <v>20.946097612518034</v>
      </c>
      <c r="R278" s="136">
        <f t="shared" ca="1" si="92"/>
        <v>2.2647835564812988</v>
      </c>
      <c r="S278" s="136">
        <f t="shared" ca="1" si="93"/>
        <v>2.5308219230234101</v>
      </c>
      <c r="T278" s="104">
        <f t="shared" ca="1" si="94"/>
        <v>0</v>
      </c>
      <c r="U278" s="87">
        <f t="shared" ca="1" si="95"/>
        <v>1300.1875613842344</v>
      </c>
      <c r="V278" s="104">
        <f t="shared" ca="1" si="96"/>
        <v>0</v>
      </c>
      <c r="W278" s="133">
        <f t="shared" ca="1" si="97"/>
        <v>10953.185867583212</v>
      </c>
      <c r="X278" s="104">
        <f t="shared" ca="1" si="98"/>
        <v>0</v>
      </c>
      <c r="Y278" s="135">
        <f t="shared" ca="1" si="99"/>
        <v>0</v>
      </c>
      <c r="AE278" s="104"/>
    </row>
    <row r="279" spans="1:31" x14ac:dyDescent="0.2">
      <c r="A279" s="98">
        <v>2</v>
      </c>
      <c r="B279" s="98">
        <v>0</v>
      </c>
      <c r="C279" s="98">
        <f t="shared" si="80"/>
        <v>6</v>
      </c>
      <c r="D279" s="98">
        <f t="shared" si="81"/>
        <v>5</v>
      </c>
      <c r="E279" s="98">
        <f t="shared" si="82"/>
        <v>2</v>
      </c>
      <c r="F279" s="118">
        <f t="shared" ca="1" si="83"/>
        <v>4.9318214399999991E-2</v>
      </c>
      <c r="G279" s="98">
        <v>1</v>
      </c>
      <c r="H279" s="98">
        <v>1</v>
      </c>
      <c r="I279" s="98">
        <v>2</v>
      </c>
      <c r="J279" s="118">
        <f t="shared" ca="1" si="84"/>
        <v>0</v>
      </c>
      <c r="K279" s="118">
        <f t="shared" ca="1" si="85"/>
        <v>0</v>
      </c>
      <c r="L279" s="133">
        <f t="shared" ca="1" si="86"/>
        <v>360</v>
      </c>
      <c r="M279" s="130">
        <f t="shared" ca="1" si="87"/>
        <v>640</v>
      </c>
      <c r="N279" s="100">
        <f t="shared" ca="1" si="88"/>
        <v>4</v>
      </c>
      <c r="O279" s="136">
        <f t="shared" ca="1" si="89"/>
        <v>2.6618557453501217</v>
      </c>
      <c r="P279" s="136">
        <f t="shared" ca="1" si="90"/>
        <v>26.618557453501214</v>
      </c>
      <c r="Q279" s="136">
        <f t="shared" ca="1" si="91"/>
        <v>25.48406548530458</v>
      </c>
      <c r="R279" s="136">
        <f t="shared" ca="1" si="92"/>
        <v>2.6051311469402898</v>
      </c>
      <c r="S279" s="136">
        <f t="shared" ca="1" si="93"/>
        <v>2.6431366278748771</v>
      </c>
      <c r="T279" s="104">
        <f t="shared" ca="1" si="94"/>
        <v>0</v>
      </c>
      <c r="U279" s="87">
        <f t="shared" ca="1" si="95"/>
        <v>1327.8416384125694</v>
      </c>
      <c r="V279" s="104">
        <f t="shared" ca="1" si="96"/>
        <v>0</v>
      </c>
      <c r="W279" s="133">
        <f t="shared" ca="1" si="97"/>
        <v>8818.0619167872646</v>
      </c>
      <c r="X279" s="104">
        <f t="shared" ca="1" si="98"/>
        <v>0</v>
      </c>
      <c r="Y279" s="135">
        <f t="shared" ca="1" si="99"/>
        <v>0</v>
      </c>
      <c r="AE279" s="104"/>
    </row>
    <row r="280" spans="1:31" x14ac:dyDescent="0.2">
      <c r="A280" s="98">
        <v>2</v>
      </c>
      <c r="B280" s="98">
        <v>0</v>
      </c>
      <c r="C280" s="98">
        <f t="shared" si="80"/>
        <v>6</v>
      </c>
      <c r="D280" s="98">
        <f t="shared" si="81"/>
        <v>5</v>
      </c>
      <c r="E280" s="98">
        <f t="shared" si="82"/>
        <v>2</v>
      </c>
      <c r="F280" s="118">
        <f t="shared" ca="1" si="83"/>
        <v>4.9318214399999991E-2</v>
      </c>
      <c r="G280" s="98">
        <v>1</v>
      </c>
      <c r="H280" s="98">
        <v>1</v>
      </c>
      <c r="I280" s="98">
        <v>1</v>
      </c>
      <c r="J280" s="118">
        <f t="shared" ca="1" si="84"/>
        <v>0</v>
      </c>
      <c r="K280" s="118">
        <f t="shared" ca="1" si="85"/>
        <v>0</v>
      </c>
      <c r="L280" s="133">
        <f t="shared" ca="1" si="86"/>
        <v>348</v>
      </c>
      <c r="M280" s="130">
        <f t="shared" ca="1" si="87"/>
        <v>652</v>
      </c>
      <c r="N280" s="100">
        <f t="shared" ca="1" si="88"/>
        <v>4</v>
      </c>
      <c r="O280" s="136">
        <f t="shared" ca="1" si="89"/>
        <v>2.6618557453501217</v>
      </c>
      <c r="P280" s="136">
        <f t="shared" ca="1" si="90"/>
        <v>26.618557453501214</v>
      </c>
      <c r="Q280" s="136">
        <f t="shared" ca="1" si="91"/>
        <v>26.618557453501214</v>
      </c>
      <c r="R280" s="136">
        <f t="shared" ca="1" si="92"/>
        <v>2.6618557453501213</v>
      </c>
      <c r="S280" s="136">
        <f t="shared" ca="1" si="93"/>
        <v>2.6618557453501213</v>
      </c>
      <c r="T280" s="104">
        <f t="shared" ca="1" si="94"/>
        <v>0</v>
      </c>
      <c r="U280" s="87">
        <f t="shared" ca="1" si="95"/>
        <v>1322.4506512506252</v>
      </c>
      <c r="V280" s="104">
        <f t="shared" ca="1" si="96"/>
        <v>0</v>
      </c>
      <c r="W280" s="133">
        <f t="shared" ca="1" si="97"/>
        <v>6682.9379659913157</v>
      </c>
      <c r="X280" s="104">
        <f t="shared" ca="1" si="98"/>
        <v>0</v>
      </c>
      <c r="Y280" s="135">
        <f t="shared" ca="1" si="99"/>
        <v>0</v>
      </c>
      <c r="AE280" s="104"/>
    </row>
    <row r="281" spans="1:31" x14ac:dyDescent="0.2">
      <c r="A281" s="98">
        <v>2</v>
      </c>
      <c r="B281" s="98">
        <v>0</v>
      </c>
      <c r="C281" s="98">
        <f t="shared" si="80"/>
        <v>6</v>
      </c>
      <c r="D281" s="98">
        <f t="shared" si="81"/>
        <v>5</v>
      </c>
      <c r="E281" s="98">
        <f t="shared" si="82"/>
        <v>2</v>
      </c>
      <c r="F281" s="118">
        <f t="shared" ca="1" si="83"/>
        <v>4.9318214399999991E-2</v>
      </c>
      <c r="G281" s="98">
        <v>1</v>
      </c>
      <c r="H281" s="98">
        <v>1</v>
      </c>
      <c r="I281" s="98">
        <v>0</v>
      </c>
      <c r="J281" s="118">
        <f t="shared" ca="1" si="84"/>
        <v>0</v>
      </c>
      <c r="K281" s="118">
        <f t="shared" ca="1" si="85"/>
        <v>0</v>
      </c>
      <c r="L281" s="133">
        <f t="shared" ca="1" si="86"/>
        <v>336</v>
      </c>
      <c r="M281" s="130">
        <f t="shared" ca="1" si="87"/>
        <v>664</v>
      </c>
      <c r="N281" s="100">
        <f t="shared" ca="1" si="88"/>
        <v>4</v>
      </c>
      <c r="O281" s="136">
        <f t="shared" ca="1" si="89"/>
        <v>2.6618557453501217</v>
      </c>
      <c r="P281" s="136">
        <f t="shared" ca="1" si="90"/>
        <v>26.618557453501214</v>
      </c>
      <c r="Q281" s="136">
        <f t="shared" ca="1" si="91"/>
        <v>26.618557453501214</v>
      </c>
      <c r="R281" s="136">
        <f t="shared" ca="1" si="92"/>
        <v>2.6618557453501213</v>
      </c>
      <c r="S281" s="136">
        <f t="shared" ca="1" si="93"/>
        <v>2.6618557453501213</v>
      </c>
      <c r="T281" s="104">
        <f t="shared" ca="1" si="94"/>
        <v>0</v>
      </c>
      <c r="U281" s="87">
        <f t="shared" ca="1" si="95"/>
        <v>1310.4506512506252</v>
      </c>
      <c r="V281" s="104">
        <f t="shared" ca="1" si="96"/>
        <v>0</v>
      </c>
      <c r="W281" s="133">
        <f t="shared" ca="1" si="97"/>
        <v>4547.8140151953685</v>
      </c>
      <c r="X281" s="104">
        <f t="shared" ca="1" si="98"/>
        <v>0</v>
      </c>
      <c r="Y281" s="135">
        <f t="shared" ca="1" si="99"/>
        <v>0</v>
      </c>
      <c r="AE281" s="104"/>
    </row>
    <row r="282" spans="1:31" x14ac:dyDescent="0.2">
      <c r="A282" s="98">
        <v>2</v>
      </c>
      <c r="B282" s="98">
        <v>0</v>
      </c>
      <c r="C282" s="98">
        <f t="shared" si="80"/>
        <v>6</v>
      </c>
      <c r="D282" s="98">
        <f t="shared" si="81"/>
        <v>5</v>
      </c>
      <c r="E282" s="98">
        <f t="shared" si="82"/>
        <v>2</v>
      </c>
      <c r="F282" s="118">
        <f t="shared" ca="1" si="83"/>
        <v>4.9318214399999991E-2</v>
      </c>
      <c r="G282" s="98">
        <v>1</v>
      </c>
      <c r="H282" s="98">
        <v>0</v>
      </c>
      <c r="I282" s="98">
        <v>7</v>
      </c>
      <c r="J282" s="118">
        <f t="shared" si="84"/>
        <v>0</v>
      </c>
      <c r="K282" s="118">
        <f t="shared" ca="1" si="85"/>
        <v>0</v>
      </c>
      <c r="L282" s="133">
        <f t="shared" ca="1" si="86"/>
        <v>252</v>
      </c>
      <c r="M282" s="130">
        <f t="shared" ca="1" si="87"/>
        <v>748</v>
      </c>
      <c r="N282" s="100">
        <f t="shared" ca="1" si="88"/>
        <v>4</v>
      </c>
      <c r="O282" s="136">
        <f t="shared" ca="1" si="89"/>
        <v>2.6618557453501217</v>
      </c>
      <c r="P282" s="136">
        <f t="shared" ca="1" si="90"/>
        <v>26.618557453501214</v>
      </c>
      <c r="Q282" s="136">
        <f t="shared" ca="1" si="91"/>
        <v>26.618557453501214</v>
      </c>
      <c r="R282" s="136">
        <f t="shared" ca="1" si="92"/>
        <v>2.6618557453501213</v>
      </c>
      <c r="S282" s="136">
        <f t="shared" ca="1" si="93"/>
        <v>2.6618557453501213</v>
      </c>
      <c r="T282" s="104">
        <f t="shared" ca="1" si="94"/>
        <v>0</v>
      </c>
      <c r="U282" s="87">
        <f t="shared" ca="1" si="95"/>
        <v>1226.4506512506252</v>
      </c>
      <c r="V282" s="104">
        <f t="shared" ca="1" si="96"/>
        <v>0</v>
      </c>
      <c r="W282" s="133">
        <f t="shared" ca="1" si="97"/>
        <v>17358.557719971053</v>
      </c>
      <c r="X282" s="104">
        <f t="shared" ca="1" si="98"/>
        <v>0</v>
      </c>
      <c r="Y282" s="135">
        <f t="shared" ca="1" si="99"/>
        <v>0</v>
      </c>
      <c r="AE282" s="104"/>
    </row>
    <row r="283" spans="1:31" x14ac:dyDescent="0.2">
      <c r="A283" s="98">
        <v>2</v>
      </c>
      <c r="B283" s="98">
        <v>0</v>
      </c>
      <c r="C283" s="98">
        <f t="shared" si="80"/>
        <v>6</v>
      </c>
      <c r="D283" s="98">
        <f t="shared" si="81"/>
        <v>5</v>
      </c>
      <c r="E283" s="98">
        <f t="shared" si="82"/>
        <v>2</v>
      </c>
      <c r="F283" s="118">
        <f t="shared" ca="1" si="83"/>
        <v>4.9318214399999991E-2</v>
      </c>
      <c r="G283" s="98">
        <v>1</v>
      </c>
      <c r="H283" s="98">
        <v>0</v>
      </c>
      <c r="I283" s="98">
        <v>6</v>
      </c>
      <c r="J283" s="118">
        <f t="shared" si="84"/>
        <v>0</v>
      </c>
      <c r="K283" s="118">
        <f t="shared" ca="1" si="85"/>
        <v>0</v>
      </c>
      <c r="L283" s="133">
        <f t="shared" ca="1" si="86"/>
        <v>240</v>
      </c>
      <c r="M283" s="130">
        <f t="shared" ca="1" si="87"/>
        <v>760</v>
      </c>
      <c r="N283" s="100">
        <f t="shared" ca="1" si="88"/>
        <v>4</v>
      </c>
      <c r="O283" s="136">
        <f t="shared" ca="1" si="89"/>
        <v>2.6618557453501217</v>
      </c>
      <c r="P283" s="136">
        <f t="shared" ca="1" si="90"/>
        <v>26.618557453501214</v>
      </c>
      <c r="Q283" s="136">
        <f t="shared" ca="1" si="91"/>
        <v>26.618557453501214</v>
      </c>
      <c r="R283" s="136">
        <f t="shared" ca="1" si="92"/>
        <v>2.6618557453501213</v>
      </c>
      <c r="S283" s="136">
        <f t="shared" ca="1" si="93"/>
        <v>2.6618557453501213</v>
      </c>
      <c r="T283" s="104">
        <f t="shared" ca="1" si="94"/>
        <v>0</v>
      </c>
      <c r="U283" s="87">
        <f t="shared" ca="1" si="95"/>
        <v>1214.4506512506252</v>
      </c>
      <c r="V283" s="104">
        <f t="shared" ca="1" si="96"/>
        <v>0</v>
      </c>
      <c r="W283" s="133">
        <f t="shared" ca="1" si="97"/>
        <v>15223.433769175106</v>
      </c>
      <c r="X283" s="104">
        <f t="shared" ca="1" si="98"/>
        <v>0</v>
      </c>
      <c r="Y283" s="135">
        <f t="shared" ca="1" si="99"/>
        <v>0</v>
      </c>
      <c r="AE283" s="104"/>
    </row>
    <row r="284" spans="1:31" x14ac:dyDescent="0.2">
      <c r="A284" s="98">
        <v>2</v>
      </c>
      <c r="B284" s="98">
        <v>0</v>
      </c>
      <c r="C284" s="98">
        <f t="shared" si="80"/>
        <v>6</v>
      </c>
      <c r="D284" s="98">
        <f t="shared" si="81"/>
        <v>5</v>
      </c>
      <c r="E284" s="98">
        <f t="shared" si="82"/>
        <v>2</v>
      </c>
      <c r="F284" s="118">
        <f t="shared" ca="1" si="83"/>
        <v>4.9318214399999991E-2</v>
      </c>
      <c r="G284" s="98">
        <v>1</v>
      </c>
      <c r="H284" s="98">
        <v>0</v>
      </c>
      <c r="I284" s="98">
        <v>5</v>
      </c>
      <c r="J284" s="118">
        <f t="shared" ca="1" si="84"/>
        <v>0.73509189062499991</v>
      </c>
      <c r="K284" s="118">
        <f t="shared" ca="1" si="85"/>
        <v>3.6253419465545091E-2</v>
      </c>
      <c r="L284" s="133">
        <f t="shared" ca="1" si="86"/>
        <v>228</v>
      </c>
      <c r="M284" s="130">
        <f t="shared" ca="1" si="87"/>
        <v>772</v>
      </c>
      <c r="N284" s="100">
        <f t="shared" ca="1" si="88"/>
        <v>4</v>
      </c>
      <c r="O284" s="136">
        <f t="shared" ca="1" si="89"/>
        <v>2.6618557453501217</v>
      </c>
      <c r="P284" s="136">
        <f t="shared" ca="1" si="90"/>
        <v>26.618557453501214</v>
      </c>
      <c r="Q284" s="136">
        <f t="shared" ca="1" si="91"/>
        <v>26.618557453501214</v>
      </c>
      <c r="R284" s="136">
        <f t="shared" ca="1" si="92"/>
        <v>2.6618557453501213</v>
      </c>
      <c r="S284" s="136">
        <f t="shared" ca="1" si="93"/>
        <v>2.6618557453501213</v>
      </c>
      <c r="T284" s="104">
        <f t="shared" ca="1" si="94"/>
        <v>9.6501372892949119E-2</v>
      </c>
      <c r="U284" s="87">
        <f t="shared" ca="1" si="95"/>
        <v>1202.4506512506252</v>
      </c>
      <c r="V284" s="104">
        <f t="shared" ca="1" si="96"/>
        <v>43.592947846406787</v>
      </c>
      <c r="W284" s="133">
        <f t="shared" ca="1" si="97"/>
        <v>13088.309818379159</v>
      </c>
      <c r="X284" s="104">
        <f t="shared" ca="1" si="98"/>
        <v>474.49598594071193</v>
      </c>
      <c r="Y284" s="135">
        <f t="shared" ca="1" si="99"/>
        <v>8.2657796381442807</v>
      </c>
      <c r="AE284" s="104"/>
    </row>
    <row r="285" spans="1:31" x14ac:dyDescent="0.2">
      <c r="A285" s="98">
        <v>2</v>
      </c>
      <c r="B285" s="98">
        <v>0</v>
      </c>
      <c r="C285" s="98">
        <f t="shared" si="80"/>
        <v>6</v>
      </c>
      <c r="D285" s="98">
        <f t="shared" si="81"/>
        <v>5</v>
      </c>
      <c r="E285" s="98">
        <f t="shared" si="82"/>
        <v>2</v>
      </c>
      <c r="F285" s="118">
        <f t="shared" ca="1" si="83"/>
        <v>4.9318214399999991E-2</v>
      </c>
      <c r="G285" s="98">
        <v>1</v>
      </c>
      <c r="H285" s="98">
        <v>0</v>
      </c>
      <c r="I285" s="98">
        <v>4</v>
      </c>
      <c r="J285" s="118">
        <f t="shared" ca="1" si="84"/>
        <v>0.19344523437500014</v>
      </c>
      <c r="K285" s="118">
        <f t="shared" ca="1" si="85"/>
        <v>9.5403735435645055E-3</v>
      </c>
      <c r="L285" s="133">
        <f t="shared" ca="1" si="86"/>
        <v>216</v>
      </c>
      <c r="M285" s="130">
        <f t="shared" ca="1" si="87"/>
        <v>784</v>
      </c>
      <c r="N285" s="100">
        <f t="shared" ca="1" si="88"/>
        <v>4</v>
      </c>
      <c r="O285" s="136">
        <f t="shared" ca="1" si="89"/>
        <v>2.6618557453501217</v>
      </c>
      <c r="P285" s="136">
        <f t="shared" ca="1" si="90"/>
        <v>26.618557453501214</v>
      </c>
      <c r="Q285" s="136">
        <f t="shared" ca="1" si="91"/>
        <v>26.618557453501214</v>
      </c>
      <c r="R285" s="136">
        <f t="shared" ca="1" si="92"/>
        <v>2.6618557453501213</v>
      </c>
      <c r="S285" s="136">
        <f t="shared" ca="1" si="93"/>
        <v>2.6618557453501213</v>
      </c>
      <c r="T285" s="104">
        <f t="shared" ca="1" si="94"/>
        <v>2.5395098129723473E-2</v>
      </c>
      <c r="U285" s="87">
        <f t="shared" ca="1" si="95"/>
        <v>1190.4506512506252</v>
      </c>
      <c r="V285" s="104">
        <f t="shared" ca="1" si="96"/>
        <v>11.357343898110601</v>
      </c>
      <c r="W285" s="133">
        <f t="shared" ca="1" si="97"/>
        <v>10953.185867583212</v>
      </c>
      <c r="X285" s="104">
        <f t="shared" ca="1" si="98"/>
        <v>104.49748466883551</v>
      </c>
      <c r="Y285" s="135">
        <f t="shared" ca="1" si="99"/>
        <v>2.0607206854099331</v>
      </c>
      <c r="AE285" s="104"/>
    </row>
    <row r="286" spans="1:31" x14ac:dyDescent="0.2">
      <c r="A286" s="98">
        <v>2</v>
      </c>
      <c r="B286" s="98">
        <v>0</v>
      </c>
      <c r="C286" s="98">
        <f t="shared" si="80"/>
        <v>6</v>
      </c>
      <c r="D286" s="98">
        <f t="shared" si="81"/>
        <v>5</v>
      </c>
      <c r="E286" s="98">
        <f t="shared" si="82"/>
        <v>2</v>
      </c>
      <c r="F286" s="118">
        <f t="shared" ca="1" si="83"/>
        <v>4.9318214399999991E-2</v>
      </c>
      <c r="G286" s="98">
        <v>1</v>
      </c>
      <c r="H286" s="98">
        <v>0</v>
      </c>
      <c r="I286" s="98">
        <v>3</v>
      </c>
      <c r="J286" s="118">
        <f t="shared" ca="1" si="84"/>
        <v>2.0362656250000031E-2</v>
      </c>
      <c r="K286" s="118">
        <f t="shared" ca="1" si="85"/>
        <v>1.0042498466910014E-3</v>
      </c>
      <c r="L286" s="133">
        <f t="shared" ca="1" si="86"/>
        <v>204</v>
      </c>
      <c r="M286" s="130">
        <f t="shared" ca="1" si="87"/>
        <v>796</v>
      </c>
      <c r="N286" s="100">
        <f t="shared" ca="1" si="88"/>
        <v>4</v>
      </c>
      <c r="O286" s="136">
        <f t="shared" ca="1" si="89"/>
        <v>2.6618557453501217</v>
      </c>
      <c r="P286" s="136">
        <f t="shared" ca="1" si="90"/>
        <v>26.618557453501214</v>
      </c>
      <c r="Q286" s="136">
        <f t="shared" ca="1" si="91"/>
        <v>26.618557453501214</v>
      </c>
      <c r="R286" s="136">
        <f t="shared" ca="1" si="92"/>
        <v>2.6618557453501213</v>
      </c>
      <c r="S286" s="136">
        <f t="shared" ca="1" si="93"/>
        <v>2.6618557453501213</v>
      </c>
      <c r="T286" s="104">
        <f t="shared" ca="1" si="94"/>
        <v>2.6731682241814205E-3</v>
      </c>
      <c r="U286" s="87">
        <f t="shared" ca="1" si="95"/>
        <v>1178.4506512506252</v>
      </c>
      <c r="V286" s="104">
        <f t="shared" ca="1" si="96"/>
        <v>1.1834588858513511</v>
      </c>
      <c r="W286" s="133">
        <f t="shared" ca="1" si="97"/>
        <v>8818.0619167872646</v>
      </c>
      <c r="X286" s="104">
        <f t="shared" ca="1" si="98"/>
        <v>8.8555373280453686</v>
      </c>
      <c r="Y286" s="135">
        <f t="shared" ca="1" si="99"/>
        <v>0.20486696872496429</v>
      </c>
      <c r="AE286" s="104"/>
    </row>
    <row r="287" spans="1:31" x14ac:dyDescent="0.2">
      <c r="A287" s="98">
        <v>2</v>
      </c>
      <c r="B287" s="98">
        <v>0</v>
      </c>
      <c r="C287" s="98">
        <f t="shared" si="80"/>
        <v>6</v>
      </c>
      <c r="D287" s="98">
        <f t="shared" si="81"/>
        <v>5</v>
      </c>
      <c r="E287" s="98">
        <f t="shared" si="82"/>
        <v>2</v>
      </c>
      <c r="F287" s="118">
        <f t="shared" ca="1" si="83"/>
        <v>4.9318214399999991E-2</v>
      </c>
      <c r="G287" s="98">
        <v>1</v>
      </c>
      <c r="H287" s="98">
        <v>0</v>
      </c>
      <c r="I287" s="98">
        <v>2</v>
      </c>
      <c r="J287" s="118">
        <f t="shared" ca="1" si="84"/>
        <v>1.0717187500000028E-3</v>
      </c>
      <c r="K287" s="118">
        <f t="shared" ca="1" si="85"/>
        <v>5.2855255089000129E-5</v>
      </c>
      <c r="L287" s="133">
        <f t="shared" ca="1" si="86"/>
        <v>192</v>
      </c>
      <c r="M287" s="130">
        <f t="shared" ca="1" si="87"/>
        <v>808</v>
      </c>
      <c r="N287" s="100">
        <f t="shared" ca="1" si="88"/>
        <v>4</v>
      </c>
      <c r="O287" s="136">
        <f t="shared" ca="1" si="89"/>
        <v>2.6618557453501217</v>
      </c>
      <c r="P287" s="136">
        <f t="shared" ca="1" si="90"/>
        <v>26.618557453501214</v>
      </c>
      <c r="Q287" s="136">
        <f t="shared" ca="1" si="91"/>
        <v>26.618557453501214</v>
      </c>
      <c r="R287" s="136">
        <f t="shared" ca="1" si="92"/>
        <v>2.6618557453501213</v>
      </c>
      <c r="S287" s="136">
        <f t="shared" ca="1" si="93"/>
        <v>2.6618557453501213</v>
      </c>
      <c r="T287" s="104">
        <f t="shared" ca="1" si="94"/>
        <v>1.4069306443060124E-4</v>
      </c>
      <c r="U287" s="87">
        <f t="shared" ca="1" si="95"/>
        <v>1166.4506512506252</v>
      </c>
      <c r="V287" s="104">
        <f t="shared" ca="1" si="96"/>
        <v>6.1653046720582125E-2</v>
      </c>
      <c r="W287" s="133">
        <f t="shared" ca="1" si="97"/>
        <v>6682.9379659913157</v>
      </c>
      <c r="X287" s="104">
        <f t="shared" ca="1" si="98"/>
        <v>0.35322839093643466</v>
      </c>
      <c r="Y287" s="135">
        <f t="shared" ca="1" si="99"/>
        <v>1.0148208977088024E-2</v>
      </c>
      <c r="AE287" s="104"/>
    </row>
    <row r="288" spans="1:31" x14ac:dyDescent="0.2">
      <c r="A288" s="98">
        <v>2</v>
      </c>
      <c r="B288" s="98">
        <v>0</v>
      </c>
      <c r="C288" s="98">
        <f t="shared" si="80"/>
        <v>6</v>
      </c>
      <c r="D288" s="98">
        <f t="shared" si="81"/>
        <v>5</v>
      </c>
      <c r="E288" s="98">
        <f t="shared" si="82"/>
        <v>2</v>
      </c>
      <c r="F288" s="118">
        <f t="shared" ca="1" si="83"/>
        <v>4.9318214399999991E-2</v>
      </c>
      <c r="G288" s="98">
        <v>1</v>
      </c>
      <c r="H288" s="98">
        <v>0</v>
      </c>
      <c r="I288" s="98">
        <v>1</v>
      </c>
      <c r="J288" s="118">
        <f t="shared" ca="1" si="84"/>
        <v>2.8203125000000098E-5</v>
      </c>
      <c r="K288" s="118">
        <f t="shared" ca="1" si="85"/>
        <v>1.3909277655000045E-6</v>
      </c>
      <c r="L288" s="133">
        <f t="shared" ca="1" si="86"/>
        <v>180</v>
      </c>
      <c r="M288" s="130">
        <f t="shared" ca="1" si="87"/>
        <v>820</v>
      </c>
      <c r="N288" s="100">
        <f t="shared" ca="1" si="88"/>
        <v>4</v>
      </c>
      <c r="O288" s="136">
        <f t="shared" ca="1" si="89"/>
        <v>2.6618557453501217</v>
      </c>
      <c r="P288" s="136">
        <f t="shared" ca="1" si="90"/>
        <v>26.618557453501214</v>
      </c>
      <c r="Q288" s="136">
        <f t="shared" ca="1" si="91"/>
        <v>26.618557453501214</v>
      </c>
      <c r="R288" s="136">
        <f t="shared" ca="1" si="92"/>
        <v>2.6618557453501213</v>
      </c>
      <c r="S288" s="136">
        <f t="shared" ca="1" si="93"/>
        <v>2.6618557453501213</v>
      </c>
      <c r="T288" s="104">
        <f t="shared" ca="1" si="94"/>
        <v>3.702449063963193E-6</v>
      </c>
      <c r="U288" s="87">
        <f t="shared" ca="1" si="95"/>
        <v>1154.4506512506252</v>
      </c>
      <c r="V288" s="104">
        <f t="shared" ca="1" si="96"/>
        <v>1.6057574647240572E-3</v>
      </c>
      <c r="W288" s="133">
        <f t="shared" ca="1" si="97"/>
        <v>4547.8140151953685</v>
      </c>
      <c r="X288" s="104">
        <f t="shared" ca="1" si="98"/>
        <v>6.3256807860652972E-3</v>
      </c>
      <c r="Y288" s="135">
        <f t="shared" ca="1" si="99"/>
        <v>2.5036699779000082E-4</v>
      </c>
      <c r="AE288" s="104"/>
    </row>
    <row r="289" spans="1:31" x14ac:dyDescent="0.2">
      <c r="A289" s="98">
        <v>2</v>
      </c>
      <c r="B289" s="98">
        <v>0</v>
      </c>
      <c r="C289" s="98">
        <f t="shared" si="80"/>
        <v>6</v>
      </c>
      <c r="D289" s="98">
        <f t="shared" si="81"/>
        <v>5</v>
      </c>
      <c r="E289" s="98">
        <f t="shared" si="82"/>
        <v>2</v>
      </c>
      <c r="F289" s="118">
        <f t="shared" ca="1" si="83"/>
        <v>4.9318214399999991E-2</v>
      </c>
      <c r="G289" s="98">
        <v>1</v>
      </c>
      <c r="H289" s="98">
        <v>0</v>
      </c>
      <c r="I289" s="98">
        <v>0</v>
      </c>
      <c r="J289" s="118">
        <f t="shared" ca="1" si="84"/>
        <v>2.9687500000000134E-7</v>
      </c>
      <c r="K289" s="118">
        <f t="shared" ca="1" si="85"/>
        <v>1.4641344900000064E-8</v>
      </c>
      <c r="L289" s="133">
        <f t="shared" ca="1" si="86"/>
        <v>168</v>
      </c>
      <c r="M289" s="130">
        <f t="shared" ca="1" si="87"/>
        <v>832</v>
      </c>
      <c r="N289" s="100">
        <f t="shared" ca="1" si="88"/>
        <v>5</v>
      </c>
      <c r="O289" s="136">
        <f t="shared" ca="1" si="89"/>
        <v>3.2590583346360766</v>
      </c>
      <c r="P289" s="136">
        <f t="shared" ca="1" si="90"/>
        <v>28.410165221359076</v>
      </c>
      <c r="Q289" s="136">
        <f t="shared" ca="1" si="91"/>
        <v>26.618557453501214</v>
      </c>
      <c r="R289" s="136">
        <f t="shared" ca="1" si="92"/>
        <v>2.7514361337430144</v>
      </c>
      <c r="S289" s="136">
        <f t="shared" ca="1" si="93"/>
        <v>3.091543008341366</v>
      </c>
      <c r="T289" s="104">
        <f t="shared" ca="1" si="94"/>
        <v>4.5264347458309711E-8</v>
      </c>
      <c r="U289" s="87">
        <f t="shared" ca="1" si="95"/>
        <v>1294.1569825567776</v>
      </c>
      <c r="V289" s="104">
        <f t="shared" ca="1" si="96"/>
        <v>1.8948198736357146E-5</v>
      </c>
      <c r="W289" s="133">
        <f t="shared" ca="1" si="97"/>
        <v>2412.6900643994204</v>
      </c>
      <c r="X289" s="104">
        <f t="shared" ca="1" si="98"/>
        <v>3.5325027369675277E-5</v>
      </c>
      <c r="Y289" s="135">
        <f t="shared" ca="1" si="99"/>
        <v>2.4597459432000106E-6</v>
      </c>
      <c r="AE289" s="104"/>
    </row>
    <row r="290" spans="1:31" x14ac:dyDescent="0.2">
      <c r="A290" s="98">
        <v>2</v>
      </c>
      <c r="B290" s="98">
        <v>0</v>
      </c>
      <c r="C290" s="98">
        <f t="shared" si="80"/>
        <v>6</v>
      </c>
      <c r="D290" s="98">
        <f t="shared" si="81"/>
        <v>5</v>
      </c>
      <c r="E290" s="98">
        <f t="shared" si="82"/>
        <v>2</v>
      </c>
      <c r="F290" s="118">
        <f t="shared" ca="1" si="83"/>
        <v>4.9318214399999991E-2</v>
      </c>
      <c r="G290" s="98">
        <v>0</v>
      </c>
      <c r="H290" s="98">
        <v>1</v>
      </c>
      <c r="I290" s="98">
        <v>7</v>
      </c>
      <c r="J290" s="118">
        <f t="shared" si="84"/>
        <v>0</v>
      </c>
      <c r="K290" s="118">
        <f t="shared" ca="1" si="85"/>
        <v>0</v>
      </c>
      <c r="L290" s="133">
        <f t="shared" ca="1" si="86"/>
        <v>252</v>
      </c>
      <c r="M290" s="130">
        <f t="shared" ca="1" si="87"/>
        <v>748</v>
      </c>
      <c r="N290" s="100">
        <f t="shared" ca="1" si="88"/>
        <v>4</v>
      </c>
      <c r="O290" s="136">
        <f t="shared" ca="1" si="89"/>
        <v>2.6618557453501217</v>
      </c>
      <c r="P290" s="136">
        <f t="shared" ca="1" si="90"/>
        <v>26.618557453501214</v>
      </c>
      <c r="Q290" s="136">
        <f t="shared" ca="1" si="91"/>
        <v>26.618557453501214</v>
      </c>
      <c r="R290" s="136">
        <f t="shared" ca="1" si="92"/>
        <v>2.6618557453501213</v>
      </c>
      <c r="S290" s="136">
        <f t="shared" ca="1" si="93"/>
        <v>2.6618557453501213</v>
      </c>
      <c r="T290" s="104">
        <f t="shared" ca="1" si="94"/>
        <v>0</v>
      </c>
      <c r="U290" s="87">
        <f t="shared" ca="1" si="95"/>
        <v>1226.4506512506252</v>
      </c>
      <c r="V290" s="104">
        <f t="shared" ca="1" si="96"/>
        <v>0</v>
      </c>
      <c r="W290" s="133">
        <f t="shared" ca="1" si="97"/>
        <v>17080.991606367581</v>
      </c>
      <c r="X290" s="104">
        <f t="shared" ca="1" si="98"/>
        <v>0</v>
      </c>
      <c r="Y290" s="135">
        <f t="shared" ca="1" si="99"/>
        <v>0</v>
      </c>
      <c r="AE290" s="104"/>
    </row>
    <row r="291" spans="1:31" x14ac:dyDescent="0.2">
      <c r="A291" s="98">
        <v>2</v>
      </c>
      <c r="B291" s="98">
        <v>0</v>
      </c>
      <c r="C291" s="98">
        <f t="shared" si="80"/>
        <v>6</v>
      </c>
      <c r="D291" s="98">
        <f t="shared" si="81"/>
        <v>5</v>
      </c>
      <c r="E291" s="98">
        <f t="shared" si="82"/>
        <v>2</v>
      </c>
      <c r="F291" s="118">
        <f t="shared" ca="1" si="83"/>
        <v>4.9318214399999991E-2</v>
      </c>
      <c r="G291" s="98">
        <v>0</v>
      </c>
      <c r="H291" s="98">
        <v>1</v>
      </c>
      <c r="I291" s="98">
        <v>6</v>
      </c>
      <c r="J291" s="118">
        <f t="shared" si="84"/>
        <v>0</v>
      </c>
      <c r="K291" s="118">
        <f t="shared" ca="1" si="85"/>
        <v>0</v>
      </c>
      <c r="L291" s="133">
        <f t="shared" ca="1" si="86"/>
        <v>240</v>
      </c>
      <c r="M291" s="130">
        <f t="shared" ca="1" si="87"/>
        <v>760</v>
      </c>
      <c r="N291" s="100">
        <f t="shared" ca="1" si="88"/>
        <v>4</v>
      </c>
      <c r="O291" s="136">
        <f t="shared" ca="1" si="89"/>
        <v>2.6618557453501217</v>
      </c>
      <c r="P291" s="136">
        <f t="shared" ca="1" si="90"/>
        <v>26.618557453501214</v>
      </c>
      <c r="Q291" s="136">
        <f t="shared" ca="1" si="91"/>
        <v>26.618557453501214</v>
      </c>
      <c r="R291" s="136">
        <f t="shared" ca="1" si="92"/>
        <v>2.6618557453501213</v>
      </c>
      <c r="S291" s="136">
        <f t="shared" ca="1" si="93"/>
        <v>2.6618557453501213</v>
      </c>
      <c r="T291" s="104">
        <f t="shared" ca="1" si="94"/>
        <v>0</v>
      </c>
      <c r="U291" s="87">
        <f t="shared" ca="1" si="95"/>
        <v>1214.4506512506252</v>
      </c>
      <c r="V291" s="104">
        <f t="shared" ca="1" si="96"/>
        <v>0</v>
      </c>
      <c r="W291" s="133">
        <f t="shared" ca="1" si="97"/>
        <v>14945.867655571634</v>
      </c>
      <c r="X291" s="104">
        <f t="shared" ca="1" si="98"/>
        <v>0</v>
      </c>
      <c r="Y291" s="135">
        <f t="shared" ca="1" si="99"/>
        <v>0</v>
      </c>
      <c r="AE291" s="104"/>
    </row>
    <row r="292" spans="1:31" x14ac:dyDescent="0.2">
      <c r="A292" s="98">
        <v>2</v>
      </c>
      <c r="B292" s="98">
        <v>0</v>
      </c>
      <c r="C292" s="98">
        <f t="shared" si="80"/>
        <v>6</v>
      </c>
      <c r="D292" s="98">
        <f t="shared" si="81"/>
        <v>5</v>
      </c>
      <c r="E292" s="98">
        <f t="shared" si="82"/>
        <v>2</v>
      </c>
      <c r="F292" s="118">
        <f t="shared" ca="1" si="83"/>
        <v>4.9318214399999991E-2</v>
      </c>
      <c r="G292" s="98">
        <v>0</v>
      </c>
      <c r="H292" s="98">
        <v>1</v>
      </c>
      <c r="I292" s="98">
        <v>5</v>
      </c>
      <c r="J292" s="118">
        <f t="shared" ca="1" si="84"/>
        <v>0</v>
      </c>
      <c r="K292" s="118">
        <f t="shared" ca="1" si="85"/>
        <v>0</v>
      </c>
      <c r="L292" s="133">
        <f t="shared" ca="1" si="86"/>
        <v>228</v>
      </c>
      <c r="M292" s="130">
        <f t="shared" ca="1" si="87"/>
        <v>772</v>
      </c>
      <c r="N292" s="100">
        <f t="shared" ca="1" si="88"/>
        <v>4</v>
      </c>
      <c r="O292" s="136">
        <f t="shared" ca="1" si="89"/>
        <v>2.6618557453501217</v>
      </c>
      <c r="P292" s="136">
        <f t="shared" ca="1" si="90"/>
        <v>26.618557453501214</v>
      </c>
      <c r="Q292" s="136">
        <f t="shared" ca="1" si="91"/>
        <v>26.618557453501214</v>
      </c>
      <c r="R292" s="136">
        <f t="shared" ca="1" si="92"/>
        <v>2.6618557453501213</v>
      </c>
      <c r="S292" s="136">
        <f t="shared" ca="1" si="93"/>
        <v>2.6618557453501213</v>
      </c>
      <c r="T292" s="104">
        <f t="shared" ca="1" si="94"/>
        <v>0</v>
      </c>
      <c r="U292" s="87">
        <f t="shared" ca="1" si="95"/>
        <v>1202.4506512506252</v>
      </c>
      <c r="V292" s="104">
        <f t="shared" ca="1" si="96"/>
        <v>0</v>
      </c>
      <c r="W292" s="133">
        <f t="shared" ca="1" si="97"/>
        <v>12810.743704775685</v>
      </c>
      <c r="X292" s="104">
        <f t="shared" ca="1" si="98"/>
        <v>0</v>
      </c>
      <c r="Y292" s="135">
        <f t="shared" ca="1" si="99"/>
        <v>0</v>
      </c>
      <c r="AE292" s="104"/>
    </row>
    <row r="293" spans="1:31" x14ac:dyDescent="0.2">
      <c r="A293" s="98">
        <v>2</v>
      </c>
      <c r="B293" s="98">
        <v>0</v>
      </c>
      <c r="C293" s="98">
        <f t="shared" si="80"/>
        <v>6</v>
      </c>
      <c r="D293" s="98">
        <f t="shared" si="81"/>
        <v>5</v>
      </c>
      <c r="E293" s="98">
        <f t="shared" si="82"/>
        <v>2</v>
      </c>
      <c r="F293" s="118">
        <f t="shared" ca="1" si="83"/>
        <v>4.9318214399999991E-2</v>
      </c>
      <c r="G293" s="98">
        <v>0</v>
      </c>
      <c r="H293" s="98">
        <v>1</v>
      </c>
      <c r="I293" s="98">
        <v>4</v>
      </c>
      <c r="J293" s="118">
        <f t="shared" ca="1" si="84"/>
        <v>0</v>
      </c>
      <c r="K293" s="118">
        <f t="shared" ca="1" si="85"/>
        <v>0</v>
      </c>
      <c r="L293" s="133">
        <f t="shared" ca="1" si="86"/>
        <v>216</v>
      </c>
      <c r="M293" s="130">
        <f t="shared" ca="1" si="87"/>
        <v>784</v>
      </c>
      <c r="N293" s="100">
        <f t="shared" ca="1" si="88"/>
        <v>4</v>
      </c>
      <c r="O293" s="136">
        <f t="shared" ca="1" si="89"/>
        <v>2.6618557453501217</v>
      </c>
      <c r="P293" s="136">
        <f t="shared" ca="1" si="90"/>
        <v>26.618557453501214</v>
      </c>
      <c r="Q293" s="136">
        <f t="shared" ca="1" si="91"/>
        <v>26.618557453501214</v>
      </c>
      <c r="R293" s="136">
        <f t="shared" ca="1" si="92"/>
        <v>2.6618557453501213</v>
      </c>
      <c r="S293" s="136">
        <f t="shared" ca="1" si="93"/>
        <v>2.6618557453501213</v>
      </c>
      <c r="T293" s="104">
        <f t="shared" ca="1" si="94"/>
        <v>0</v>
      </c>
      <c r="U293" s="87">
        <f t="shared" ca="1" si="95"/>
        <v>1190.4506512506252</v>
      </c>
      <c r="V293" s="104">
        <f t="shared" ca="1" si="96"/>
        <v>0</v>
      </c>
      <c r="W293" s="133">
        <f t="shared" ca="1" si="97"/>
        <v>10675.619753979738</v>
      </c>
      <c r="X293" s="104">
        <f t="shared" ca="1" si="98"/>
        <v>0</v>
      </c>
      <c r="Y293" s="135">
        <f t="shared" ca="1" si="99"/>
        <v>0</v>
      </c>
      <c r="AE293" s="104"/>
    </row>
    <row r="294" spans="1:31" x14ac:dyDescent="0.2">
      <c r="A294" s="98">
        <v>2</v>
      </c>
      <c r="B294" s="98">
        <v>0</v>
      </c>
      <c r="C294" s="98">
        <f t="shared" si="80"/>
        <v>6</v>
      </c>
      <c r="D294" s="98">
        <f t="shared" si="81"/>
        <v>5</v>
      </c>
      <c r="E294" s="98">
        <f t="shared" si="82"/>
        <v>2</v>
      </c>
      <c r="F294" s="118">
        <f t="shared" ca="1" si="83"/>
        <v>4.9318214399999991E-2</v>
      </c>
      <c r="G294" s="98">
        <v>0</v>
      </c>
      <c r="H294" s="98">
        <v>1</v>
      </c>
      <c r="I294" s="98">
        <v>3</v>
      </c>
      <c r="J294" s="118">
        <f t="shared" ca="1" si="84"/>
        <v>0</v>
      </c>
      <c r="K294" s="118">
        <f t="shared" ca="1" si="85"/>
        <v>0</v>
      </c>
      <c r="L294" s="133">
        <f t="shared" ca="1" si="86"/>
        <v>204</v>
      </c>
      <c r="M294" s="130">
        <f t="shared" ca="1" si="87"/>
        <v>796</v>
      </c>
      <c r="N294" s="100">
        <f t="shared" ca="1" si="88"/>
        <v>4</v>
      </c>
      <c r="O294" s="136">
        <f t="shared" ca="1" si="89"/>
        <v>2.6618557453501217</v>
      </c>
      <c r="P294" s="136">
        <f t="shared" ca="1" si="90"/>
        <v>26.618557453501214</v>
      </c>
      <c r="Q294" s="136">
        <f t="shared" ca="1" si="91"/>
        <v>26.618557453501214</v>
      </c>
      <c r="R294" s="136">
        <f t="shared" ca="1" si="92"/>
        <v>2.6618557453501213</v>
      </c>
      <c r="S294" s="136">
        <f t="shared" ca="1" si="93"/>
        <v>2.6618557453501213</v>
      </c>
      <c r="T294" s="104">
        <f t="shared" ca="1" si="94"/>
        <v>0</v>
      </c>
      <c r="U294" s="87">
        <f t="shared" ca="1" si="95"/>
        <v>1178.4506512506252</v>
      </c>
      <c r="V294" s="104">
        <f t="shared" ca="1" si="96"/>
        <v>0</v>
      </c>
      <c r="W294" s="133">
        <f t="shared" ca="1" si="97"/>
        <v>8540.4958031837905</v>
      </c>
      <c r="X294" s="104">
        <f t="shared" ca="1" si="98"/>
        <v>0</v>
      </c>
      <c r="Y294" s="135">
        <f t="shared" ca="1" si="99"/>
        <v>0</v>
      </c>
      <c r="AE294" s="104"/>
    </row>
    <row r="295" spans="1:31" x14ac:dyDescent="0.2">
      <c r="A295" s="98">
        <v>2</v>
      </c>
      <c r="B295" s="98">
        <v>0</v>
      </c>
      <c r="C295" s="98">
        <f t="shared" si="80"/>
        <v>6</v>
      </c>
      <c r="D295" s="98">
        <f t="shared" si="81"/>
        <v>5</v>
      </c>
      <c r="E295" s="98">
        <f t="shared" si="82"/>
        <v>2</v>
      </c>
      <c r="F295" s="118">
        <f t="shared" ca="1" si="83"/>
        <v>4.9318214399999991E-2</v>
      </c>
      <c r="G295" s="98">
        <v>0</v>
      </c>
      <c r="H295" s="98">
        <v>1</v>
      </c>
      <c r="I295" s="98">
        <v>2</v>
      </c>
      <c r="J295" s="118">
        <f t="shared" ca="1" si="84"/>
        <v>0</v>
      </c>
      <c r="K295" s="118">
        <f t="shared" ca="1" si="85"/>
        <v>0</v>
      </c>
      <c r="L295" s="133">
        <f t="shared" ca="1" si="86"/>
        <v>192</v>
      </c>
      <c r="M295" s="130">
        <f t="shared" ca="1" si="87"/>
        <v>808</v>
      </c>
      <c r="N295" s="100">
        <f t="shared" ca="1" si="88"/>
        <v>4</v>
      </c>
      <c r="O295" s="136">
        <f t="shared" ca="1" si="89"/>
        <v>2.6618557453501217</v>
      </c>
      <c r="P295" s="136">
        <f t="shared" ca="1" si="90"/>
        <v>26.618557453501214</v>
      </c>
      <c r="Q295" s="136">
        <f t="shared" ca="1" si="91"/>
        <v>26.618557453501214</v>
      </c>
      <c r="R295" s="136">
        <f t="shared" ca="1" si="92"/>
        <v>2.6618557453501213</v>
      </c>
      <c r="S295" s="136">
        <f t="shared" ca="1" si="93"/>
        <v>2.6618557453501213</v>
      </c>
      <c r="T295" s="104">
        <f t="shared" ca="1" si="94"/>
        <v>0</v>
      </c>
      <c r="U295" s="87">
        <f t="shared" ca="1" si="95"/>
        <v>1166.4506512506252</v>
      </c>
      <c r="V295" s="104">
        <f t="shared" ca="1" si="96"/>
        <v>0</v>
      </c>
      <c r="W295" s="133">
        <f t="shared" ca="1" si="97"/>
        <v>6405.3718523878433</v>
      </c>
      <c r="X295" s="104">
        <f t="shared" ca="1" si="98"/>
        <v>0</v>
      </c>
      <c r="Y295" s="135">
        <f t="shared" ca="1" si="99"/>
        <v>0</v>
      </c>
      <c r="AE295" s="104"/>
    </row>
    <row r="296" spans="1:31" x14ac:dyDescent="0.2">
      <c r="A296" s="98">
        <v>2</v>
      </c>
      <c r="B296" s="98">
        <v>0</v>
      </c>
      <c r="C296" s="98">
        <f t="shared" si="80"/>
        <v>6</v>
      </c>
      <c r="D296" s="98">
        <f t="shared" si="81"/>
        <v>5</v>
      </c>
      <c r="E296" s="98">
        <f t="shared" si="82"/>
        <v>2</v>
      </c>
      <c r="F296" s="118">
        <f t="shared" ca="1" si="83"/>
        <v>4.9318214399999991E-2</v>
      </c>
      <c r="G296" s="98">
        <v>0</v>
      </c>
      <c r="H296" s="98">
        <v>1</v>
      </c>
      <c r="I296" s="98">
        <v>1</v>
      </c>
      <c r="J296" s="118">
        <f t="shared" ca="1" si="84"/>
        <v>0</v>
      </c>
      <c r="K296" s="118">
        <f t="shared" ca="1" si="85"/>
        <v>0</v>
      </c>
      <c r="L296" s="133">
        <f t="shared" ca="1" si="86"/>
        <v>180</v>
      </c>
      <c r="M296" s="130">
        <f t="shared" ca="1" si="87"/>
        <v>820</v>
      </c>
      <c r="N296" s="100">
        <f t="shared" ca="1" si="88"/>
        <v>4</v>
      </c>
      <c r="O296" s="136">
        <f t="shared" ca="1" si="89"/>
        <v>2.6618557453501217</v>
      </c>
      <c r="P296" s="136">
        <f t="shared" ca="1" si="90"/>
        <v>26.618557453501214</v>
      </c>
      <c r="Q296" s="136">
        <f t="shared" ca="1" si="91"/>
        <v>26.618557453501214</v>
      </c>
      <c r="R296" s="136">
        <f t="shared" ca="1" si="92"/>
        <v>2.6618557453501213</v>
      </c>
      <c r="S296" s="136">
        <f t="shared" ca="1" si="93"/>
        <v>2.6618557453501213</v>
      </c>
      <c r="T296" s="104">
        <f t="shared" ca="1" si="94"/>
        <v>0</v>
      </c>
      <c r="U296" s="87">
        <f t="shared" ca="1" si="95"/>
        <v>1154.4506512506252</v>
      </c>
      <c r="V296" s="104">
        <f t="shared" ca="1" si="96"/>
        <v>0</v>
      </c>
      <c r="W296" s="133">
        <f t="shared" ca="1" si="97"/>
        <v>4270.2479015918952</v>
      </c>
      <c r="X296" s="104">
        <f t="shared" ca="1" si="98"/>
        <v>0</v>
      </c>
      <c r="Y296" s="135">
        <f t="shared" ca="1" si="99"/>
        <v>0</v>
      </c>
      <c r="AE296" s="104"/>
    </row>
    <row r="297" spans="1:31" x14ac:dyDescent="0.2">
      <c r="A297" s="98">
        <v>2</v>
      </c>
      <c r="B297" s="98">
        <v>0</v>
      </c>
      <c r="C297" s="98">
        <f t="shared" si="80"/>
        <v>6</v>
      </c>
      <c r="D297" s="98">
        <f t="shared" si="81"/>
        <v>5</v>
      </c>
      <c r="E297" s="98">
        <f t="shared" si="82"/>
        <v>2</v>
      </c>
      <c r="F297" s="118">
        <f t="shared" ca="1" si="83"/>
        <v>4.9318214399999991E-2</v>
      </c>
      <c r="G297" s="98">
        <v>0</v>
      </c>
      <c r="H297" s="98">
        <v>1</v>
      </c>
      <c r="I297" s="98">
        <v>0</v>
      </c>
      <c r="J297" s="118">
        <f t="shared" ca="1" si="84"/>
        <v>0</v>
      </c>
      <c r="K297" s="118">
        <f t="shared" ca="1" si="85"/>
        <v>0</v>
      </c>
      <c r="L297" s="133">
        <f t="shared" ca="1" si="86"/>
        <v>168</v>
      </c>
      <c r="M297" s="130">
        <f t="shared" ca="1" si="87"/>
        <v>832</v>
      </c>
      <c r="N297" s="100">
        <f t="shared" ca="1" si="88"/>
        <v>5</v>
      </c>
      <c r="O297" s="136">
        <f t="shared" ca="1" si="89"/>
        <v>3.2590583346360766</v>
      </c>
      <c r="P297" s="136">
        <f t="shared" ca="1" si="90"/>
        <v>28.410165221359076</v>
      </c>
      <c r="Q297" s="136">
        <f t="shared" ca="1" si="91"/>
        <v>26.618557453501214</v>
      </c>
      <c r="R297" s="136">
        <f t="shared" ca="1" si="92"/>
        <v>2.7514361337430144</v>
      </c>
      <c r="S297" s="136">
        <f t="shared" ca="1" si="93"/>
        <v>3.091543008341366</v>
      </c>
      <c r="T297" s="104">
        <f t="shared" ca="1" si="94"/>
        <v>0</v>
      </c>
      <c r="U297" s="87">
        <f t="shared" ca="1" si="95"/>
        <v>1294.1569825567776</v>
      </c>
      <c r="V297" s="104">
        <f t="shared" ca="1" si="96"/>
        <v>0</v>
      </c>
      <c r="W297" s="133">
        <f t="shared" ca="1" si="97"/>
        <v>2135.1239507959476</v>
      </c>
      <c r="X297" s="104">
        <f t="shared" ca="1" si="98"/>
        <v>0</v>
      </c>
      <c r="Y297" s="135">
        <f t="shared" ca="1" si="99"/>
        <v>0</v>
      </c>
      <c r="AE297" s="104"/>
    </row>
    <row r="298" spans="1:31" x14ac:dyDescent="0.2">
      <c r="A298" s="98">
        <v>2</v>
      </c>
      <c r="B298" s="98">
        <v>0</v>
      </c>
      <c r="C298" s="98">
        <f t="shared" si="80"/>
        <v>6</v>
      </c>
      <c r="D298" s="98">
        <f t="shared" si="81"/>
        <v>5</v>
      </c>
      <c r="E298" s="98">
        <f t="shared" si="82"/>
        <v>2</v>
      </c>
      <c r="F298" s="118">
        <f t="shared" ca="1" si="83"/>
        <v>4.9318214399999991E-2</v>
      </c>
      <c r="G298" s="98">
        <v>0</v>
      </c>
      <c r="H298" s="98">
        <v>0</v>
      </c>
      <c r="I298" s="98">
        <v>7</v>
      </c>
      <c r="J298" s="118">
        <f t="shared" si="84"/>
        <v>0</v>
      </c>
      <c r="K298" s="118">
        <f t="shared" ca="1" si="85"/>
        <v>0</v>
      </c>
      <c r="L298" s="133">
        <f t="shared" ca="1" si="86"/>
        <v>84</v>
      </c>
      <c r="M298" s="130">
        <f t="shared" ca="1" si="87"/>
        <v>916</v>
      </c>
      <c r="N298" s="100">
        <f t="shared" ca="1" si="88"/>
        <v>5</v>
      </c>
      <c r="O298" s="136">
        <f t="shared" ca="1" si="89"/>
        <v>3.2590583346360766</v>
      </c>
      <c r="P298" s="136">
        <f t="shared" ca="1" si="90"/>
        <v>32.590583346360766</v>
      </c>
      <c r="Q298" s="136">
        <f t="shared" ca="1" si="91"/>
        <v>32.590583346360766</v>
      </c>
      <c r="R298" s="136">
        <f t="shared" ca="1" si="92"/>
        <v>3.2590583346360766</v>
      </c>
      <c r="S298" s="136">
        <f t="shared" ca="1" si="93"/>
        <v>3.2590583346360766</v>
      </c>
      <c r="T298" s="104">
        <f t="shared" ca="1" si="94"/>
        <v>0</v>
      </c>
      <c r="U298" s="87">
        <f t="shared" ca="1" si="95"/>
        <v>1269.3003125517403</v>
      </c>
      <c r="V298" s="104">
        <f t="shared" ca="1" si="96"/>
        <v>0</v>
      </c>
      <c r="W298" s="133">
        <f t="shared" ca="1" si="97"/>
        <v>14945.867655571634</v>
      </c>
      <c r="X298" s="104">
        <f t="shared" ca="1" si="98"/>
        <v>0</v>
      </c>
      <c r="Y298" s="135">
        <f t="shared" ca="1" si="99"/>
        <v>0</v>
      </c>
      <c r="AE298" s="104"/>
    </row>
    <row r="299" spans="1:31" x14ac:dyDescent="0.2">
      <c r="A299" s="98">
        <v>2</v>
      </c>
      <c r="B299" s="98">
        <v>0</v>
      </c>
      <c r="C299" s="98">
        <f t="shared" si="80"/>
        <v>6</v>
      </c>
      <c r="D299" s="98">
        <f t="shared" si="81"/>
        <v>5</v>
      </c>
      <c r="E299" s="98">
        <f t="shared" si="82"/>
        <v>2</v>
      </c>
      <c r="F299" s="118">
        <f t="shared" ca="1" si="83"/>
        <v>4.9318214399999991E-2</v>
      </c>
      <c r="G299" s="98">
        <v>0</v>
      </c>
      <c r="H299" s="98">
        <v>0</v>
      </c>
      <c r="I299" s="98">
        <v>6</v>
      </c>
      <c r="J299" s="118">
        <f t="shared" si="84"/>
        <v>0</v>
      </c>
      <c r="K299" s="118">
        <f t="shared" ca="1" si="85"/>
        <v>0</v>
      </c>
      <c r="L299" s="133">
        <f t="shared" ca="1" si="86"/>
        <v>72</v>
      </c>
      <c r="M299" s="130">
        <f t="shared" ca="1" si="87"/>
        <v>928</v>
      </c>
      <c r="N299" s="100">
        <f t="shared" ca="1" si="88"/>
        <v>5</v>
      </c>
      <c r="O299" s="136">
        <f t="shared" ca="1" si="89"/>
        <v>3.2590583346360766</v>
      </c>
      <c r="P299" s="136">
        <f t="shared" ca="1" si="90"/>
        <v>32.590583346360766</v>
      </c>
      <c r="Q299" s="136">
        <f t="shared" ca="1" si="91"/>
        <v>32.590583346360766</v>
      </c>
      <c r="R299" s="136">
        <f t="shared" ca="1" si="92"/>
        <v>3.2590583346360766</v>
      </c>
      <c r="S299" s="136">
        <f t="shared" ca="1" si="93"/>
        <v>3.2590583346360766</v>
      </c>
      <c r="T299" s="104">
        <f t="shared" ca="1" si="94"/>
        <v>0</v>
      </c>
      <c r="U299" s="87">
        <f t="shared" ca="1" si="95"/>
        <v>1257.3003125517403</v>
      </c>
      <c r="V299" s="104">
        <f t="shared" ca="1" si="96"/>
        <v>0</v>
      </c>
      <c r="W299" s="133">
        <f t="shared" ca="1" si="97"/>
        <v>12810.743704775687</v>
      </c>
      <c r="X299" s="104">
        <f t="shared" ca="1" si="98"/>
        <v>0</v>
      </c>
      <c r="Y299" s="135">
        <f t="shared" ca="1" si="99"/>
        <v>0</v>
      </c>
      <c r="AE299" s="104"/>
    </row>
    <row r="300" spans="1:31" x14ac:dyDescent="0.2">
      <c r="A300" s="98">
        <v>2</v>
      </c>
      <c r="B300" s="98">
        <v>0</v>
      </c>
      <c r="C300" s="98">
        <f t="shared" si="80"/>
        <v>6</v>
      </c>
      <c r="D300" s="98">
        <f t="shared" si="81"/>
        <v>5</v>
      </c>
      <c r="E300" s="98">
        <f t="shared" si="82"/>
        <v>2</v>
      </c>
      <c r="F300" s="118">
        <f t="shared" ca="1" si="83"/>
        <v>4.9318214399999991E-2</v>
      </c>
      <c r="G300" s="98">
        <v>0</v>
      </c>
      <c r="H300" s="98">
        <v>0</v>
      </c>
      <c r="I300" s="98">
        <v>5</v>
      </c>
      <c r="J300" s="118">
        <f t="shared" ca="1" si="84"/>
        <v>3.8689046875000001E-2</v>
      </c>
      <c r="K300" s="118">
        <f t="shared" ca="1" si="85"/>
        <v>1.9080747087128996E-3</v>
      </c>
      <c r="L300" s="133">
        <f t="shared" ca="1" si="86"/>
        <v>60</v>
      </c>
      <c r="M300" s="130">
        <f t="shared" ca="1" si="87"/>
        <v>940</v>
      </c>
      <c r="N300" s="100">
        <f t="shared" ca="1" si="88"/>
        <v>5</v>
      </c>
      <c r="O300" s="136">
        <f t="shared" ca="1" si="89"/>
        <v>3.2590583346360766</v>
      </c>
      <c r="P300" s="136">
        <f t="shared" ca="1" si="90"/>
        <v>32.590583346360766</v>
      </c>
      <c r="Q300" s="136">
        <f t="shared" ca="1" si="91"/>
        <v>32.590583346360766</v>
      </c>
      <c r="R300" s="136">
        <f t="shared" ca="1" si="92"/>
        <v>3.2590583346360766</v>
      </c>
      <c r="S300" s="136">
        <f t="shared" ca="1" si="93"/>
        <v>3.2590583346360766</v>
      </c>
      <c r="T300" s="104">
        <f t="shared" ca="1" si="94"/>
        <v>6.2185267825390798E-3</v>
      </c>
      <c r="U300" s="87">
        <f t="shared" ca="1" si="95"/>
        <v>1245.3003125517403</v>
      </c>
      <c r="V300" s="104">
        <f t="shared" ca="1" si="96"/>
        <v>2.3761260311322445</v>
      </c>
      <c r="W300" s="133">
        <f t="shared" ca="1" si="97"/>
        <v>10675.619753979738</v>
      </c>
      <c r="X300" s="104">
        <f t="shared" ca="1" si="98"/>
        <v>20.369880052404564</v>
      </c>
      <c r="Y300" s="135">
        <f t="shared" ca="1" si="99"/>
        <v>0.11448448252277398</v>
      </c>
      <c r="AE300" s="104"/>
    </row>
    <row r="301" spans="1:31" x14ac:dyDescent="0.2">
      <c r="A301" s="98">
        <v>2</v>
      </c>
      <c r="B301" s="98">
        <v>0</v>
      </c>
      <c r="C301" s="98">
        <f t="shared" si="80"/>
        <v>6</v>
      </c>
      <c r="D301" s="98">
        <f t="shared" si="81"/>
        <v>5</v>
      </c>
      <c r="E301" s="98">
        <f t="shared" si="82"/>
        <v>2</v>
      </c>
      <c r="F301" s="118">
        <f t="shared" ca="1" si="83"/>
        <v>4.9318214399999991E-2</v>
      </c>
      <c r="G301" s="98">
        <v>0</v>
      </c>
      <c r="H301" s="98">
        <v>0</v>
      </c>
      <c r="I301" s="98">
        <v>4</v>
      </c>
      <c r="J301" s="118">
        <f t="shared" ca="1" si="84"/>
        <v>1.0181328125000009E-2</v>
      </c>
      <c r="K301" s="118">
        <f t="shared" ca="1" si="85"/>
        <v>5.0212492334550027E-4</v>
      </c>
      <c r="L301" s="133">
        <f t="shared" ca="1" si="86"/>
        <v>48</v>
      </c>
      <c r="M301" s="130">
        <f t="shared" ca="1" si="87"/>
        <v>952</v>
      </c>
      <c r="N301" s="100">
        <f t="shared" ca="1" si="88"/>
        <v>5</v>
      </c>
      <c r="O301" s="136">
        <f t="shared" ca="1" si="89"/>
        <v>3.2590583346360766</v>
      </c>
      <c r="P301" s="136">
        <f t="shared" ca="1" si="90"/>
        <v>32.590583346360766</v>
      </c>
      <c r="Q301" s="136">
        <f t="shared" ca="1" si="91"/>
        <v>32.590583346360766</v>
      </c>
      <c r="R301" s="136">
        <f t="shared" ca="1" si="92"/>
        <v>3.2590583346360766</v>
      </c>
      <c r="S301" s="136">
        <f t="shared" ca="1" si="93"/>
        <v>3.2590583346360766</v>
      </c>
      <c r="T301" s="104">
        <f t="shared" ca="1" si="94"/>
        <v>1.6364544164576538E-3</v>
      </c>
      <c r="U301" s="87">
        <f t="shared" ca="1" si="95"/>
        <v>1233.3003125517403</v>
      </c>
      <c r="V301" s="104">
        <f t="shared" ca="1" si="96"/>
        <v>0.61927082490202412</v>
      </c>
      <c r="W301" s="133">
        <f t="shared" ca="1" si="97"/>
        <v>8540.4958031837905</v>
      </c>
      <c r="X301" s="104">
        <f t="shared" ca="1" si="98"/>
        <v>4.2883958005062279</v>
      </c>
      <c r="Y301" s="135">
        <f t="shared" ca="1" si="99"/>
        <v>2.4101996320584011E-2</v>
      </c>
      <c r="AE301" s="104"/>
    </row>
    <row r="302" spans="1:31" x14ac:dyDescent="0.2">
      <c r="A302" s="98">
        <v>2</v>
      </c>
      <c r="B302" s="98">
        <v>0</v>
      </c>
      <c r="C302" s="98">
        <f t="shared" si="80"/>
        <v>6</v>
      </c>
      <c r="D302" s="98">
        <f t="shared" si="81"/>
        <v>5</v>
      </c>
      <c r="E302" s="98">
        <f t="shared" si="82"/>
        <v>2</v>
      </c>
      <c r="F302" s="118">
        <f t="shared" ca="1" si="83"/>
        <v>4.9318214399999991E-2</v>
      </c>
      <c r="G302" s="98">
        <v>0</v>
      </c>
      <c r="H302" s="98">
        <v>0</v>
      </c>
      <c r="I302" s="98">
        <v>3</v>
      </c>
      <c r="J302" s="118">
        <f t="shared" ca="1" si="84"/>
        <v>1.0717187500000017E-3</v>
      </c>
      <c r="K302" s="118">
        <f t="shared" ca="1" si="85"/>
        <v>5.2855255089000075E-5</v>
      </c>
      <c r="L302" s="133">
        <f t="shared" ca="1" si="86"/>
        <v>36</v>
      </c>
      <c r="M302" s="130">
        <f t="shared" ca="1" si="87"/>
        <v>964</v>
      </c>
      <c r="N302" s="100">
        <f t="shared" ca="1" si="88"/>
        <v>5</v>
      </c>
      <c r="O302" s="136">
        <f t="shared" ca="1" si="89"/>
        <v>3.2590583346360766</v>
      </c>
      <c r="P302" s="136">
        <f t="shared" ca="1" si="90"/>
        <v>32.590583346360766</v>
      </c>
      <c r="Q302" s="136">
        <f t="shared" ca="1" si="91"/>
        <v>32.590583346360766</v>
      </c>
      <c r="R302" s="136">
        <f t="shared" ca="1" si="92"/>
        <v>3.2590583346360766</v>
      </c>
      <c r="S302" s="136">
        <f t="shared" ca="1" si="93"/>
        <v>3.2590583346360766</v>
      </c>
      <c r="T302" s="104">
        <f t="shared" ca="1" si="94"/>
        <v>1.722583596271216E-4</v>
      </c>
      <c r="U302" s="87">
        <f t="shared" ca="1" si="95"/>
        <v>1221.3003125517403</v>
      </c>
      <c r="V302" s="104">
        <f t="shared" ca="1" si="96"/>
        <v>6.4552139560197758E-2</v>
      </c>
      <c r="W302" s="133">
        <f t="shared" ca="1" si="97"/>
        <v>6405.3718523878433</v>
      </c>
      <c r="X302" s="104">
        <f t="shared" ca="1" si="98"/>
        <v>0.3385575631978604</v>
      </c>
      <c r="Y302" s="135">
        <f t="shared" ca="1" si="99"/>
        <v>1.9027891832040027E-3</v>
      </c>
      <c r="AE302" s="104"/>
    </row>
    <row r="303" spans="1:31" x14ac:dyDescent="0.2">
      <c r="A303" s="98">
        <v>2</v>
      </c>
      <c r="B303" s="98">
        <v>0</v>
      </c>
      <c r="C303" s="98">
        <f t="shared" si="80"/>
        <v>6</v>
      </c>
      <c r="D303" s="98">
        <f t="shared" si="81"/>
        <v>5</v>
      </c>
      <c r="E303" s="98">
        <f t="shared" si="82"/>
        <v>2</v>
      </c>
      <c r="F303" s="118">
        <f t="shared" ca="1" si="83"/>
        <v>4.9318214399999991E-2</v>
      </c>
      <c r="G303" s="98">
        <v>0</v>
      </c>
      <c r="H303" s="98">
        <v>0</v>
      </c>
      <c r="I303" s="98">
        <v>2</v>
      </c>
      <c r="J303" s="118">
        <f t="shared" ca="1" si="84"/>
        <v>5.6406250000000155E-5</v>
      </c>
      <c r="K303" s="118">
        <f t="shared" ca="1" si="85"/>
        <v>2.7818555310000069E-6</v>
      </c>
      <c r="L303" s="133">
        <f t="shared" ca="1" si="86"/>
        <v>24</v>
      </c>
      <c r="M303" s="130">
        <f t="shared" ca="1" si="87"/>
        <v>976</v>
      </c>
      <c r="N303" s="100">
        <f t="shared" ca="1" si="88"/>
        <v>5</v>
      </c>
      <c r="O303" s="136">
        <f t="shared" ca="1" si="89"/>
        <v>3.2590583346360766</v>
      </c>
      <c r="P303" s="136">
        <f t="shared" ca="1" si="90"/>
        <v>32.590583346360766</v>
      </c>
      <c r="Q303" s="136">
        <f t="shared" ca="1" si="91"/>
        <v>32.590583346360766</v>
      </c>
      <c r="R303" s="136">
        <f t="shared" ca="1" si="92"/>
        <v>3.2590583346360766</v>
      </c>
      <c r="S303" s="136">
        <f t="shared" ca="1" si="93"/>
        <v>3.2590583346360766</v>
      </c>
      <c r="T303" s="104">
        <f t="shared" ca="1" si="94"/>
        <v>9.0662294540590408E-6</v>
      </c>
      <c r="U303" s="87">
        <f t="shared" ca="1" si="95"/>
        <v>1209.3003125517403</v>
      </c>
      <c r="V303" s="104">
        <f t="shared" ca="1" si="96"/>
        <v>3.3640987631120959E-3</v>
      </c>
      <c r="W303" s="133">
        <f t="shared" ca="1" si="97"/>
        <v>4270.2479015918952</v>
      </c>
      <c r="X303" s="104">
        <f t="shared" ca="1" si="98"/>
        <v>1.1879212743784588E-2</v>
      </c>
      <c r="Y303" s="135">
        <f t="shared" ca="1" si="99"/>
        <v>6.6764532744000173E-5</v>
      </c>
      <c r="AE303" s="104"/>
    </row>
    <row r="304" spans="1:31" x14ac:dyDescent="0.2">
      <c r="A304" s="98">
        <v>2</v>
      </c>
      <c r="B304" s="98">
        <v>0</v>
      </c>
      <c r="C304" s="98">
        <f t="shared" si="80"/>
        <v>6</v>
      </c>
      <c r="D304" s="98">
        <f t="shared" si="81"/>
        <v>5</v>
      </c>
      <c r="E304" s="98">
        <f t="shared" si="82"/>
        <v>2</v>
      </c>
      <c r="F304" s="118">
        <f t="shared" ca="1" si="83"/>
        <v>4.9318214399999991E-2</v>
      </c>
      <c r="G304" s="98">
        <v>0</v>
      </c>
      <c r="H304" s="98">
        <v>0</v>
      </c>
      <c r="I304" s="98">
        <v>1</v>
      </c>
      <c r="J304" s="118">
        <f t="shared" ca="1" si="84"/>
        <v>1.4843750000000054E-6</v>
      </c>
      <c r="K304" s="118">
        <f t="shared" ca="1" si="85"/>
        <v>7.3206724500000246E-8</v>
      </c>
      <c r="L304" s="133">
        <f t="shared" ca="1" si="86"/>
        <v>12</v>
      </c>
      <c r="M304" s="130">
        <f t="shared" ca="1" si="87"/>
        <v>988</v>
      </c>
      <c r="N304" s="100">
        <f t="shared" ca="1" si="88"/>
        <v>5</v>
      </c>
      <c r="O304" s="136">
        <f t="shared" ca="1" si="89"/>
        <v>3.2590583346360766</v>
      </c>
      <c r="P304" s="136">
        <f t="shared" ca="1" si="90"/>
        <v>32.590583346360766</v>
      </c>
      <c r="Q304" s="136">
        <f t="shared" ca="1" si="91"/>
        <v>32.590583346360766</v>
      </c>
      <c r="R304" s="136">
        <f t="shared" ca="1" si="92"/>
        <v>3.2590583346360766</v>
      </c>
      <c r="S304" s="136">
        <f t="shared" ca="1" si="93"/>
        <v>3.2590583346360766</v>
      </c>
      <c r="T304" s="104">
        <f t="shared" ca="1" si="94"/>
        <v>2.3858498563313287E-7</v>
      </c>
      <c r="U304" s="87">
        <f t="shared" ca="1" si="95"/>
        <v>1197.3003125517403</v>
      </c>
      <c r="V304" s="104">
        <f t="shared" ca="1" si="96"/>
        <v>8.7650434124739442E-5</v>
      </c>
      <c r="W304" s="133">
        <f t="shared" ca="1" si="97"/>
        <v>2135.1239507959476</v>
      </c>
      <c r="X304" s="104">
        <f t="shared" ca="1" si="98"/>
        <v>1.5630543083927103E-4</v>
      </c>
      <c r="Y304" s="135">
        <f t="shared" ca="1" si="99"/>
        <v>8.7848069400000296E-7</v>
      </c>
      <c r="AE304" s="104"/>
    </row>
    <row r="305" spans="1:31" x14ac:dyDescent="0.2">
      <c r="A305" s="98">
        <v>2</v>
      </c>
      <c r="B305" s="98">
        <v>0</v>
      </c>
      <c r="C305" s="98">
        <f t="shared" si="80"/>
        <v>6</v>
      </c>
      <c r="D305" s="98">
        <f t="shared" si="81"/>
        <v>5</v>
      </c>
      <c r="E305" s="98">
        <f t="shared" si="82"/>
        <v>2</v>
      </c>
      <c r="F305" s="118">
        <f t="shared" ca="1" si="83"/>
        <v>4.9318214399999991E-2</v>
      </c>
      <c r="G305" s="98">
        <v>0</v>
      </c>
      <c r="H305" s="98">
        <v>0</v>
      </c>
      <c r="I305" s="98">
        <v>0</v>
      </c>
      <c r="J305" s="118">
        <f t="shared" ca="1" si="84"/>
        <v>1.5625000000000072E-8</v>
      </c>
      <c r="K305" s="118">
        <f t="shared" ca="1" si="85"/>
        <v>7.7059710000000342E-10</v>
      </c>
      <c r="L305" s="133">
        <f t="shared" ca="1" si="86"/>
        <v>0</v>
      </c>
      <c r="M305" s="130">
        <f t="shared" ca="1" si="87"/>
        <v>1000</v>
      </c>
      <c r="N305" s="100">
        <f t="shared" ca="1" si="88"/>
        <v>5</v>
      </c>
      <c r="O305" s="136">
        <f t="shared" ca="1" si="89"/>
        <v>3.2590583346360766</v>
      </c>
      <c r="P305" s="136">
        <f t="shared" ca="1" si="90"/>
        <v>32.590583346360766</v>
      </c>
      <c r="Q305" s="136">
        <f t="shared" ca="1" si="91"/>
        <v>32.590583346360766</v>
      </c>
      <c r="R305" s="136">
        <f t="shared" ca="1" si="92"/>
        <v>3.2590583346360766</v>
      </c>
      <c r="S305" s="136">
        <f t="shared" ca="1" si="93"/>
        <v>3.2590583346360766</v>
      </c>
      <c r="T305" s="104">
        <f t="shared" ca="1" si="94"/>
        <v>2.5114209014014014E-9</v>
      </c>
      <c r="U305" s="87">
        <f t="shared" ca="1" si="95"/>
        <v>1185.3003125517403</v>
      </c>
      <c r="V305" s="104">
        <f t="shared" ca="1" si="96"/>
        <v>9.1338898348146874E-7</v>
      </c>
      <c r="W305" s="133">
        <f t="shared" ca="1" si="97"/>
        <v>0</v>
      </c>
      <c r="X305" s="104">
        <f t="shared" ca="1" si="98"/>
        <v>0</v>
      </c>
      <c r="Y305" s="135">
        <f t="shared" ca="1" si="99"/>
        <v>0</v>
      </c>
      <c r="AE305" s="104"/>
    </row>
    <row r="306" spans="1:31" x14ac:dyDescent="0.2">
      <c r="A306" s="98">
        <v>2</v>
      </c>
      <c r="B306" s="98">
        <v>1</v>
      </c>
      <c r="C306" s="98">
        <f t="shared" si="80"/>
        <v>7</v>
      </c>
      <c r="D306" s="98">
        <f t="shared" si="81"/>
        <v>6</v>
      </c>
      <c r="E306" s="98">
        <f t="shared" si="82"/>
        <v>2</v>
      </c>
      <c r="F306" s="118">
        <f t="shared" ca="1" si="83"/>
        <v>2.7741495599999996E-2</v>
      </c>
      <c r="G306" s="98">
        <v>1</v>
      </c>
      <c r="H306" s="98">
        <v>1</v>
      </c>
      <c r="I306" s="98">
        <v>7</v>
      </c>
      <c r="J306" s="118">
        <f t="shared" si="84"/>
        <v>0</v>
      </c>
      <c r="K306" s="118">
        <f t="shared" ca="1" si="85"/>
        <v>0</v>
      </c>
      <c r="L306" s="133">
        <f t="shared" ca="1" si="86"/>
        <v>420</v>
      </c>
      <c r="M306" s="130">
        <f t="shared" ca="1" si="87"/>
        <v>580</v>
      </c>
      <c r="N306" s="100">
        <f t="shared" ca="1" si="88"/>
        <v>3</v>
      </c>
      <c r="O306" s="136">
        <f t="shared" ca="1" si="89"/>
        <v>2.0946097612518035</v>
      </c>
      <c r="P306" s="136">
        <f t="shared" ca="1" si="90"/>
        <v>20.946097612518034</v>
      </c>
      <c r="Q306" s="136">
        <f t="shared" ca="1" si="91"/>
        <v>20.946097612518034</v>
      </c>
      <c r="R306" s="136">
        <f t="shared" ca="1" si="92"/>
        <v>2.0946097612518035</v>
      </c>
      <c r="S306" s="136">
        <f t="shared" ca="1" si="93"/>
        <v>2.0946097612518035</v>
      </c>
      <c r="T306" s="104">
        <f t="shared" ca="1" si="94"/>
        <v>0</v>
      </c>
      <c r="U306" s="87">
        <f t="shared" ca="1" si="95"/>
        <v>1194.1775349459019</v>
      </c>
      <c r="V306" s="104">
        <f t="shared" ca="1" si="96"/>
        <v>0</v>
      </c>
      <c r="W306" s="133">
        <f t="shared" ca="1" si="97"/>
        <v>19493.681670767</v>
      </c>
      <c r="X306" s="104">
        <f t="shared" ca="1" si="98"/>
        <v>0</v>
      </c>
      <c r="Y306" s="135">
        <f t="shared" ca="1" si="99"/>
        <v>0</v>
      </c>
      <c r="AE306" s="104"/>
    </row>
    <row r="307" spans="1:31" x14ac:dyDescent="0.2">
      <c r="A307" s="98">
        <v>2</v>
      </c>
      <c r="B307" s="98">
        <v>1</v>
      </c>
      <c r="C307" s="98">
        <f t="shared" si="80"/>
        <v>7</v>
      </c>
      <c r="D307" s="98">
        <f t="shared" si="81"/>
        <v>6</v>
      </c>
      <c r="E307" s="98">
        <f t="shared" si="82"/>
        <v>2</v>
      </c>
      <c r="F307" s="118">
        <f t="shared" ca="1" si="83"/>
        <v>2.7741495599999996E-2</v>
      </c>
      <c r="G307" s="98">
        <v>1</v>
      </c>
      <c r="H307" s="98">
        <v>1</v>
      </c>
      <c r="I307" s="98">
        <v>6</v>
      </c>
      <c r="J307" s="118">
        <f t="shared" ca="1" si="84"/>
        <v>0</v>
      </c>
      <c r="K307" s="118">
        <f t="shared" ca="1" si="85"/>
        <v>0</v>
      </c>
      <c r="L307" s="133">
        <f t="shared" ca="1" si="86"/>
        <v>408</v>
      </c>
      <c r="M307" s="130">
        <f t="shared" ca="1" si="87"/>
        <v>592</v>
      </c>
      <c r="N307" s="100">
        <f t="shared" ca="1" si="88"/>
        <v>3</v>
      </c>
      <c r="O307" s="136">
        <f t="shared" ca="1" si="89"/>
        <v>2.0946097612518035</v>
      </c>
      <c r="P307" s="136">
        <f t="shared" ca="1" si="90"/>
        <v>20.946097612518034</v>
      </c>
      <c r="Q307" s="136">
        <f t="shared" ca="1" si="91"/>
        <v>20.946097612518034</v>
      </c>
      <c r="R307" s="136">
        <f t="shared" ca="1" si="92"/>
        <v>2.0946097612518035</v>
      </c>
      <c r="S307" s="136">
        <f t="shared" ca="1" si="93"/>
        <v>2.0946097612518035</v>
      </c>
      <c r="T307" s="104">
        <f t="shared" ca="1" si="94"/>
        <v>0</v>
      </c>
      <c r="U307" s="87">
        <f t="shared" ca="1" si="95"/>
        <v>1182.1775349459019</v>
      </c>
      <c r="V307" s="104">
        <f t="shared" ca="1" si="96"/>
        <v>0</v>
      </c>
      <c r="W307" s="133">
        <f t="shared" ca="1" si="97"/>
        <v>17358.557719971053</v>
      </c>
      <c r="X307" s="104">
        <f t="shared" ca="1" si="98"/>
        <v>0</v>
      </c>
      <c r="Y307" s="135">
        <f t="shared" ca="1" si="99"/>
        <v>0</v>
      </c>
      <c r="AE307" s="104"/>
    </row>
    <row r="308" spans="1:31" x14ac:dyDescent="0.2">
      <c r="A308" s="98">
        <v>2</v>
      </c>
      <c r="B308" s="98">
        <v>1</v>
      </c>
      <c r="C308" s="98">
        <f t="shared" si="80"/>
        <v>7</v>
      </c>
      <c r="D308" s="98">
        <f t="shared" si="81"/>
        <v>6</v>
      </c>
      <c r="E308" s="98">
        <f t="shared" si="82"/>
        <v>2</v>
      </c>
      <c r="F308" s="118">
        <f t="shared" ca="1" si="83"/>
        <v>2.7741495599999996E-2</v>
      </c>
      <c r="G308" s="98">
        <v>1</v>
      </c>
      <c r="H308" s="98">
        <v>1</v>
      </c>
      <c r="I308" s="98">
        <v>5</v>
      </c>
      <c r="J308" s="118">
        <f t="shared" ca="1" si="84"/>
        <v>0</v>
      </c>
      <c r="K308" s="118">
        <f t="shared" ca="1" si="85"/>
        <v>0</v>
      </c>
      <c r="L308" s="133">
        <f t="shared" ca="1" si="86"/>
        <v>396</v>
      </c>
      <c r="M308" s="130">
        <f t="shared" ca="1" si="87"/>
        <v>604</v>
      </c>
      <c r="N308" s="100">
        <f t="shared" ca="1" si="88"/>
        <v>3</v>
      </c>
      <c r="O308" s="136">
        <f t="shared" ca="1" si="89"/>
        <v>2.0946097612518035</v>
      </c>
      <c r="P308" s="136">
        <f t="shared" ca="1" si="90"/>
        <v>20.946097612518034</v>
      </c>
      <c r="Q308" s="136">
        <f t="shared" ca="1" si="91"/>
        <v>20.946097612518034</v>
      </c>
      <c r="R308" s="136">
        <f t="shared" ca="1" si="92"/>
        <v>2.0946097612518035</v>
      </c>
      <c r="S308" s="136">
        <f t="shared" ca="1" si="93"/>
        <v>2.0946097612518035</v>
      </c>
      <c r="T308" s="104">
        <f t="shared" ca="1" si="94"/>
        <v>0</v>
      </c>
      <c r="U308" s="87">
        <f t="shared" ca="1" si="95"/>
        <v>1170.1775349459019</v>
      </c>
      <c r="V308" s="104">
        <f t="shared" ca="1" si="96"/>
        <v>0</v>
      </c>
      <c r="W308" s="133">
        <f t="shared" ca="1" si="97"/>
        <v>15223.433769175106</v>
      </c>
      <c r="X308" s="104">
        <f t="shared" ca="1" si="98"/>
        <v>0</v>
      </c>
      <c r="Y308" s="135">
        <f t="shared" ca="1" si="99"/>
        <v>0</v>
      </c>
      <c r="AE308" s="104"/>
    </row>
    <row r="309" spans="1:31" x14ac:dyDescent="0.2">
      <c r="A309" s="98">
        <v>2</v>
      </c>
      <c r="B309" s="98">
        <v>1</v>
      </c>
      <c r="C309" s="98">
        <f t="shared" si="80"/>
        <v>7</v>
      </c>
      <c r="D309" s="98">
        <f t="shared" si="81"/>
        <v>6</v>
      </c>
      <c r="E309" s="98">
        <f t="shared" si="82"/>
        <v>2</v>
      </c>
      <c r="F309" s="118">
        <f t="shared" ca="1" si="83"/>
        <v>2.7741495599999996E-2</v>
      </c>
      <c r="G309" s="98">
        <v>1</v>
      </c>
      <c r="H309" s="98">
        <v>1</v>
      </c>
      <c r="I309" s="98">
        <v>4</v>
      </c>
      <c r="J309" s="118">
        <f t="shared" ca="1" si="84"/>
        <v>0</v>
      </c>
      <c r="K309" s="118">
        <f t="shared" ca="1" si="85"/>
        <v>0</v>
      </c>
      <c r="L309" s="133">
        <f t="shared" ca="1" si="86"/>
        <v>384</v>
      </c>
      <c r="M309" s="130">
        <f t="shared" ca="1" si="87"/>
        <v>616</v>
      </c>
      <c r="N309" s="100">
        <f t="shared" ca="1" si="88"/>
        <v>3</v>
      </c>
      <c r="O309" s="136">
        <f t="shared" ca="1" si="89"/>
        <v>2.0946097612518035</v>
      </c>
      <c r="P309" s="136">
        <f t="shared" ca="1" si="90"/>
        <v>20.946097612518034</v>
      </c>
      <c r="Q309" s="136">
        <f t="shared" ca="1" si="91"/>
        <v>20.946097612518034</v>
      </c>
      <c r="R309" s="136">
        <f t="shared" ca="1" si="92"/>
        <v>2.0946097612518035</v>
      </c>
      <c r="S309" s="136">
        <f t="shared" ca="1" si="93"/>
        <v>2.0946097612518035</v>
      </c>
      <c r="T309" s="104">
        <f t="shared" ca="1" si="94"/>
        <v>0</v>
      </c>
      <c r="U309" s="87">
        <f t="shared" ca="1" si="95"/>
        <v>1158.1775349459019</v>
      </c>
      <c r="V309" s="104">
        <f t="shared" ca="1" si="96"/>
        <v>0</v>
      </c>
      <c r="W309" s="133">
        <f t="shared" ca="1" si="97"/>
        <v>13088.309818379159</v>
      </c>
      <c r="X309" s="104">
        <f t="shared" ca="1" si="98"/>
        <v>0</v>
      </c>
      <c r="Y309" s="135">
        <f t="shared" ca="1" si="99"/>
        <v>0</v>
      </c>
      <c r="AE309" s="104"/>
    </row>
    <row r="310" spans="1:31" x14ac:dyDescent="0.2">
      <c r="A310" s="98">
        <v>2</v>
      </c>
      <c r="B310" s="98">
        <v>1</v>
      </c>
      <c r="C310" s="98">
        <f t="shared" si="80"/>
        <v>7</v>
      </c>
      <c r="D310" s="98">
        <f t="shared" si="81"/>
        <v>6</v>
      </c>
      <c r="E310" s="98">
        <f t="shared" si="82"/>
        <v>2</v>
      </c>
      <c r="F310" s="118">
        <f t="shared" ca="1" si="83"/>
        <v>2.7741495599999996E-2</v>
      </c>
      <c r="G310" s="98">
        <v>1</v>
      </c>
      <c r="H310" s="98">
        <v>1</v>
      </c>
      <c r="I310" s="98">
        <v>3</v>
      </c>
      <c r="J310" s="118">
        <f t="shared" ca="1" si="84"/>
        <v>0</v>
      </c>
      <c r="K310" s="118">
        <f t="shared" ca="1" si="85"/>
        <v>0</v>
      </c>
      <c r="L310" s="133">
        <f t="shared" ca="1" si="86"/>
        <v>372</v>
      </c>
      <c r="M310" s="130">
        <f t="shared" ca="1" si="87"/>
        <v>628</v>
      </c>
      <c r="N310" s="100">
        <f t="shared" ca="1" si="88"/>
        <v>4</v>
      </c>
      <c r="O310" s="136">
        <f t="shared" ca="1" si="89"/>
        <v>2.6618557453501217</v>
      </c>
      <c r="P310" s="136">
        <f t="shared" ca="1" si="90"/>
        <v>24.349573517107945</v>
      </c>
      <c r="Q310" s="136">
        <f t="shared" ca="1" si="91"/>
        <v>20.946097612518034</v>
      </c>
      <c r="R310" s="136">
        <f t="shared" ca="1" si="92"/>
        <v>2.2647835564812988</v>
      </c>
      <c r="S310" s="136">
        <f t="shared" ca="1" si="93"/>
        <v>2.5308219230234101</v>
      </c>
      <c r="T310" s="104">
        <f t="shared" ca="1" si="94"/>
        <v>0</v>
      </c>
      <c r="U310" s="87">
        <f t="shared" ca="1" si="95"/>
        <v>1300.1875613842344</v>
      </c>
      <c r="V310" s="104">
        <f t="shared" ca="1" si="96"/>
        <v>0</v>
      </c>
      <c r="W310" s="133">
        <f t="shared" ca="1" si="97"/>
        <v>10953.185867583212</v>
      </c>
      <c r="X310" s="104">
        <f t="shared" ca="1" si="98"/>
        <v>0</v>
      </c>
      <c r="Y310" s="135">
        <f t="shared" ca="1" si="99"/>
        <v>0</v>
      </c>
      <c r="AE310" s="104"/>
    </row>
    <row r="311" spans="1:31" x14ac:dyDescent="0.2">
      <c r="A311" s="98">
        <v>2</v>
      </c>
      <c r="B311" s="98">
        <v>1</v>
      </c>
      <c r="C311" s="98">
        <f t="shared" si="80"/>
        <v>7</v>
      </c>
      <c r="D311" s="98">
        <f t="shared" si="81"/>
        <v>6</v>
      </c>
      <c r="E311" s="98">
        <f t="shared" si="82"/>
        <v>2</v>
      </c>
      <c r="F311" s="118">
        <f t="shared" ca="1" si="83"/>
        <v>2.7741495599999996E-2</v>
      </c>
      <c r="G311" s="98">
        <v>1</v>
      </c>
      <c r="H311" s="98">
        <v>1</v>
      </c>
      <c r="I311" s="98">
        <v>2</v>
      </c>
      <c r="J311" s="118">
        <f t="shared" ca="1" si="84"/>
        <v>0</v>
      </c>
      <c r="K311" s="118">
        <f t="shared" ca="1" si="85"/>
        <v>0</v>
      </c>
      <c r="L311" s="133">
        <f t="shared" ca="1" si="86"/>
        <v>360</v>
      </c>
      <c r="M311" s="130">
        <f t="shared" ca="1" si="87"/>
        <v>640</v>
      </c>
      <c r="N311" s="100">
        <f t="shared" ca="1" si="88"/>
        <v>4</v>
      </c>
      <c r="O311" s="136">
        <f t="shared" ca="1" si="89"/>
        <v>2.6618557453501217</v>
      </c>
      <c r="P311" s="136">
        <f t="shared" ca="1" si="90"/>
        <v>26.618557453501214</v>
      </c>
      <c r="Q311" s="136">
        <f t="shared" ca="1" si="91"/>
        <v>25.48406548530458</v>
      </c>
      <c r="R311" s="136">
        <f t="shared" ca="1" si="92"/>
        <v>2.6051311469402898</v>
      </c>
      <c r="S311" s="136">
        <f t="shared" ca="1" si="93"/>
        <v>2.6431366278748771</v>
      </c>
      <c r="T311" s="104">
        <f t="shared" ca="1" si="94"/>
        <v>0</v>
      </c>
      <c r="U311" s="87">
        <f t="shared" ca="1" si="95"/>
        <v>1327.8416384125694</v>
      </c>
      <c r="V311" s="104">
        <f t="shared" ca="1" si="96"/>
        <v>0</v>
      </c>
      <c r="W311" s="133">
        <f t="shared" ca="1" si="97"/>
        <v>8818.0619167872646</v>
      </c>
      <c r="X311" s="104">
        <f t="shared" ca="1" si="98"/>
        <v>0</v>
      </c>
      <c r="Y311" s="135">
        <f t="shared" ca="1" si="99"/>
        <v>0</v>
      </c>
      <c r="AE311" s="104"/>
    </row>
    <row r="312" spans="1:31" x14ac:dyDescent="0.2">
      <c r="A312" s="98">
        <v>2</v>
      </c>
      <c r="B312" s="98">
        <v>1</v>
      </c>
      <c r="C312" s="98">
        <f t="shared" si="80"/>
        <v>7</v>
      </c>
      <c r="D312" s="98">
        <f t="shared" si="81"/>
        <v>6</v>
      </c>
      <c r="E312" s="98">
        <f t="shared" si="82"/>
        <v>2</v>
      </c>
      <c r="F312" s="118">
        <f t="shared" ca="1" si="83"/>
        <v>2.7741495599999996E-2</v>
      </c>
      <c r="G312" s="98">
        <v>1</v>
      </c>
      <c r="H312" s="98">
        <v>1</v>
      </c>
      <c r="I312" s="98">
        <v>1</v>
      </c>
      <c r="J312" s="118">
        <f t="shared" ca="1" si="84"/>
        <v>0</v>
      </c>
      <c r="K312" s="118">
        <f t="shared" ca="1" si="85"/>
        <v>0</v>
      </c>
      <c r="L312" s="133">
        <f t="shared" ca="1" si="86"/>
        <v>348</v>
      </c>
      <c r="M312" s="130">
        <f t="shared" ca="1" si="87"/>
        <v>652</v>
      </c>
      <c r="N312" s="100">
        <f t="shared" ca="1" si="88"/>
        <v>4</v>
      </c>
      <c r="O312" s="136">
        <f t="shared" ca="1" si="89"/>
        <v>2.6618557453501217</v>
      </c>
      <c r="P312" s="136">
        <f t="shared" ca="1" si="90"/>
        <v>26.618557453501214</v>
      </c>
      <c r="Q312" s="136">
        <f t="shared" ca="1" si="91"/>
        <v>26.618557453501214</v>
      </c>
      <c r="R312" s="136">
        <f t="shared" ca="1" si="92"/>
        <v>2.6618557453501213</v>
      </c>
      <c r="S312" s="136">
        <f t="shared" ca="1" si="93"/>
        <v>2.6618557453501213</v>
      </c>
      <c r="T312" s="104">
        <f t="shared" ca="1" si="94"/>
        <v>0</v>
      </c>
      <c r="U312" s="87">
        <f t="shared" ca="1" si="95"/>
        <v>1322.4506512506252</v>
      </c>
      <c r="V312" s="104">
        <f t="shared" ca="1" si="96"/>
        <v>0</v>
      </c>
      <c r="W312" s="133">
        <f t="shared" ca="1" si="97"/>
        <v>6682.9379659913157</v>
      </c>
      <c r="X312" s="104">
        <f t="shared" ca="1" si="98"/>
        <v>0</v>
      </c>
      <c r="Y312" s="135">
        <f t="shared" ca="1" si="99"/>
        <v>0</v>
      </c>
      <c r="AE312" s="104"/>
    </row>
    <row r="313" spans="1:31" x14ac:dyDescent="0.2">
      <c r="A313" s="98">
        <v>2</v>
      </c>
      <c r="B313" s="98">
        <v>1</v>
      </c>
      <c r="C313" s="98">
        <f t="shared" si="80"/>
        <v>7</v>
      </c>
      <c r="D313" s="98">
        <f t="shared" si="81"/>
        <v>6</v>
      </c>
      <c r="E313" s="98">
        <f t="shared" si="82"/>
        <v>2</v>
      </c>
      <c r="F313" s="118">
        <f t="shared" ca="1" si="83"/>
        <v>2.7741495599999996E-2</v>
      </c>
      <c r="G313" s="98">
        <v>1</v>
      </c>
      <c r="H313" s="98">
        <v>1</v>
      </c>
      <c r="I313" s="98">
        <v>0</v>
      </c>
      <c r="J313" s="118">
        <f t="shared" ca="1" si="84"/>
        <v>0</v>
      </c>
      <c r="K313" s="118">
        <f t="shared" ca="1" si="85"/>
        <v>0</v>
      </c>
      <c r="L313" s="133">
        <f t="shared" ca="1" si="86"/>
        <v>336</v>
      </c>
      <c r="M313" s="130">
        <f t="shared" ca="1" si="87"/>
        <v>664</v>
      </c>
      <c r="N313" s="100">
        <f t="shared" ca="1" si="88"/>
        <v>4</v>
      </c>
      <c r="O313" s="136">
        <f t="shared" ca="1" si="89"/>
        <v>2.6618557453501217</v>
      </c>
      <c r="P313" s="136">
        <f t="shared" ca="1" si="90"/>
        <v>26.618557453501214</v>
      </c>
      <c r="Q313" s="136">
        <f t="shared" ca="1" si="91"/>
        <v>26.618557453501214</v>
      </c>
      <c r="R313" s="136">
        <f t="shared" ca="1" si="92"/>
        <v>2.6618557453501213</v>
      </c>
      <c r="S313" s="136">
        <f t="shared" ca="1" si="93"/>
        <v>2.6618557453501213</v>
      </c>
      <c r="T313" s="104">
        <f t="shared" ca="1" si="94"/>
        <v>0</v>
      </c>
      <c r="U313" s="87">
        <f t="shared" ca="1" si="95"/>
        <v>1310.4506512506252</v>
      </c>
      <c r="V313" s="104">
        <f t="shared" ca="1" si="96"/>
        <v>0</v>
      </c>
      <c r="W313" s="133">
        <f t="shared" ca="1" si="97"/>
        <v>4547.8140151953685</v>
      </c>
      <c r="X313" s="104">
        <f t="shared" ca="1" si="98"/>
        <v>0</v>
      </c>
      <c r="Y313" s="135">
        <f t="shared" ca="1" si="99"/>
        <v>0</v>
      </c>
      <c r="AE313" s="104"/>
    </row>
    <row r="314" spans="1:31" x14ac:dyDescent="0.2">
      <c r="A314" s="98">
        <v>2</v>
      </c>
      <c r="B314" s="98">
        <v>1</v>
      </c>
      <c r="C314" s="98">
        <f t="shared" si="80"/>
        <v>7</v>
      </c>
      <c r="D314" s="98">
        <f t="shared" si="81"/>
        <v>6</v>
      </c>
      <c r="E314" s="98">
        <f t="shared" si="82"/>
        <v>2</v>
      </c>
      <c r="F314" s="118">
        <f t="shared" ca="1" si="83"/>
        <v>2.7741495599999996E-2</v>
      </c>
      <c r="G314" s="98">
        <v>1</v>
      </c>
      <c r="H314" s="98">
        <v>0</v>
      </c>
      <c r="I314" s="98">
        <v>7</v>
      </c>
      <c r="J314" s="118">
        <f t="shared" si="84"/>
        <v>0</v>
      </c>
      <c r="K314" s="118">
        <f t="shared" ca="1" si="85"/>
        <v>0</v>
      </c>
      <c r="L314" s="133">
        <f t="shared" ca="1" si="86"/>
        <v>252</v>
      </c>
      <c r="M314" s="130">
        <f t="shared" ca="1" si="87"/>
        <v>748</v>
      </c>
      <c r="N314" s="100">
        <f t="shared" ca="1" si="88"/>
        <v>4</v>
      </c>
      <c r="O314" s="136">
        <f t="shared" ca="1" si="89"/>
        <v>2.6618557453501217</v>
      </c>
      <c r="P314" s="136">
        <f t="shared" ca="1" si="90"/>
        <v>26.618557453501214</v>
      </c>
      <c r="Q314" s="136">
        <f t="shared" ca="1" si="91"/>
        <v>26.618557453501214</v>
      </c>
      <c r="R314" s="136">
        <f t="shared" ca="1" si="92"/>
        <v>2.6618557453501213</v>
      </c>
      <c r="S314" s="136">
        <f t="shared" ca="1" si="93"/>
        <v>2.6618557453501213</v>
      </c>
      <c r="T314" s="104">
        <f t="shared" ca="1" si="94"/>
        <v>0</v>
      </c>
      <c r="U314" s="87">
        <f t="shared" ca="1" si="95"/>
        <v>1226.4506512506252</v>
      </c>
      <c r="V314" s="104">
        <f t="shared" ca="1" si="96"/>
        <v>0</v>
      </c>
      <c r="W314" s="133">
        <f t="shared" ca="1" si="97"/>
        <v>17358.557719971053</v>
      </c>
      <c r="X314" s="104">
        <f t="shared" ca="1" si="98"/>
        <v>0</v>
      </c>
      <c r="Y314" s="135">
        <f t="shared" ca="1" si="99"/>
        <v>0</v>
      </c>
      <c r="AE314" s="104"/>
    </row>
    <row r="315" spans="1:31" x14ac:dyDescent="0.2">
      <c r="A315" s="98">
        <v>2</v>
      </c>
      <c r="B315" s="98">
        <v>1</v>
      </c>
      <c r="C315" s="98">
        <f t="shared" si="80"/>
        <v>7</v>
      </c>
      <c r="D315" s="98">
        <f t="shared" si="81"/>
        <v>6</v>
      </c>
      <c r="E315" s="98">
        <f t="shared" si="82"/>
        <v>2</v>
      </c>
      <c r="F315" s="118">
        <f t="shared" ca="1" si="83"/>
        <v>2.7741495599999996E-2</v>
      </c>
      <c r="G315" s="98">
        <v>1</v>
      </c>
      <c r="H315" s="98">
        <v>0</v>
      </c>
      <c r="I315" s="98">
        <v>6</v>
      </c>
      <c r="J315" s="118">
        <f t="shared" ca="1" si="84"/>
        <v>0.69833729609374984</v>
      </c>
      <c r="K315" s="118">
        <f t="shared" ca="1" si="85"/>
        <v>1.9372921026900657E-2</v>
      </c>
      <c r="L315" s="133">
        <f t="shared" ca="1" si="86"/>
        <v>240</v>
      </c>
      <c r="M315" s="130">
        <f t="shared" ca="1" si="87"/>
        <v>760</v>
      </c>
      <c r="N315" s="100">
        <f t="shared" ca="1" si="88"/>
        <v>4</v>
      </c>
      <c r="O315" s="136">
        <f t="shared" ca="1" si="89"/>
        <v>2.6618557453501217</v>
      </c>
      <c r="P315" s="136">
        <f t="shared" ca="1" si="90"/>
        <v>26.618557453501214</v>
      </c>
      <c r="Q315" s="136">
        <f t="shared" ca="1" si="91"/>
        <v>26.618557453501214</v>
      </c>
      <c r="R315" s="136">
        <f t="shared" ca="1" si="92"/>
        <v>2.6618557453501213</v>
      </c>
      <c r="S315" s="136">
        <f t="shared" ca="1" si="93"/>
        <v>2.6618557453501213</v>
      </c>
      <c r="T315" s="104">
        <f t="shared" ca="1" si="94"/>
        <v>5.1567921139669681E-2</v>
      </c>
      <c r="U315" s="87">
        <f t="shared" ca="1" si="95"/>
        <v>1214.4506512506252</v>
      </c>
      <c r="V315" s="104">
        <f t="shared" ca="1" si="96"/>
        <v>23.527456557746433</v>
      </c>
      <c r="W315" s="133">
        <f t="shared" ca="1" si="97"/>
        <v>15223.433769175106</v>
      </c>
      <c r="X315" s="104">
        <f t="shared" ca="1" si="98"/>
        <v>294.92238016848194</v>
      </c>
      <c r="Y315" s="135">
        <f t="shared" ca="1" si="99"/>
        <v>4.6495010464561579</v>
      </c>
      <c r="AE315" s="104"/>
    </row>
    <row r="316" spans="1:31" x14ac:dyDescent="0.2">
      <c r="A316" s="98">
        <v>2</v>
      </c>
      <c r="B316" s="98">
        <v>1</v>
      </c>
      <c r="C316" s="98">
        <f t="shared" si="80"/>
        <v>7</v>
      </c>
      <c r="D316" s="98">
        <f t="shared" si="81"/>
        <v>6</v>
      </c>
      <c r="E316" s="98">
        <f t="shared" si="82"/>
        <v>2</v>
      </c>
      <c r="F316" s="118">
        <f t="shared" ca="1" si="83"/>
        <v>2.7741495599999996E-2</v>
      </c>
      <c r="G316" s="98">
        <v>1</v>
      </c>
      <c r="H316" s="98">
        <v>0</v>
      </c>
      <c r="I316" s="98">
        <v>5</v>
      </c>
      <c r="J316" s="118">
        <f t="shared" ca="1" si="84"/>
        <v>0.22052756718750019</v>
      </c>
      <c r="K316" s="118">
        <f t="shared" ca="1" si="85"/>
        <v>6.1177645348107403E-3</v>
      </c>
      <c r="L316" s="133">
        <f t="shared" ca="1" si="86"/>
        <v>228</v>
      </c>
      <c r="M316" s="130">
        <f t="shared" ca="1" si="87"/>
        <v>772</v>
      </c>
      <c r="N316" s="100">
        <f t="shared" ca="1" si="88"/>
        <v>4</v>
      </c>
      <c r="O316" s="136">
        <f t="shared" ca="1" si="89"/>
        <v>2.6618557453501217</v>
      </c>
      <c r="P316" s="136">
        <f t="shared" ca="1" si="90"/>
        <v>26.618557453501214</v>
      </c>
      <c r="Q316" s="136">
        <f t="shared" ca="1" si="91"/>
        <v>26.618557453501214</v>
      </c>
      <c r="R316" s="136">
        <f t="shared" ca="1" si="92"/>
        <v>2.6618557453501213</v>
      </c>
      <c r="S316" s="136">
        <f t="shared" ca="1" si="93"/>
        <v>2.6618557453501213</v>
      </c>
      <c r="T316" s="104">
        <f t="shared" ca="1" si="94"/>
        <v>1.6284606675685181E-2</v>
      </c>
      <c r="U316" s="87">
        <f t="shared" ca="1" si="95"/>
        <v>1202.4506512506252</v>
      </c>
      <c r="V316" s="104">
        <f t="shared" ca="1" si="96"/>
        <v>7.3563099490811528</v>
      </c>
      <c r="W316" s="133">
        <f t="shared" ca="1" si="97"/>
        <v>13088.309818379159</v>
      </c>
      <c r="X316" s="104">
        <f t="shared" ca="1" si="98"/>
        <v>80.071197627495224</v>
      </c>
      <c r="Y316" s="135">
        <f t="shared" ca="1" si="99"/>
        <v>1.3948503139368489</v>
      </c>
      <c r="AE316" s="104"/>
    </row>
    <row r="317" spans="1:31" x14ac:dyDescent="0.2">
      <c r="A317" s="98">
        <v>2</v>
      </c>
      <c r="B317" s="98">
        <v>1</v>
      </c>
      <c r="C317" s="98">
        <f t="shared" si="80"/>
        <v>7</v>
      </c>
      <c r="D317" s="98">
        <f t="shared" si="81"/>
        <v>6</v>
      </c>
      <c r="E317" s="98">
        <f t="shared" si="82"/>
        <v>2</v>
      </c>
      <c r="F317" s="118">
        <f t="shared" ca="1" si="83"/>
        <v>2.7741495599999996E-2</v>
      </c>
      <c r="G317" s="98">
        <v>1</v>
      </c>
      <c r="H317" s="98">
        <v>0</v>
      </c>
      <c r="I317" s="98">
        <v>4</v>
      </c>
      <c r="J317" s="118">
        <f t="shared" ca="1" si="84"/>
        <v>2.9016785156250047E-2</v>
      </c>
      <c r="K317" s="118">
        <f t="shared" ca="1" si="85"/>
        <v>8.0496901773825585E-4</v>
      </c>
      <c r="L317" s="133">
        <f t="shared" ca="1" si="86"/>
        <v>216</v>
      </c>
      <c r="M317" s="130">
        <f t="shared" ca="1" si="87"/>
        <v>784</v>
      </c>
      <c r="N317" s="100">
        <f t="shared" ca="1" si="88"/>
        <v>4</v>
      </c>
      <c r="O317" s="136">
        <f t="shared" ca="1" si="89"/>
        <v>2.6618557453501217</v>
      </c>
      <c r="P317" s="136">
        <f t="shared" ca="1" si="90"/>
        <v>26.618557453501214</v>
      </c>
      <c r="Q317" s="136">
        <f t="shared" ca="1" si="91"/>
        <v>26.618557453501214</v>
      </c>
      <c r="R317" s="136">
        <f t="shared" ca="1" si="92"/>
        <v>2.6618557453501213</v>
      </c>
      <c r="S317" s="136">
        <f t="shared" ca="1" si="93"/>
        <v>2.6618557453501213</v>
      </c>
      <c r="T317" s="104">
        <f t="shared" ca="1" si="94"/>
        <v>2.1427114046954198E-3</v>
      </c>
      <c r="U317" s="87">
        <f t="shared" ca="1" si="95"/>
        <v>1190.4506512506252</v>
      </c>
      <c r="V317" s="104">
        <f t="shared" ca="1" si="96"/>
        <v>0.95827589140308278</v>
      </c>
      <c r="W317" s="133">
        <f t="shared" ca="1" si="97"/>
        <v>10953.185867583212</v>
      </c>
      <c r="X317" s="104">
        <f t="shared" ca="1" si="98"/>
        <v>8.8169752689330032</v>
      </c>
      <c r="Y317" s="135">
        <f t="shared" ca="1" si="99"/>
        <v>0.17387330783146326</v>
      </c>
      <c r="AE317" s="104"/>
    </row>
    <row r="318" spans="1:31" x14ac:dyDescent="0.2">
      <c r="A318" s="98">
        <v>2</v>
      </c>
      <c r="B318" s="98">
        <v>1</v>
      </c>
      <c r="C318" s="98">
        <f t="shared" si="80"/>
        <v>7</v>
      </c>
      <c r="D318" s="98">
        <f t="shared" si="81"/>
        <v>6</v>
      </c>
      <c r="E318" s="98">
        <f t="shared" si="82"/>
        <v>2</v>
      </c>
      <c r="F318" s="118">
        <f t="shared" ca="1" si="83"/>
        <v>2.7741495599999996E-2</v>
      </c>
      <c r="G318" s="98">
        <v>1</v>
      </c>
      <c r="H318" s="98">
        <v>0</v>
      </c>
      <c r="I318" s="98">
        <v>3</v>
      </c>
      <c r="J318" s="118">
        <f t="shared" ca="1" si="84"/>
        <v>2.0362656250000047E-3</v>
      </c>
      <c r="K318" s="118">
        <f t="shared" ca="1" si="85"/>
        <v>5.6489053876368869E-5</v>
      </c>
      <c r="L318" s="133">
        <f t="shared" ca="1" si="86"/>
        <v>204</v>
      </c>
      <c r="M318" s="130">
        <f t="shared" ca="1" si="87"/>
        <v>796</v>
      </c>
      <c r="N318" s="100">
        <f t="shared" ca="1" si="88"/>
        <v>4</v>
      </c>
      <c r="O318" s="136">
        <f t="shared" ca="1" si="89"/>
        <v>2.6618557453501217</v>
      </c>
      <c r="P318" s="136">
        <f t="shared" ca="1" si="90"/>
        <v>26.618557453501214</v>
      </c>
      <c r="Q318" s="136">
        <f t="shared" ca="1" si="91"/>
        <v>26.618557453501214</v>
      </c>
      <c r="R318" s="136">
        <f t="shared" ca="1" si="92"/>
        <v>2.6618557453501213</v>
      </c>
      <c r="S318" s="136">
        <f t="shared" ca="1" si="93"/>
        <v>2.6618557453501213</v>
      </c>
      <c r="T318" s="104">
        <f t="shared" ca="1" si="94"/>
        <v>1.5036571261020502E-4</v>
      </c>
      <c r="U318" s="87">
        <f t="shared" ca="1" si="95"/>
        <v>1178.4506512506252</v>
      </c>
      <c r="V318" s="104">
        <f t="shared" ca="1" si="96"/>
        <v>6.6569562329138549E-2</v>
      </c>
      <c r="W318" s="133">
        <f t="shared" ca="1" si="97"/>
        <v>8818.0619167872646</v>
      </c>
      <c r="X318" s="104">
        <f t="shared" ca="1" si="98"/>
        <v>0.49812397470255232</v>
      </c>
      <c r="Y318" s="135">
        <f t="shared" ca="1" si="99"/>
        <v>1.152376699077925E-2</v>
      </c>
      <c r="AE318" s="104"/>
    </row>
    <row r="319" spans="1:31" x14ac:dyDescent="0.2">
      <c r="A319" s="98">
        <v>2</v>
      </c>
      <c r="B319" s="98">
        <v>1</v>
      </c>
      <c r="C319" s="98">
        <f t="shared" si="80"/>
        <v>7</v>
      </c>
      <c r="D319" s="98">
        <f t="shared" si="81"/>
        <v>6</v>
      </c>
      <c r="E319" s="98">
        <f t="shared" si="82"/>
        <v>2</v>
      </c>
      <c r="F319" s="118">
        <f t="shared" ca="1" si="83"/>
        <v>2.7741495599999996E-2</v>
      </c>
      <c r="G319" s="98">
        <v>1</v>
      </c>
      <c r="H319" s="98">
        <v>0</v>
      </c>
      <c r="I319" s="98">
        <v>2</v>
      </c>
      <c r="J319" s="118">
        <f t="shared" ca="1" si="84"/>
        <v>8.0378906250000291E-5</v>
      </c>
      <c r="K319" s="118">
        <f t="shared" ca="1" si="85"/>
        <v>2.2298310740671952E-6</v>
      </c>
      <c r="L319" s="133">
        <f t="shared" ca="1" si="86"/>
        <v>192</v>
      </c>
      <c r="M319" s="130">
        <f t="shared" ca="1" si="87"/>
        <v>808</v>
      </c>
      <c r="N319" s="100">
        <f t="shared" ca="1" si="88"/>
        <v>4</v>
      </c>
      <c r="O319" s="136">
        <f t="shared" ca="1" si="89"/>
        <v>2.6618557453501217</v>
      </c>
      <c r="P319" s="136">
        <f t="shared" ca="1" si="90"/>
        <v>26.618557453501214</v>
      </c>
      <c r="Q319" s="136">
        <f t="shared" ca="1" si="91"/>
        <v>26.618557453501214</v>
      </c>
      <c r="R319" s="136">
        <f t="shared" ca="1" si="92"/>
        <v>2.6618557453501213</v>
      </c>
      <c r="S319" s="136">
        <f t="shared" ca="1" si="93"/>
        <v>2.6618557453501213</v>
      </c>
      <c r="T319" s="104">
        <f t="shared" ca="1" si="94"/>
        <v>5.9354886556659951E-6</v>
      </c>
      <c r="U319" s="87">
        <f t="shared" ca="1" si="95"/>
        <v>1166.4506512506252</v>
      </c>
      <c r="V319" s="104">
        <f t="shared" ca="1" si="96"/>
        <v>2.6009879085245611E-3</v>
      </c>
      <c r="W319" s="133">
        <f t="shared" ca="1" si="97"/>
        <v>6682.9379659913157</v>
      </c>
      <c r="X319" s="104">
        <f t="shared" ca="1" si="98"/>
        <v>1.4901822742630853E-2</v>
      </c>
      <c r="Y319" s="135">
        <f t="shared" ca="1" si="99"/>
        <v>4.2812756622090148E-4</v>
      </c>
      <c r="AE319" s="104"/>
    </row>
    <row r="320" spans="1:31" x14ac:dyDescent="0.2">
      <c r="A320" s="98">
        <v>2</v>
      </c>
      <c r="B320" s="98">
        <v>1</v>
      </c>
      <c r="C320" s="98">
        <f t="shared" si="80"/>
        <v>7</v>
      </c>
      <c r="D320" s="98">
        <f t="shared" si="81"/>
        <v>6</v>
      </c>
      <c r="E320" s="98">
        <f t="shared" si="82"/>
        <v>2</v>
      </c>
      <c r="F320" s="118">
        <f t="shared" ca="1" si="83"/>
        <v>2.7741495599999996E-2</v>
      </c>
      <c r="G320" s="98">
        <v>1</v>
      </c>
      <c r="H320" s="98">
        <v>0</v>
      </c>
      <c r="I320" s="98">
        <v>1</v>
      </c>
      <c r="J320" s="118">
        <f t="shared" ca="1" si="84"/>
        <v>1.6921875000000077E-6</v>
      </c>
      <c r="K320" s="118">
        <f t="shared" ca="1" si="85"/>
        <v>4.6943812085625204E-8</v>
      </c>
      <c r="L320" s="133">
        <f t="shared" ca="1" si="86"/>
        <v>180</v>
      </c>
      <c r="M320" s="130">
        <f t="shared" ca="1" si="87"/>
        <v>820</v>
      </c>
      <c r="N320" s="100">
        <f t="shared" ca="1" si="88"/>
        <v>4</v>
      </c>
      <c r="O320" s="136">
        <f t="shared" ca="1" si="89"/>
        <v>2.6618557453501217</v>
      </c>
      <c r="P320" s="136">
        <f t="shared" ca="1" si="90"/>
        <v>26.618557453501214</v>
      </c>
      <c r="Q320" s="136">
        <f t="shared" ca="1" si="91"/>
        <v>26.618557453501214</v>
      </c>
      <c r="R320" s="136">
        <f t="shared" ca="1" si="92"/>
        <v>2.6618557453501213</v>
      </c>
      <c r="S320" s="136">
        <f t="shared" ca="1" si="93"/>
        <v>2.6618557453501213</v>
      </c>
      <c r="T320" s="104">
        <f t="shared" ca="1" si="94"/>
        <v>1.249576559087579E-7</v>
      </c>
      <c r="U320" s="87">
        <f t="shared" ca="1" si="95"/>
        <v>1154.4506512506252</v>
      </c>
      <c r="V320" s="104">
        <f t="shared" ca="1" si="96"/>
        <v>5.4194314434436987E-5</v>
      </c>
      <c r="W320" s="133">
        <f t="shared" ca="1" si="97"/>
        <v>4547.8140151953685</v>
      </c>
      <c r="X320" s="104">
        <f t="shared" ca="1" si="98"/>
        <v>2.1349172652970403E-4</v>
      </c>
      <c r="Y320" s="135">
        <f t="shared" ca="1" si="99"/>
        <v>8.4498861754125361E-6</v>
      </c>
      <c r="AE320" s="104"/>
    </row>
    <row r="321" spans="1:31" x14ac:dyDescent="0.2">
      <c r="A321" s="98">
        <v>2</v>
      </c>
      <c r="B321" s="98">
        <v>1</v>
      </c>
      <c r="C321" s="98">
        <f t="shared" si="80"/>
        <v>7</v>
      </c>
      <c r="D321" s="98">
        <f t="shared" si="81"/>
        <v>6</v>
      </c>
      <c r="E321" s="98">
        <f t="shared" si="82"/>
        <v>2</v>
      </c>
      <c r="F321" s="118">
        <f t="shared" ca="1" si="83"/>
        <v>2.7741495599999996E-2</v>
      </c>
      <c r="G321" s="98">
        <v>1</v>
      </c>
      <c r="H321" s="98">
        <v>0</v>
      </c>
      <c r="I321" s="98">
        <v>0</v>
      </c>
      <c r="J321" s="118">
        <f t="shared" ca="1" si="84"/>
        <v>1.4843750000000078E-8</v>
      </c>
      <c r="K321" s="118">
        <f t="shared" ca="1" si="85"/>
        <v>4.1178782531250207E-10</v>
      </c>
      <c r="L321" s="133">
        <f t="shared" ca="1" si="86"/>
        <v>168</v>
      </c>
      <c r="M321" s="130">
        <f t="shared" ca="1" si="87"/>
        <v>832</v>
      </c>
      <c r="N321" s="100">
        <f t="shared" ca="1" si="88"/>
        <v>5</v>
      </c>
      <c r="O321" s="136">
        <f t="shared" ca="1" si="89"/>
        <v>3.2590583346360766</v>
      </c>
      <c r="P321" s="136">
        <f t="shared" ca="1" si="90"/>
        <v>28.410165221359076</v>
      </c>
      <c r="Q321" s="136">
        <f t="shared" ca="1" si="91"/>
        <v>26.618557453501214</v>
      </c>
      <c r="R321" s="136">
        <f t="shared" ca="1" si="92"/>
        <v>2.7514361337430144</v>
      </c>
      <c r="S321" s="136">
        <f t="shared" ca="1" si="93"/>
        <v>3.091543008341366</v>
      </c>
      <c r="T321" s="104">
        <f t="shared" ca="1" si="94"/>
        <v>1.2730597722649615E-9</v>
      </c>
      <c r="U321" s="87">
        <f t="shared" ca="1" si="95"/>
        <v>1294.1569825567776</v>
      </c>
      <c r="V321" s="104">
        <f t="shared" ca="1" si="96"/>
        <v>5.3291808946004518E-7</v>
      </c>
      <c r="W321" s="133">
        <f t="shared" ca="1" si="97"/>
        <v>2412.6900643994204</v>
      </c>
      <c r="X321" s="104">
        <f t="shared" ca="1" si="98"/>
        <v>9.9351639477211782E-7</v>
      </c>
      <c r="Y321" s="135">
        <f t="shared" ca="1" si="99"/>
        <v>6.9180354652500345E-8</v>
      </c>
      <c r="AE321" s="104"/>
    </row>
    <row r="322" spans="1:31" x14ac:dyDescent="0.2">
      <c r="A322" s="98">
        <v>2</v>
      </c>
      <c r="B322" s="98">
        <v>1</v>
      </c>
      <c r="C322" s="98">
        <f t="shared" si="80"/>
        <v>7</v>
      </c>
      <c r="D322" s="98">
        <f t="shared" si="81"/>
        <v>6</v>
      </c>
      <c r="E322" s="98">
        <f t="shared" si="82"/>
        <v>2</v>
      </c>
      <c r="F322" s="118">
        <f t="shared" ca="1" si="83"/>
        <v>2.7741495599999996E-2</v>
      </c>
      <c r="G322" s="98">
        <v>0</v>
      </c>
      <c r="H322" s="98">
        <v>1</v>
      </c>
      <c r="I322" s="98">
        <v>7</v>
      </c>
      <c r="J322" s="118">
        <f t="shared" si="84"/>
        <v>0</v>
      </c>
      <c r="K322" s="118">
        <f t="shared" ca="1" si="85"/>
        <v>0</v>
      </c>
      <c r="L322" s="133">
        <f t="shared" ca="1" si="86"/>
        <v>252</v>
      </c>
      <c r="M322" s="130">
        <f t="shared" ca="1" si="87"/>
        <v>748</v>
      </c>
      <c r="N322" s="100">
        <f t="shared" ca="1" si="88"/>
        <v>4</v>
      </c>
      <c r="O322" s="136">
        <f t="shared" ca="1" si="89"/>
        <v>2.6618557453501217</v>
      </c>
      <c r="P322" s="136">
        <f t="shared" ca="1" si="90"/>
        <v>26.618557453501214</v>
      </c>
      <c r="Q322" s="136">
        <f t="shared" ca="1" si="91"/>
        <v>26.618557453501214</v>
      </c>
      <c r="R322" s="136">
        <f t="shared" ca="1" si="92"/>
        <v>2.6618557453501213</v>
      </c>
      <c r="S322" s="136">
        <f t="shared" ca="1" si="93"/>
        <v>2.6618557453501213</v>
      </c>
      <c r="T322" s="104">
        <f t="shared" ca="1" si="94"/>
        <v>0</v>
      </c>
      <c r="U322" s="87">
        <f t="shared" ca="1" si="95"/>
        <v>1226.4506512506252</v>
      </c>
      <c r="V322" s="104">
        <f t="shared" ca="1" si="96"/>
        <v>0</v>
      </c>
      <c r="W322" s="133">
        <f t="shared" ca="1" si="97"/>
        <v>17080.991606367581</v>
      </c>
      <c r="X322" s="104">
        <f t="shared" ca="1" si="98"/>
        <v>0</v>
      </c>
      <c r="Y322" s="135">
        <f t="shared" ca="1" si="99"/>
        <v>0</v>
      </c>
      <c r="AE322" s="104"/>
    </row>
    <row r="323" spans="1:31" x14ac:dyDescent="0.2">
      <c r="A323" s="98">
        <v>2</v>
      </c>
      <c r="B323" s="98">
        <v>1</v>
      </c>
      <c r="C323" s="98">
        <f t="shared" si="80"/>
        <v>7</v>
      </c>
      <c r="D323" s="98">
        <f t="shared" si="81"/>
        <v>6</v>
      </c>
      <c r="E323" s="98">
        <f t="shared" si="82"/>
        <v>2</v>
      </c>
      <c r="F323" s="118">
        <f t="shared" ca="1" si="83"/>
        <v>2.7741495599999996E-2</v>
      </c>
      <c r="G323" s="98">
        <v>0</v>
      </c>
      <c r="H323" s="98">
        <v>1</v>
      </c>
      <c r="I323" s="98">
        <v>6</v>
      </c>
      <c r="J323" s="118">
        <f t="shared" ca="1" si="84"/>
        <v>0</v>
      </c>
      <c r="K323" s="118">
        <f t="shared" ca="1" si="85"/>
        <v>0</v>
      </c>
      <c r="L323" s="133">
        <f t="shared" ca="1" si="86"/>
        <v>240</v>
      </c>
      <c r="M323" s="130">
        <f t="shared" ca="1" si="87"/>
        <v>760</v>
      </c>
      <c r="N323" s="100">
        <f t="shared" ca="1" si="88"/>
        <v>4</v>
      </c>
      <c r="O323" s="136">
        <f t="shared" ca="1" si="89"/>
        <v>2.6618557453501217</v>
      </c>
      <c r="P323" s="136">
        <f t="shared" ca="1" si="90"/>
        <v>26.618557453501214</v>
      </c>
      <c r="Q323" s="136">
        <f t="shared" ca="1" si="91"/>
        <v>26.618557453501214</v>
      </c>
      <c r="R323" s="136">
        <f t="shared" ca="1" si="92"/>
        <v>2.6618557453501213</v>
      </c>
      <c r="S323" s="136">
        <f t="shared" ca="1" si="93"/>
        <v>2.6618557453501213</v>
      </c>
      <c r="T323" s="104">
        <f t="shared" ca="1" si="94"/>
        <v>0</v>
      </c>
      <c r="U323" s="87">
        <f t="shared" ca="1" si="95"/>
        <v>1214.4506512506252</v>
      </c>
      <c r="V323" s="104">
        <f t="shared" ca="1" si="96"/>
        <v>0</v>
      </c>
      <c r="W323" s="133">
        <f t="shared" ca="1" si="97"/>
        <v>14945.867655571634</v>
      </c>
      <c r="X323" s="104">
        <f t="shared" ca="1" si="98"/>
        <v>0</v>
      </c>
      <c r="Y323" s="135">
        <f t="shared" ca="1" si="99"/>
        <v>0</v>
      </c>
      <c r="AE323" s="104"/>
    </row>
    <row r="324" spans="1:31" x14ac:dyDescent="0.2">
      <c r="A324" s="98">
        <v>2</v>
      </c>
      <c r="B324" s="98">
        <v>1</v>
      </c>
      <c r="C324" s="98">
        <f t="shared" si="80"/>
        <v>7</v>
      </c>
      <c r="D324" s="98">
        <f t="shared" si="81"/>
        <v>6</v>
      </c>
      <c r="E324" s="98">
        <f t="shared" si="82"/>
        <v>2</v>
      </c>
      <c r="F324" s="118">
        <f t="shared" ca="1" si="83"/>
        <v>2.7741495599999996E-2</v>
      </c>
      <c r="G324" s="98">
        <v>0</v>
      </c>
      <c r="H324" s="98">
        <v>1</v>
      </c>
      <c r="I324" s="98">
        <v>5</v>
      </c>
      <c r="J324" s="118">
        <f t="shared" ca="1" si="84"/>
        <v>0</v>
      </c>
      <c r="K324" s="118">
        <f t="shared" ca="1" si="85"/>
        <v>0</v>
      </c>
      <c r="L324" s="133">
        <f t="shared" ca="1" si="86"/>
        <v>228</v>
      </c>
      <c r="M324" s="130">
        <f t="shared" ca="1" si="87"/>
        <v>772</v>
      </c>
      <c r="N324" s="100">
        <f t="shared" ca="1" si="88"/>
        <v>4</v>
      </c>
      <c r="O324" s="136">
        <f t="shared" ca="1" si="89"/>
        <v>2.6618557453501217</v>
      </c>
      <c r="P324" s="136">
        <f t="shared" ca="1" si="90"/>
        <v>26.618557453501214</v>
      </c>
      <c r="Q324" s="136">
        <f t="shared" ca="1" si="91"/>
        <v>26.618557453501214</v>
      </c>
      <c r="R324" s="136">
        <f t="shared" ca="1" si="92"/>
        <v>2.6618557453501213</v>
      </c>
      <c r="S324" s="136">
        <f t="shared" ca="1" si="93"/>
        <v>2.6618557453501213</v>
      </c>
      <c r="T324" s="104">
        <f t="shared" ca="1" si="94"/>
        <v>0</v>
      </c>
      <c r="U324" s="87">
        <f t="shared" ca="1" si="95"/>
        <v>1202.4506512506252</v>
      </c>
      <c r="V324" s="104">
        <f t="shared" ca="1" si="96"/>
        <v>0</v>
      </c>
      <c r="W324" s="133">
        <f t="shared" ca="1" si="97"/>
        <v>12810.743704775685</v>
      </c>
      <c r="X324" s="104">
        <f t="shared" ca="1" si="98"/>
        <v>0</v>
      </c>
      <c r="Y324" s="135">
        <f t="shared" ca="1" si="99"/>
        <v>0</v>
      </c>
      <c r="AE324" s="104"/>
    </row>
    <row r="325" spans="1:31" x14ac:dyDescent="0.2">
      <c r="A325" s="98">
        <v>2</v>
      </c>
      <c r="B325" s="98">
        <v>1</v>
      </c>
      <c r="C325" s="98">
        <f t="shared" si="80"/>
        <v>7</v>
      </c>
      <c r="D325" s="98">
        <f t="shared" si="81"/>
        <v>6</v>
      </c>
      <c r="E325" s="98">
        <f t="shared" si="82"/>
        <v>2</v>
      </c>
      <c r="F325" s="118">
        <f t="shared" ca="1" si="83"/>
        <v>2.7741495599999996E-2</v>
      </c>
      <c r="G325" s="98">
        <v>0</v>
      </c>
      <c r="H325" s="98">
        <v>1</v>
      </c>
      <c r="I325" s="98">
        <v>4</v>
      </c>
      <c r="J325" s="118">
        <f t="shared" ca="1" si="84"/>
        <v>0</v>
      </c>
      <c r="K325" s="118">
        <f t="shared" ca="1" si="85"/>
        <v>0</v>
      </c>
      <c r="L325" s="133">
        <f t="shared" ca="1" si="86"/>
        <v>216</v>
      </c>
      <c r="M325" s="130">
        <f t="shared" ca="1" si="87"/>
        <v>784</v>
      </c>
      <c r="N325" s="100">
        <f t="shared" ca="1" si="88"/>
        <v>4</v>
      </c>
      <c r="O325" s="136">
        <f t="shared" ca="1" si="89"/>
        <v>2.6618557453501217</v>
      </c>
      <c r="P325" s="136">
        <f t="shared" ca="1" si="90"/>
        <v>26.618557453501214</v>
      </c>
      <c r="Q325" s="136">
        <f t="shared" ca="1" si="91"/>
        <v>26.618557453501214</v>
      </c>
      <c r="R325" s="136">
        <f t="shared" ca="1" si="92"/>
        <v>2.6618557453501213</v>
      </c>
      <c r="S325" s="136">
        <f t="shared" ca="1" si="93"/>
        <v>2.6618557453501213</v>
      </c>
      <c r="T325" s="104">
        <f t="shared" ca="1" si="94"/>
        <v>0</v>
      </c>
      <c r="U325" s="87">
        <f t="shared" ca="1" si="95"/>
        <v>1190.4506512506252</v>
      </c>
      <c r="V325" s="104">
        <f t="shared" ca="1" si="96"/>
        <v>0</v>
      </c>
      <c r="W325" s="133">
        <f t="shared" ca="1" si="97"/>
        <v>10675.619753979738</v>
      </c>
      <c r="X325" s="104">
        <f t="shared" ca="1" si="98"/>
        <v>0</v>
      </c>
      <c r="Y325" s="135">
        <f t="shared" ca="1" si="99"/>
        <v>0</v>
      </c>
      <c r="AE325" s="104"/>
    </row>
    <row r="326" spans="1:31" x14ac:dyDescent="0.2">
      <c r="A326" s="98">
        <v>2</v>
      </c>
      <c r="B326" s="98">
        <v>1</v>
      </c>
      <c r="C326" s="98">
        <f t="shared" si="80"/>
        <v>7</v>
      </c>
      <c r="D326" s="98">
        <f t="shared" si="81"/>
        <v>6</v>
      </c>
      <c r="E326" s="98">
        <f t="shared" si="82"/>
        <v>2</v>
      </c>
      <c r="F326" s="118">
        <f t="shared" ca="1" si="83"/>
        <v>2.7741495599999996E-2</v>
      </c>
      <c r="G326" s="98">
        <v>0</v>
      </c>
      <c r="H326" s="98">
        <v>1</v>
      </c>
      <c r="I326" s="98">
        <v>3</v>
      </c>
      <c r="J326" s="118">
        <f t="shared" ca="1" si="84"/>
        <v>0</v>
      </c>
      <c r="K326" s="118">
        <f t="shared" ca="1" si="85"/>
        <v>0</v>
      </c>
      <c r="L326" s="133">
        <f t="shared" ca="1" si="86"/>
        <v>204</v>
      </c>
      <c r="M326" s="130">
        <f t="shared" ca="1" si="87"/>
        <v>796</v>
      </c>
      <c r="N326" s="100">
        <f t="shared" ca="1" si="88"/>
        <v>4</v>
      </c>
      <c r="O326" s="136">
        <f t="shared" ca="1" si="89"/>
        <v>2.6618557453501217</v>
      </c>
      <c r="P326" s="136">
        <f t="shared" ca="1" si="90"/>
        <v>26.618557453501214</v>
      </c>
      <c r="Q326" s="136">
        <f t="shared" ca="1" si="91"/>
        <v>26.618557453501214</v>
      </c>
      <c r="R326" s="136">
        <f t="shared" ca="1" si="92"/>
        <v>2.6618557453501213</v>
      </c>
      <c r="S326" s="136">
        <f t="shared" ca="1" si="93"/>
        <v>2.6618557453501213</v>
      </c>
      <c r="T326" s="104">
        <f t="shared" ca="1" si="94"/>
        <v>0</v>
      </c>
      <c r="U326" s="87">
        <f t="shared" ca="1" si="95"/>
        <v>1178.4506512506252</v>
      </c>
      <c r="V326" s="104">
        <f t="shared" ca="1" si="96"/>
        <v>0</v>
      </c>
      <c r="W326" s="133">
        <f t="shared" ca="1" si="97"/>
        <v>8540.4958031837905</v>
      </c>
      <c r="X326" s="104">
        <f t="shared" ca="1" si="98"/>
        <v>0</v>
      </c>
      <c r="Y326" s="135">
        <f t="shared" ca="1" si="99"/>
        <v>0</v>
      </c>
      <c r="AE326" s="104"/>
    </row>
    <row r="327" spans="1:31" x14ac:dyDescent="0.2">
      <c r="A327" s="98">
        <v>2</v>
      </c>
      <c r="B327" s="98">
        <v>1</v>
      </c>
      <c r="C327" s="98">
        <f t="shared" si="80"/>
        <v>7</v>
      </c>
      <c r="D327" s="98">
        <f t="shared" si="81"/>
        <v>6</v>
      </c>
      <c r="E327" s="98">
        <f t="shared" si="82"/>
        <v>2</v>
      </c>
      <c r="F327" s="118">
        <f t="shared" ca="1" si="83"/>
        <v>2.7741495599999996E-2</v>
      </c>
      <c r="G327" s="98">
        <v>0</v>
      </c>
      <c r="H327" s="98">
        <v>1</v>
      </c>
      <c r="I327" s="98">
        <v>2</v>
      </c>
      <c r="J327" s="118">
        <f t="shared" ca="1" si="84"/>
        <v>0</v>
      </c>
      <c r="K327" s="118">
        <f t="shared" ca="1" si="85"/>
        <v>0</v>
      </c>
      <c r="L327" s="133">
        <f t="shared" ca="1" si="86"/>
        <v>192</v>
      </c>
      <c r="M327" s="130">
        <f t="shared" ca="1" si="87"/>
        <v>808</v>
      </c>
      <c r="N327" s="100">
        <f t="shared" ca="1" si="88"/>
        <v>4</v>
      </c>
      <c r="O327" s="136">
        <f t="shared" ca="1" si="89"/>
        <v>2.6618557453501217</v>
      </c>
      <c r="P327" s="136">
        <f t="shared" ca="1" si="90"/>
        <v>26.618557453501214</v>
      </c>
      <c r="Q327" s="136">
        <f t="shared" ca="1" si="91"/>
        <v>26.618557453501214</v>
      </c>
      <c r="R327" s="136">
        <f t="shared" ca="1" si="92"/>
        <v>2.6618557453501213</v>
      </c>
      <c r="S327" s="136">
        <f t="shared" ca="1" si="93"/>
        <v>2.6618557453501213</v>
      </c>
      <c r="T327" s="104">
        <f t="shared" ca="1" si="94"/>
        <v>0</v>
      </c>
      <c r="U327" s="87">
        <f t="shared" ca="1" si="95"/>
        <v>1166.4506512506252</v>
      </c>
      <c r="V327" s="104">
        <f t="shared" ca="1" si="96"/>
        <v>0</v>
      </c>
      <c r="W327" s="133">
        <f t="shared" ca="1" si="97"/>
        <v>6405.3718523878433</v>
      </c>
      <c r="X327" s="104">
        <f t="shared" ca="1" si="98"/>
        <v>0</v>
      </c>
      <c r="Y327" s="135">
        <f t="shared" ca="1" si="99"/>
        <v>0</v>
      </c>
      <c r="AE327" s="104"/>
    </row>
    <row r="328" spans="1:31" x14ac:dyDescent="0.2">
      <c r="A328" s="98">
        <v>2</v>
      </c>
      <c r="B328" s="98">
        <v>1</v>
      </c>
      <c r="C328" s="98">
        <f t="shared" si="80"/>
        <v>7</v>
      </c>
      <c r="D328" s="98">
        <f t="shared" si="81"/>
        <v>6</v>
      </c>
      <c r="E328" s="98">
        <f t="shared" si="82"/>
        <v>2</v>
      </c>
      <c r="F328" s="118">
        <f t="shared" ca="1" si="83"/>
        <v>2.7741495599999996E-2</v>
      </c>
      <c r="G328" s="98">
        <v>0</v>
      </c>
      <c r="H328" s="98">
        <v>1</v>
      </c>
      <c r="I328" s="98">
        <v>1</v>
      </c>
      <c r="J328" s="118">
        <f t="shared" ca="1" si="84"/>
        <v>0</v>
      </c>
      <c r="K328" s="118">
        <f t="shared" ca="1" si="85"/>
        <v>0</v>
      </c>
      <c r="L328" s="133">
        <f t="shared" ca="1" si="86"/>
        <v>180</v>
      </c>
      <c r="M328" s="130">
        <f t="shared" ca="1" si="87"/>
        <v>820</v>
      </c>
      <c r="N328" s="100">
        <f t="shared" ca="1" si="88"/>
        <v>4</v>
      </c>
      <c r="O328" s="136">
        <f t="shared" ca="1" si="89"/>
        <v>2.6618557453501217</v>
      </c>
      <c r="P328" s="136">
        <f t="shared" ca="1" si="90"/>
        <v>26.618557453501214</v>
      </c>
      <c r="Q328" s="136">
        <f t="shared" ca="1" si="91"/>
        <v>26.618557453501214</v>
      </c>
      <c r="R328" s="136">
        <f t="shared" ca="1" si="92"/>
        <v>2.6618557453501213</v>
      </c>
      <c r="S328" s="136">
        <f t="shared" ca="1" si="93"/>
        <v>2.6618557453501213</v>
      </c>
      <c r="T328" s="104">
        <f t="shared" ca="1" si="94"/>
        <v>0</v>
      </c>
      <c r="U328" s="87">
        <f t="shared" ca="1" si="95"/>
        <v>1154.4506512506252</v>
      </c>
      <c r="V328" s="104">
        <f t="shared" ca="1" si="96"/>
        <v>0</v>
      </c>
      <c r="W328" s="133">
        <f t="shared" ca="1" si="97"/>
        <v>4270.2479015918952</v>
      </c>
      <c r="X328" s="104">
        <f t="shared" ca="1" si="98"/>
        <v>0</v>
      </c>
      <c r="Y328" s="135">
        <f t="shared" ca="1" si="99"/>
        <v>0</v>
      </c>
      <c r="AE328" s="104"/>
    </row>
    <row r="329" spans="1:31" x14ac:dyDescent="0.2">
      <c r="A329" s="98">
        <v>2</v>
      </c>
      <c r="B329" s="98">
        <v>1</v>
      </c>
      <c r="C329" s="98">
        <f t="shared" si="80"/>
        <v>7</v>
      </c>
      <c r="D329" s="98">
        <f t="shared" si="81"/>
        <v>6</v>
      </c>
      <c r="E329" s="98">
        <f t="shared" si="82"/>
        <v>2</v>
      </c>
      <c r="F329" s="118">
        <f t="shared" ca="1" si="83"/>
        <v>2.7741495599999996E-2</v>
      </c>
      <c r="G329" s="98">
        <v>0</v>
      </c>
      <c r="H329" s="98">
        <v>1</v>
      </c>
      <c r="I329" s="98">
        <v>0</v>
      </c>
      <c r="J329" s="118">
        <f t="shared" ca="1" si="84"/>
        <v>0</v>
      </c>
      <c r="K329" s="118">
        <f t="shared" ca="1" si="85"/>
        <v>0</v>
      </c>
      <c r="L329" s="133">
        <f t="shared" ca="1" si="86"/>
        <v>168</v>
      </c>
      <c r="M329" s="130">
        <f t="shared" ca="1" si="87"/>
        <v>832</v>
      </c>
      <c r="N329" s="100">
        <f t="shared" ca="1" si="88"/>
        <v>5</v>
      </c>
      <c r="O329" s="136">
        <f t="shared" ca="1" si="89"/>
        <v>3.2590583346360766</v>
      </c>
      <c r="P329" s="136">
        <f t="shared" ca="1" si="90"/>
        <v>28.410165221359076</v>
      </c>
      <c r="Q329" s="136">
        <f t="shared" ca="1" si="91"/>
        <v>26.618557453501214</v>
      </c>
      <c r="R329" s="136">
        <f t="shared" ca="1" si="92"/>
        <v>2.7514361337430144</v>
      </c>
      <c r="S329" s="136">
        <f t="shared" ca="1" si="93"/>
        <v>3.091543008341366</v>
      </c>
      <c r="T329" s="104">
        <f t="shared" ca="1" si="94"/>
        <v>0</v>
      </c>
      <c r="U329" s="87">
        <f t="shared" ca="1" si="95"/>
        <v>1294.1569825567776</v>
      </c>
      <c r="V329" s="104">
        <f t="shared" ca="1" si="96"/>
        <v>0</v>
      </c>
      <c r="W329" s="133">
        <f t="shared" ca="1" si="97"/>
        <v>2135.1239507959476</v>
      </c>
      <c r="X329" s="104">
        <f t="shared" ca="1" si="98"/>
        <v>0</v>
      </c>
      <c r="Y329" s="135">
        <f t="shared" ca="1" si="99"/>
        <v>0</v>
      </c>
      <c r="AE329" s="104"/>
    </row>
    <row r="330" spans="1:31" x14ac:dyDescent="0.2">
      <c r="A330" s="98">
        <v>2</v>
      </c>
      <c r="B330" s="98">
        <v>1</v>
      </c>
      <c r="C330" s="98">
        <f t="shared" si="80"/>
        <v>7</v>
      </c>
      <c r="D330" s="98">
        <f t="shared" si="81"/>
        <v>6</v>
      </c>
      <c r="E330" s="98">
        <f t="shared" si="82"/>
        <v>2</v>
      </c>
      <c r="F330" s="118">
        <f t="shared" ca="1" si="83"/>
        <v>2.7741495599999996E-2</v>
      </c>
      <c r="G330" s="98">
        <v>0</v>
      </c>
      <c r="H330" s="98">
        <v>0</v>
      </c>
      <c r="I330" s="98">
        <v>7</v>
      </c>
      <c r="J330" s="118">
        <f t="shared" si="84"/>
        <v>0</v>
      </c>
      <c r="K330" s="118">
        <f t="shared" ca="1" si="85"/>
        <v>0</v>
      </c>
      <c r="L330" s="133">
        <f t="shared" ca="1" si="86"/>
        <v>84</v>
      </c>
      <c r="M330" s="130">
        <f t="shared" ca="1" si="87"/>
        <v>916</v>
      </c>
      <c r="N330" s="100">
        <f t="shared" ca="1" si="88"/>
        <v>5</v>
      </c>
      <c r="O330" s="136">
        <f t="shared" ca="1" si="89"/>
        <v>3.2590583346360766</v>
      </c>
      <c r="P330" s="136">
        <f t="shared" ca="1" si="90"/>
        <v>32.590583346360766</v>
      </c>
      <c r="Q330" s="136">
        <f t="shared" ca="1" si="91"/>
        <v>32.590583346360766</v>
      </c>
      <c r="R330" s="136">
        <f t="shared" ca="1" si="92"/>
        <v>3.2590583346360766</v>
      </c>
      <c r="S330" s="136">
        <f t="shared" ca="1" si="93"/>
        <v>3.2590583346360766</v>
      </c>
      <c r="T330" s="104">
        <f t="shared" ca="1" si="94"/>
        <v>0</v>
      </c>
      <c r="U330" s="87">
        <f t="shared" ca="1" si="95"/>
        <v>1269.3003125517403</v>
      </c>
      <c r="V330" s="104">
        <f t="shared" ca="1" si="96"/>
        <v>0</v>
      </c>
      <c r="W330" s="133">
        <f t="shared" ca="1" si="97"/>
        <v>14945.867655571634</v>
      </c>
      <c r="X330" s="104">
        <f t="shared" ca="1" si="98"/>
        <v>0</v>
      </c>
      <c r="Y330" s="135">
        <f t="shared" ca="1" si="99"/>
        <v>0</v>
      </c>
      <c r="AE330" s="104"/>
    </row>
    <row r="331" spans="1:31" x14ac:dyDescent="0.2">
      <c r="A331" s="98">
        <v>2</v>
      </c>
      <c r="B331" s="98">
        <v>1</v>
      </c>
      <c r="C331" s="98">
        <f t="shared" si="80"/>
        <v>7</v>
      </c>
      <c r="D331" s="98">
        <f t="shared" si="81"/>
        <v>6</v>
      </c>
      <c r="E331" s="98">
        <f t="shared" si="82"/>
        <v>2</v>
      </c>
      <c r="F331" s="118">
        <f t="shared" ca="1" si="83"/>
        <v>2.7741495599999996E-2</v>
      </c>
      <c r="G331" s="98">
        <v>0</v>
      </c>
      <c r="H331" s="98">
        <v>0</v>
      </c>
      <c r="I331" s="98">
        <v>6</v>
      </c>
      <c r="J331" s="118">
        <f t="shared" ca="1" si="84"/>
        <v>3.6754594531249997E-2</v>
      </c>
      <c r="K331" s="118">
        <f t="shared" ca="1" si="85"/>
        <v>1.0196274224684558E-3</v>
      </c>
      <c r="L331" s="133">
        <f t="shared" ca="1" si="86"/>
        <v>72</v>
      </c>
      <c r="M331" s="130">
        <f t="shared" ca="1" si="87"/>
        <v>928</v>
      </c>
      <c r="N331" s="100">
        <f t="shared" ca="1" si="88"/>
        <v>5</v>
      </c>
      <c r="O331" s="136">
        <f t="shared" ca="1" si="89"/>
        <v>3.2590583346360766</v>
      </c>
      <c r="P331" s="136">
        <f t="shared" ca="1" si="90"/>
        <v>32.590583346360766</v>
      </c>
      <c r="Q331" s="136">
        <f t="shared" ca="1" si="91"/>
        <v>32.590583346360766</v>
      </c>
      <c r="R331" s="136">
        <f t="shared" ca="1" si="92"/>
        <v>3.2590583346360766</v>
      </c>
      <c r="S331" s="136">
        <f t="shared" ca="1" si="93"/>
        <v>3.2590583346360766</v>
      </c>
      <c r="T331" s="104">
        <f t="shared" ca="1" si="94"/>
        <v>3.323025249419321E-3</v>
      </c>
      <c r="U331" s="87">
        <f t="shared" ca="1" si="95"/>
        <v>1257.3003125517403</v>
      </c>
      <c r="V331" s="104">
        <f t="shared" ca="1" si="96"/>
        <v>1.2819778769559147</v>
      </c>
      <c r="W331" s="133">
        <f t="shared" ca="1" si="97"/>
        <v>12810.743704775687</v>
      </c>
      <c r="X331" s="104">
        <f t="shared" ca="1" si="98"/>
        <v>13.06218558360443</v>
      </c>
      <c r="Y331" s="135">
        <f t="shared" ca="1" si="99"/>
        <v>7.3413174417728821E-2</v>
      </c>
      <c r="AE331" s="104"/>
    </row>
    <row r="332" spans="1:31" x14ac:dyDescent="0.2">
      <c r="A332" s="98">
        <v>2</v>
      </c>
      <c r="B332" s="98">
        <v>1</v>
      </c>
      <c r="C332" s="98">
        <f t="shared" si="80"/>
        <v>7</v>
      </c>
      <c r="D332" s="98">
        <f t="shared" si="81"/>
        <v>6</v>
      </c>
      <c r="E332" s="98">
        <f t="shared" si="82"/>
        <v>2</v>
      </c>
      <c r="F332" s="118">
        <f t="shared" ca="1" si="83"/>
        <v>2.7741495599999996E-2</v>
      </c>
      <c r="G332" s="98">
        <v>0</v>
      </c>
      <c r="H332" s="98">
        <v>0</v>
      </c>
      <c r="I332" s="98">
        <v>5</v>
      </c>
      <c r="J332" s="118">
        <f t="shared" ca="1" si="84"/>
        <v>1.1606714062500011E-2</v>
      </c>
      <c r="K332" s="118">
        <f t="shared" ca="1" si="85"/>
        <v>3.2198760709530212E-4</v>
      </c>
      <c r="L332" s="133">
        <f t="shared" ca="1" si="86"/>
        <v>60</v>
      </c>
      <c r="M332" s="130">
        <f t="shared" ca="1" si="87"/>
        <v>940</v>
      </c>
      <c r="N332" s="100">
        <f t="shared" ca="1" si="88"/>
        <v>5</v>
      </c>
      <c r="O332" s="136">
        <f t="shared" ca="1" si="89"/>
        <v>3.2590583346360766</v>
      </c>
      <c r="P332" s="136">
        <f t="shared" ca="1" si="90"/>
        <v>32.590583346360766</v>
      </c>
      <c r="Q332" s="136">
        <f t="shared" ca="1" si="91"/>
        <v>32.590583346360766</v>
      </c>
      <c r="R332" s="136">
        <f t="shared" ca="1" si="92"/>
        <v>3.2590583346360766</v>
      </c>
      <c r="S332" s="136">
        <f t="shared" ca="1" si="93"/>
        <v>3.2590583346360766</v>
      </c>
      <c r="T332" s="104">
        <f t="shared" ca="1" si="94"/>
        <v>1.0493763945534707E-3</v>
      </c>
      <c r="U332" s="87">
        <f t="shared" ca="1" si="95"/>
        <v>1245.3003125517403</v>
      </c>
      <c r="V332" s="104">
        <f t="shared" ca="1" si="96"/>
        <v>0.40097126775356667</v>
      </c>
      <c r="W332" s="133">
        <f t="shared" ca="1" si="97"/>
        <v>10675.619753979738</v>
      </c>
      <c r="X332" s="104">
        <f t="shared" ca="1" si="98"/>
        <v>3.4374172588432739</v>
      </c>
      <c r="Y332" s="135">
        <f t="shared" ca="1" si="99"/>
        <v>1.9319256425718127E-2</v>
      </c>
      <c r="AE332" s="104"/>
    </row>
    <row r="333" spans="1:31" x14ac:dyDescent="0.2">
      <c r="A333" s="98">
        <v>2</v>
      </c>
      <c r="B333" s="98">
        <v>1</v>
      </c>
      <c r="C333" s="98">
        <f t="shared" si="80"/>
        <v>7</v>
      </c>
      <c r="D333" s="98">
        <f t="shared" si="81"/>
        <v>6</v>
      </c>
      <c r="E333" s="98">
        <f t="shared" si="82"/>
        <v>2</v>
      </c>
      <c r="F333" s="118">
        <f t="shared" ca="1" si="83"/>
        <v>2.7741495599999996E-2</v>
      </c>
      <c r="G333" s="98">
        <v>0</v>
      </c>
      <c r="H333" s="98">
        <v>0</v>
      </c>
      <c r="I333" s="98">
        <v>4</v>
      </c>
      <c r="J333" s="118">
        <f t="shared" ca="1" si="84"/>
        <v>1.5271992187500026E-3</v>
      </c>
      <c r="K333" s="118">
        <f t="shared" ca="1" si="85"/>
        <v>4.2366790407276631E-5</v>
      </c>
      <c r="L333" s="133">
        <f t="shared" ca="1" si="86"/>
        <v>48</v>
      </c>
      <c r="M333" s="130">
        <f t="shared" ca="1" si="87"/>
        <v>952</v>
      </c>
      <c r="N333" s="100">
        <f t="shared" ca="1" si="88"/>
        <v>5</v>
      </c>
      <c r="O333" s="136">
        <f t="shared" ca="1" si="89"/>
        <v>3.2590583346360766</v>
      </c>
      <c r="P333" s="136">
        <f t="shared" ca="1" si="90"/>
        <v>32.590583346360766</v>
      </c>
      <c r="Q333" s="136">
        <f t="shared" ca="1" si="91"/>
        <v>32.590583346360766</v>
      </c>
      <c r="R333" s="136">
        <f t="shared" ca="1" si="92"/>
        <v>3.2590583346360766</v>
      </c>
      <c r="S333" s="136">
        <f t="shared" ca="1" si="93"/>
        <v>3.2590583346360766</v>
      </c>
      <c r="T333" s="104">
        <f t="shared" ca="1" si="94"/>
        <v>1.3807584138861469E-4</v>
      </c>
      <c r="U333" s="87">
        <f t="shared" ca="1" si="95"/>
        <v>1233.3003125517403</v>
      </c>
      <c r="V333" s="104">
        <f t="shared" ca="1" si="96"/>
        <v>5.2250975851108342E-2</v>
      </c>
      <c r="W333" s="133">
        <f t="shared" ca="1" si="97"/>
        <v>8540.4958031837905</v>
      </c>
      <c r="X333" s="104">
        <f t="shared" ca="1" si="98"/>
        <v>0.36183339566771333</v>
      </c>
      <c r="Y333" s="135">
        <f t="shared" ca="1" si="99"/>
        <v>2.0336059395492782E-3</v>
      </c>
      <c r="AE333" s="104"/>
    </row>
    <row r="334" spans="1:31" x14ac:dyDescent="0.2">
      <c r="A334" s="98">
        <v>2</v>
      </c>
      <c r="B334" s="98">
        <v>1</v>
      </c>
      <c r="C334" s="98">
        <f t="shared" si="80"/>
        <v>7</v>
      </c>
      <c r="D334" s="98">
        <f t="shared" si="81"/>
        <v>6</v>
      </c>
      <c r="E334" s="98">
        <f t="shared" si="82"/>
        <v>2</v>
      </c>
      <c r="F334" s="118">
        <f t="shared" ca="1" si="83"/>
        <v>2.7741495599999996E-2</v>
      </c>
      <c r="G334" s="98">
        <v>0</v>
      </c>
      <c r="H334" s="98">
        <v>0</v>
      </c>
      <c r="I334" s="98">
        <v>3</v>
      </c>
      <c r="J334" s="118">
        <f t="shared" ca="1" si="84"/>
        <v>1.0717187500000027E-4</v>
      </c>
      <c r="K334" s="118">
        <f t="shared" ca="1" si="85"/>
        <v>2.9731080987562568E-6</v>
      </c>
      <c r="L334" s="133">
        <f t="shared" ca="1" si="86"/>
        <v>36</v>
      </c>
      <c r="M334" s="130">
        <f t="shared" ca="1" si="87"/>
        <v>964</v>
      </c>
      <c r="N334" s="100">
        <f t="shared" ca="1" si="88"/>
        <v>5</v>
      </c>
      <c r="O334" s="136">
        <f t="shared" ca="1" si="89"/>
        <v>3.2590583346360766</v>
      </c>
      <c r="P334" s="136">
        <f t="shared" ca="1" si="90"/>
        <v>32.590583346360766</v>
      </c>
      <c r="Q334" s="136">
        <f t="shared" ca="1" si="91"/>
        <v>32.590583346360766</v>
      </c>
      <c r="R334" s="136">
        <f t="shared" ca="1" si="92"/>
        <v>3.2590583346360766</v>
      </c>
      <c r="S334" s="136">
        <f t="shared" ca="1" si="93"/>
        <v>3.2590583346360766</v>
      </c>
      <c r="T334" s="104">
        <f t="shared" ca="1" si="94"/>
        <v>9.6895327290255979E-6</v>
      </c>
      <c r="U334" s="87">
        <f t="shared" ca="1" si="95"/>
        <v>1221.3003125517403</v>
      </c>
      <c r="V334" s="104">
        <f t="shared" ca="1" si="96"/>
        <v>3.6310578502611267E-3</v>
      </c>
      <c r="W334" s="133">
        <f t="shared" ca="1" si="97"/>
        <v>6405.3718523878433</v>
      </c>
      <c r="X334" s="104">
        <f t="shared" ca="1" si="98"/>
        <v>1.9043862929879665E-2</v>
      </c>
      <c r="Y334" s="135">
        <f t="shared" ca="1" si="99"/>
        <v>1.0703189155522525E-4</v>
      </c>
      <c r="AE334" s="104"/>
    </row>
    <row r="335" spans="1:31" x14ac:dyDescent="0.2">
      <c r="A335" s="98">
        <v>2</v>
      </c>
      <c r="B335" s="98">
        <v>1</v>
      </c>
      <c r="C335" s="98">
        <f t="shared" si="80"/>
        <v>7</v>
      </c>
      <c r="D335" s="98">
        <f t="shared" si="81"/>
        <v>6</v>
      </c>
      <c r="E335" s="98">
        <f t="shared" si="82"/>
        <v>2</v>
      </c>
      <c r="F335" s="118">
        <f t="shared" ca="1" si="83"/>
        <v>2.7741495599999996E-2</v>
      </c>
      <c r="G335" s="98">
        <v>0</v>
      </c>
      <c r="H335" s="98">
        <v>0</v>
      </c>
      <c r="I335" s="98">
        <v>2</v>
      </c>
      <c r="J335" s="118">
        <f t="shared" ca="1" si="84"/>
        <v>4.2304687500000152E-6</v>
      </c>
      <c r="K335" s="118">
        <f t="shared" ca="1" si="85"/>
        <v>1.173595302140629E-7</v>
      </c>
      <c r="L335" s="133">
        <f t="shared" ca="1" si="86"/>
        <v>24</v>
      </c>
      <c r="M335" s="130">
        <f t="shared" ca="1" si="87"/>
        <v>976</v>
      </c>
      <c r="N335" s="100">
        <f t="shared" ca="1" si="88"/>
        <v>5</v>
      </c>
      <c r="O335" s="136">
        <f t="shared" ca="1" si="89"/>
        <v>3.2590583346360766</v>
      </c>
      <c r="P335" s="136">
        <f t="shared" ca="1" si="90"/>
        <v>32.590583346360766</v>
      </c>
      <c r="Q335" s="136">
        <f t="shared" ca="1" si="91"/>
        <v>32.590583346360766</v>
      </c>
      <c r="R335" s="136">
        <f t="shared" ca="1" si="92"/>
        <v>3.2590583346360766</v>
      </c>
      <c r="S335" s="136">
        <f t="shared" ca="1" si="93"/>
        <v>3.2590583346360766</v>
      </c>
      <c r="T335" s="104">
        <f t="shared" ca="1" si="94"/>
        <v>3.8248155509311613E-7</v>
      </c>
      <c r="U335" s="87">
        <f t="shared" ca="1" si="95"/>
        <v>1209.3003125517403</v>
      </c>
      <c r="V335" s="104">
        <f t="shared" ca="1" si="96"/>
        <v>1.4192291656879168E-4</v>
      </c>
      <c r="W335" s="133">
        <f t="shared" ca="1" si="97"/>
        <v>4270.2479015918952</v>
      </c>
      <c r="X335" s="104">
        <f t="shared" ca="1" si="98"/>
        <v>5.011542876284127E-4</v>
      </c>
      <c r="Y335" s="135">
        <f t="shared" ca="1" si="99"/>
        <v>2.8166287251375096E-6</v>
      </c>
      <c r="AE335" s="104"/>
    </row>
    <row r="336" spans="1:31" x14ac:dyDescent="0.2">
      <c r="A336" s="98">
        <v>2</v>
      </c>
      <c r="B336" s="98">
        <v>1</v>
      </c>
      <c r="C336" s="98">
        <f t="shared" si="80"/>
        <v>7</v>
      </c>
      <c r="D336" s="98">
        <f t="shared" si="81"/>
        <v>6</v>
      </c>
      <c r="E336" s="98">
        <f t="shared" si="82"/>
        <v>2</v>
      </c>
      <c r="F336" s="118">
        <f t="shared" ca="1" si="83"/>
        <v>2.7741495599999996E-2</v>
      </c>
      <c r="G336" s="98">
        <v>0</v>
      </c>
      <c r="H336" s="98">
        <v>0</v>
      </c>
      <c r="I336" s="98">
        <v>1</v>
      </c>
      <c r="J336" s="118">
        <f t="shared" ca="1" si="84"/>
        <v>8.9062500000000418E-8</v>
      </c>
      <c r="K336" s="118">
        <f t="shared" ca="1" si="85"/>
        <v>2.4707269518750113E-9</v>
      </c>
      <c r="L336" s="133">
        <f t="shared" ca="1" si="86"/>
        <v>12</v>
      </c>
      <c r="M336" s="130">
        <f t="shared" ca="1" si="87"/>
        <v>988</v>
      </c>
      <c r="N336" s="100">
        <f t="shared" ca="1" si="88"/>
        <v>5</v>
      </c>
      <c r="O336" s="136">
        <f t="shared" ca="1" si="89"/>
        <v>3.2590583346360766</v>
      </c>
      <c r="P336" s="136">
        <f t="shared" ca="1" si="90"/>
        <v>32.590583346360766</v>
      </c>
      <c r="Q336" s="136">
        <f t="shared" ca="1" si="91"/>
        <v>32.590583346360766</v>
      </c>
      <c r="R336" s="136">
        <f t="shared" ca="1" si="92"/>
        <v>3.2590583346360766</v>
      </c>
      <c r="S336" s="136">
        <f t="shared" ca="1" si="93"/>
        <v>3.2590583346360766</v>
      </c>
      <c r="T336" s="104">
        <f t="shared" ca="1" si="94"/>
        <v>8.0522432651182449E-9</v>
      </c>
      <c r="U336" s="87">
        <f t="shared" ca="1" si="95"/>
        <v>1197.3003125517403</v>
      </c>
      <c r="V336" s="104">
        <f t="shared" ca="1" si="96"/>
        <v>2.9582021517099595E-6</v>
      </c>
      <c r="W336" s="133">
        <f t="shared" ca="1" si="97"/>
        <v>2135.1239507959476</v>
      </c>
      <c r="X336" s="104">
        <f t="shared" ca="1" si="98"/>
        <v>5.2753082908254035E-6</v>
      </c>
      <c r="Y336" s="135">
        <f t="shared" ca="1" si="99"/>
        <v>2.9648723422500137E-8</v>
      </c>
      <c r="AE336" s="104"/>
    </row>
    <row r="337" spans="1:31" x14ac:dyDescent="0.2">
      <c r="A337" s="98">
        <v>2</v>
      </c>
      <c r="B337" s="98">
        <v>1</v>
      </c>
      <c r="C337" s="98">
        <f t="shared" si="80"/>
        <v>7</v>
      </c>
      <c r="D337" s="98">
        <f t="shared" si="81"/>
        <v>6</v>
      </c>
      <c r="E337" s="98">
        <f t="shared" si="82"/>
        <v>2</v>
      </c>
      <c r="F337" s="118">
        <f t="shared" ca="1" si="83"/>
        <v>2.7741495599999996E-2</v>
      </c>
      <c r="G337" s="98">
        <v>0</v>
      </c>
      <c r="H337" s="98">
        <v>0</v>
      </c>
      <c r="I337" s="98">
        <v>0</v>
      </c>
      <c r="J337" s="118">
        <f t="shared" ca="1" si="84"/>
        <v>7.812500000000041E-10</v>
      </c>
      <c r="K337" s="118">
        <f t="shared" ca="1" si="85"/>
        <v>2.1673043437500111E-11</v>
      </c>
      <c r="L337" s="133">
        <f t="shared" ca="1" si="86"/>
        <v>0</v>
      </c>
      <c r="M337" s="130">
        <f t="shared" ca="1" si="87"/>
        <v>1000</v>
      </c>
      <c r="N337" s="100">
        <f t="shared" ca="1" si="88"/>
        <v>5</v>
      </c>
      <c r="O337" s="136">
        <f t="shared" ca="1" si="89"/>
        <v>3.2590583346360766</v>
      </c>
      <c r="P337" s="136">
        <f t="shared" ca="1" si="90"/>
        <v>32.590583346360766</v>
      </c>
      <c r="Q337" s="136">
        <f t="shared" ca="1" si="91"/>
        <v>32.590583346360766</v>
      </c>
      <c r="R337" s="136">
        <f t="shared" ca="1" si="92"/>
        <v>3.2590583346360766</v>
      </c>
      <c r="S337" s="136">
        <f t="shared" ca="1" si="93"/>
        <v>3.2590583346360766</v>
      </c>
      <c r="T337" s="104">
        <f t="shared" ca="1" si="94"/>
        <v>7.0633712851914466E-11</v>
      </c>
      <c r="U337" s="87">
        <f t="shared" ca="1" si="95"/>
        <v>1185.3003125517403</v>
      </c>
      <c r="V337" s="104">
        <f t="shared" ca="1" si="96"/>
        <v>2.5689065160416324E-8</v>
      </c>
      <c r="W337" s="133">
        <f t="shared" ca="1" si="97"/>
        <v>0</v>
      </c>
      <c r="X337" s="104">
        <f t="shared" ca="1" si="98"/>
        <v>0</v>
      </c>
      <c r="Y337" s="135">
        <f t="shared" ca="1" si="99"/>
        <v>0</v>
      </c>
      <c r="AE337" s="104"/>
    </row>
    <row r="338" spans="1:31" x14ac:dyDescent="0.2">
      <c r="A338" s="98">
        <v>2</v>
      </c>
      <c r="B338" s="98">
        <v>2</v>
      </c>
      <c r="C338" s="98">
        <f t="shared" ref="C338:C401" si="100">MIN(8, 1+$B$10+$B$9+A338+B338)</f>
        <v>8</v>
      </c>
      <c r="D338" s="98">
        <f t="shared" ref="D338:D401" si="101">C338-(1+$B$10)</f>
        <v>7</v>
      </c>
      <c r="E338" s="98">
        <f t="shared" ref="E338:E401" si="102">MIN(A338, C338-(1+$B$10+$B$9))</f>
        <v>2</v>
      </c>
      <c r="F338" s="118">
        <f t="shared" ref="F338:F401" ca="1" si="103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7.6212899999999984E-3</v>
      </c>
      <c r="G338" s="98">
        <v>1</v>
      </c>
      <c r="H338" s="98">
        <v>1</v>
      </c>
      <c r="I338" s="98">
        <v>7</v>
      </c>
      <c r="J338" s="118">
        <f t="shared" ref="J338:J401" ca="1" si="104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18">
        <f t="shared" ref="K338:K401" ca="1" si="105">F338*J338</f>
        <v>0</v>
      </c>
      <c r="L338" s="133">
        <f t="shared" ref="L338:L401" ca="1" si="106">MAX((G338+H338)*Set1WSTP + I338*$B$6, Set1SaveTP)</f>
        <v>420</v>
      </c>
      <c r="M338" s="130">
        <f t="shared" ref="M338:M401" ca="1" si="107">MAX(Set1MinTP-(L338+Set1Regain), 0)</f>
        <v>580</v>
      </c>
      <c r="N338" s="100">
        <f t="shared" ref="N338:N401" ca="1" si="108">CEILING(M338/Set1MeleeTP, 1)</f>
        <v>3</v>
      </c>
      <c r="O338" s="136">
        <f t="shared" ref="O338:O401" ca="1" si="109">VLOOKUP(N338,AvgRoundsSet1,2)</f>
        <v>2.0946097612518035</v>
      </c>
      <c r="P338" s="136">
        <f t="shared" ref="P338:P401" ca="1" si="110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20.946097612518034</v>
      </c>
      <c r="Q338" s="136">
        <f t="shared" ref="Q338:Q401" ca="1" si="111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20.946097612518034</v>
      </c>
      <c r="R338" s="136">
        <f t="shared" ref="R338:R401" ca="1" si="112">(P338+Q338)/20</f>
        <v>2.0946097612518035</v>
      </c>
      <c r="S338" s="136">
        <f t="shared" ref="S338:S401" ca="1" si="113">R338*Set1ConserveTP + O338*(1-Set1ConserveTP)</f>
        <v>2.0946097612518035</v>
      </c>
      <c r="T338" s="104">
        <f t="shared" ref="T338:T401" ca="1" si="114">K338*S338</f>
        <v>0</v>
      </c>
      <c r="U338" s="87">
        <f t="shared" ref="U338:U401" ca="1" si="115">MIN(L338+(S338+Set1OverTP)*AvgHitsPerRound1*Set1MeleeTP + Set1Regain + 105*Set1ConserveTP, 3000)</f>
        <v>1194.1775349459019</v>
      </c>
      <c r="V338" s="104">
        <f t="shared" ref="V338:V401" ca="1" si="116">U338*K338</f>
        <v>0</v>
      </c>
      <c r="W338" s="133">
        <f t="shared" ref="W338:W401" ca="1" si="117">G338*$K$10*((1-$L$10)*$L$14 + $L$10*$M$14*$M$10)*Set1WSDmg + H338*$K$13*((1-$L$13)*$L$14 + $L$13*$M$14*$M$11) + I338*$K$11*((1-$L$11)*$L$14 + $L$11*$M$14*$M$11) + E338*$K$12*$L$12*$M$10</f>
        <v>19493.681670767</v>
      </c>
      <c r="X338" s="104">
        <f t="shared" ref="X338:X401" ca="1" si="118">K338*W338</f>
        <v>0</v>
      </c>
      <c r="Y338" s="135">
        <f t="shared" ca="1" si="99"/>
        <v>0</v>
      </c>
      <c r="AE338" s="104"/>
    </row>
    <row r="339" spans="1:31" x14ac:dyDescent="0.2">
      <c r="A339" s="98">
        <v>2</v>
      </c>
      <c r="B339" s="98">
        <v>2</v>
      </c>
      <c r="C339" s="98">
        <f t="shared" si="100"/>
        <v>8</v>
      </c>
      <c r="D339" s="98">
        <f t="shared" si="101"/>
        <v>7</v>
      </c>
      <c r="E339" s="98">
        <f t="shared" si="102"/>
        <v>2</v>
      </c>
      <c r="F339" s="118">
        <f t="shared" ca="1" si="103"/>
        <v>7.6212899999999984E-3</v>
      </c>
      <c r="G339" s="98">
        <v>1</v>
      </c>
      <c r="H339" s="98">
        <v>1</v>
      </c>
      <c r="I339" s="98">
        <v>6</v>
      </c>
      <c r="J339" s="118">
        <f t="shared" ca="1" si="104"/>
        <v>0</v>
      </c>
      <c r="K339" s="118">
        <f t="shared" ca="1" si="105"/>
        <v>0</v>
      </c>
      <c r="L339" s="133">
        <f t="shared" ca="1" si="106"/>
        <v>408</v>
      </c>
      <c r="M339" s="130">
        <f t="shared" ca="1" si="107"/>
        <v>592</v>
      </c>
      <c r="N339" s="100">
        <f t="shared" ca="1" si="108"/>
        <v>3</v>
      </c>
      <c r="O339" s="136">
        <f t="shared" ca="1" si="109"/>
        <v>2.0946097612518035</v>
      </c>
      <c r="P339" s="136">
        <f t="shared" ca="1" si="110"/>
        <v>20.946097612518034</v>
      </c>
      <c r="Q339" s="136">
        <f t="shared" ca="1" si="111"/>
        <v>20.946097612518034</v>
      </c>
      <c r="R339" s="136">
        <f t="shared" ca="1" si="112"/>
        <v>2.0946097612518035</v>
      </c>
      <c r="S339" s="136">
        <f t="shared" ca="1" si="113"/>
        <v>2.0946097612518035</v>
      </c>
      <c r="T339" s="104">
        <f t="shared" ca="1" si="114"/>
        <v>0</v>
      </c>
      <c r="U339" s="87">
        <f t="shared" ca="1" si="115"/>
        <v>1182.1775349459019</v>
      </c>
      <c r="V339" s="104">
        <f t="shared" ca="1" si="116"/>
        <v>0</v>
      </c>
      <c r="W339" s="133">
        <f t="shared" ca="1" si="117"/>
        <v>17358.557719971053</v>
      </c>
      <c r="X339" s="104">
        <f t="shared" ca="1" si="118"/>
        <v>0</v>
      </c>
      <c r="Y339" s="135">
        <f t="shared" ref="Y339:Y402" ca="1" si="119">K339*L339</f>
        <v>0</v>
      </c>
      <c r="AE339" s="104"/>
    </row>
    <row r="340" spans="1:31" x14ac:dyDescent="0.2">
      <c r="A340" s="98">
        <v>2</v>
      </c>
      <c r="B340" s="98">
        <v>2</v>
      </c>
      <c r="C340" s="98">
        <f t="shared" si="100"/>
        <v>8</v>
      </c>
      <c r="D340" s="98">
        <f t="shared" si="101"/>
        <v>7</v>
      </c>
      <c r="E340" s="98">
        <f t="shared" si="102"/>
        <v>2</v>
      </c>
      <c r="F340" s="118">
        <f t="shared" ca="1" si="103"/>
        <v>7.6212899999999984E-3</v>
      </c>
      <c r="G340" s="98">
        <v>1</v>
      </c>
      <c r="H340" s="98">
        <v>1</v>
      </c>
      <c r="I340" s="98">
        <v>5</v>
      </c>
      <c r="J340" s="118">
        <f t="shared" ca="1" si="104"/>
        <v>0</v>
      </c>
      <c r="K340" s="118">
        <f t="shared" ca="1" si="105"/>
        <v>0</v>
      </c>
      <c r="L340" s="133">
        <f t="shared" ca="1" si="106"/>
        <v>396</v>
      </c>
      <c r="M340" s="130">
        <f t="shared" ca="1" si="107"/>
        <v>604</v>
      </c>
      <c r="N340" s="100">
        <f t="shared" ca="1" si="108"/>
        <v>3</v>
      </c>
      <c r="O340" s="136">
        <f t="shared" ca="1" si="109"/>
        <v>2.0946097612518035</v>
      </c>
      <c r="P340" s="136">
        <f t="shared" ca="1" si="110"/>
        <v>20.946097612518034</v>
      </c>
      <c r="Q340" s="136">
        <f t="shared" ca="1" si="111"/>
        <v>20.946097612518034</v>
      </c>
      <c r="R340" s="136">
        <f t="shared" ca="1" si="112"/>
        <v>2.0946097612518035</v>
      </c>
      <c r="S340" s="136">
        <f t="shared" ca="1" si="113"/>
        <v>2.0946097612518035</v>
      </c>
      <c r="T340" s="104">
        <f t="shared" ca="1" si="114"/>
        <v>0</v>
      </c>
      <c r="U340" s="87">
        <f t="shared" ca="1" si="115"/>
        <v>1170.1775349459019</v>
      </c>
      <c r="V340" s="104">
        <f t="shared" ca="1" si="116"/>
        <v>0</v>
      </c>
      <c r="W340" s="133">
        <f t="shared" ca="1" si="117"/>
        <v>15223.433769175106</v>
      </c>
      <c r="X340" s="104">
        <f t="shared" ca="1" si="118"/>
        <v>0</v>
      </c>
      <c r="Y340" s="135">
        <f t="shared" ca="1" si="119"/>
        <v>0</v>
      </c>
      <c r="AE340" s="104"/>
    </row>
    <row r="341" spans="1:31" x14ac:dyDescent="0.2">
      <c r="A341" s="98">
        <v>2</v>
      </c>
      <c r="B341" s="98">
        <v>2</v>
      </c>
      <c r="C341" s="98">
        <f t="shared" si="100"/>
        <v>8</v>
      </c>
      <c r="D341" s="98">
        <f t="shared" si="101"/>
        <v>7</v>
      </c>
      <c r="E341" s="98">
        <f t="shared" si="102"/>
        <v>2</v>
      </c>
      <c r="F341" s="118">
        <f t="shared" ca="1" si="103"/>
        <v>7.6212899999999984E-3</v>
      </c>
      <c r="G341" s="98">
        <v>1</v>
      </c>
      <c r="H341" s="98">
        <v>1</v>
      </c>
      <c r="I341" s="98">
        <v>4</v>
      </c>
      <c r="J341" s="118">
        <f t="shared" ca="1" si="104"/>
        <v>0</v>
      </c>
      <c r="K341" s="118">
        <f t="shared" ca="1" si="105"/>
        <v>0</v>
      </c>
      <c r="L341" s="133">
        <f t="shared" ca="1" si="106"/>
        <v>384</v>
      </c>
      <c r="M341" s="130">
        <f t="shared" ca="1" si="107"/>
        <v>616</v>
      </c>
      <c r="N341" s="100">
        <f t="shared" ca="1" si="108"/>
        <v>3</v>
      </c>
      <c r="O341" s="136">
        <f t="shared" ca="1" si="109"/>
        <v>2.0946097612518035</v>
      </c>
      <c r="P341" s="136">
        <f t="shared" ca="1" si="110"/>
        <v>20.946097612518034</v>
      </c>
      <c r="Q341" s="136">
        <f t="shared" ca="1" si="111"/>
        <v>20.946097612518034</v>
      </c>
      <c r="R341" s="136">
        <f t="shared" ca="1" si="112"/>
        <v>2.0946097612518035</v>
      </c>
      <c r="S341" s="136">
        <f t="shared" ca="1" si="113"/>
        <v>2.0946097612518035</v>
      </c>
      <c r="T341" s="104">
        <f t="shared" ca="1" si="114"/>
        <v>0</v>
      </c>
      <c r="U341" s="87">
        <f t="shared" ca="1" si="115"/>
        <v>1158.1775349459019</v>
      </c>
      <c r="V341" s="104">
        <f t="shared" ca="1" si="116"/>
        <v>0</v>
      </c>
      <c r="W341" s="133">
        <f t="shared" ca="1" si="117"/>
        <v>13088.309818379159</v>
      </c>
      <c r="X341" s="104">
        <f t="shared" ca="1" si="118"/>
        <v>0</v>
      </c>
      <c r="Y341" s="135">
        <f t="shared" ca="1" si="119"/>
        <v>0</v>
      </c>
      <c r="AE341" s="104"/>
    </row>
    <row r="342" spans="1:31" x14ac:dyDescent="0.2">
      <c r="A342" s="98">
        <v>2</v>
      </c>
      <c r="B342" s="98">
        <v>2</v>
      </c>
      <c r="C342" s="98">
        <f t="shared" si="100"/>
        <v>8</v>
      </c>
      <c r="D342" s="98">
        <f t="shared" si="101"/>
        <v>7</v>
      </c>
      <c r="E342" s="98">
        <f t="shared" si="102"/>
        <v>2</v>
      </c>
      <c r="F342" s="118">
        <f t="shared" ca="1" si="103"/>
        <v>7.6212899999999984E-3</v>
      </c>
      <c r="G342" s="98">
        <v>1</v>
      </c>
      <c r="H342" s="98">
        <v>1</v>
      </c>
      <c r="I342" s="98">
        <v>3</v>
      </c>
      <c r="J342" s="118">
        <f t="shared" ca="1" si="104"/>
        <v>0</v>
      </c>
      <c r="K342" s="118">
        <f t="shared" ca="1" si="105"/>
        <v>0</v>
      </c>
      <c r="L342" s="133">
        <f t="shared" ca="1" si="106"/>
        <v>372</v>
      </c>
      <c r="M342" s="130">
        <f t="shared" ca="1" si="107"/>
        <v>628</v>
      </c>
      <c r="N342" s="100">
        <f t="shared" ca="1" si="108"/>
        <v>4</v>
      </c>
      <c r="O342" s="136">
        <f t="shared" ca="1" si="109"/>
        <v>2.6618557453501217</v>
      </c>
      <c r="P342" s="136">
        <f t="shared" ca="1" si="110"/>
        <v>24.349573517107945</v>
      </c>
      <c r="Q342" s="136">
        <f t="shared" ca="1" si="111"/>
        <v>20.946097612518034</v>
      </c>
      <c r="R342" s="136">
        <f t="shared" ca="1" si="112"/>
        <v>2.2647835564812988</v>
      </c>
      <c r="S342" s="136">
        <f t="shared" ca="1" si="113"/>
        <v>2.5308219230234101</v>
      </c>
      <c r="T342" s="104">
        <f t="shared" ca="1" si="114"/>
        <v>0</v>
      </c>
      <c r="U342" s="87">
        <f t="shared" ca="1" si="115"/>
        <v>1300.1875613842344</v>
      </c>
      <c r="V342" s="104">
        <f t="shared" ca="1" si="116"/>
        <v>0</v>
      </c>
      <c r="W342" s="133">
        <f t="shared" ca="1" si="117"/>
        <v>10953.185867583212</v>
      </c>
      <c r="X342" s="104">
        <f t="shared" ca="1" si="118"/>
        <v>0</v>
      </c>
      <c r="Y342" s="135">
        <f t="shared" ca="1" si="119"/>
        <v>0</v>
      </c>
      <c r="AE342" s="104"/>
    </row>
    <row r="343" spans="1:31" x14ac:dyDescent="0.2">
      <c r="A343" s="98">
        <v>2</v>
      </c>
      <c r="B343" s="98">
        <v>2</v>
      </c>
      <c r="C343" s="98">
        <f t="shared" si="100"/>
        <v>8</v>
      </c>
      <c r="D343" s="98">
        <f t="shared" si="101"/>
        <v>7</v>
      </c>
      <c r="E343" s="98">
        <f t="shared" si="102"/>
        <v>2</v>
      </c>
      <c r="F343" s="118">
        <f t="shared" ca="1" si="103"/>
        <v>7.6212899999999984E-3</v>
      </c>
      <c r="G343" s="98">
        <v>1</v>
      </c>
      <c r="H343" s="98">
        <v>1</v>
      </c>
      <c r="I343" s="98">
        <v>2</v>
      </c>
      <c r="J343" s="118">
        <f t="shared" ca="1" si="104"/>
        <v>0</v>
      </c>
      <c r="K343" s="118">
        <f t="shared" ca="1" si="105"/>
        <v>0</v>
      </c>
      <c r="L343" s="133">
        <f t="shared" ca="1" si="106"/>
        <v>360</v>
      </c>
      <c r="M343" s="130">
        <f t="shared" ca="1" si="107"/>
        <v>640</v>
      </c>
      <c r="N343" s="100">
        <f t="shared" ca="1" si="108"/>
        <v>4</v>
      </c>
      <c r="O343" s="136">
        <f t="shared" ca="1" si="109"/>
        <v>2.6618557453501217</v>
      </c>
      <c r="P343" s="136">
        <f t="shared" ca="1" si="110"/>
        <v>26.618557453501214</v>
      </c>
      <c r="Q343" s="136">
        <f t="shared" ca="1" si="111"/>
        <v>25.48406548530458</v>
      </c>
      <c r="R343" s="136">
        <f t="shared" ca="1" si="112"/>
        <v>2.6051311469402898</v>
      </c>
      <c r="S343" s="136">
        <f t="shared" ca="1" si="113"/>
        <v>2.6431366278748771</v>
      </c>
      <c r="T343" s="104">
        <f t="shared" ca="1" si="114"/>
        <v>0</v>
      </c>
      <c r="U343" s="87">
        <f t="shared" ca="1" si="115"/>
        <v>1327.8416384125694</v>
      </c>
      <c r="V343" s="104">
        <f t="shared" ca="1" si="116"/>
        <v>0</v>
      </c>
      <c r="W343" s="133">
        <f t="shared" ca="1" si="117"/>
        <v>8818.0619167872646</v>
      </c>
      <c r="X343" s="104">
        <f t="shared" ca="1" si="118"/>
        <v>0</v>
      </c>
      <c r="Y343" s="135">
        <f t="shared" ca="1" si="119"/>
        <v>0</v>
      </c>
      <c r="AE343" s="104"/>
    </row>
    <row r="344" spans="1:31" x14ac:dyDescent="0.2">
      <c r="A344" s="98">
        <v>2</v>
      </c>
      <c r="B344" s="98">
        <v>2</v>
      </c>
      <c r="C344" s="98">
        <f t="shared" si="100"/>
        <v>8</v>
      </c>
      <c r="D344" s="98">
        <f t="shared" si="101"/>
        <v>7</v>
      </c>
      <c r="E344" s="98">
        <f t="shared" si="102"/>
        <v>2</v>
      </c>
      <c r="F344" s="118">
        <f t="shared" ca="1" si="103"/>
        <v>7.6212899999999984E-3</v>
      </c>
      <c r="G344" s="98">
        <v>1</v>
      </c>
      <c r="H344" s="98">
        <v>1</v>
      </c>
      <c r="I344" s="98">
        <v>1</v>
      </c>
      <c r="J344" s="118">
        <f t="shared" ca="1" si="104"/>
        <v>0</v>
      </c>
      <c r="K344" s="118">
        <f t="shared" ca="1" si="105"/>
        <v>0</v>
      </c>
      <c r="L344" s="133">
        <f t="shared" ca="1" si="106"/>
        <v>348</v>
      </c>
      <c r="M344" s="130">
        <f t="shared" ca="1" si="107"/>
        <v>652</v>
      </c>
      <c r="N344" s="100">
        <f t="shared" ca="1" si="108"/>
        <v>4</v>
      </c>
      <c r="O344" s="136">
        <f t="shared" ca="1" si="109"/>
        <v>2.6618557453501217</v>
      </c>
      <c r="P344" s="136">
        <f t="shared" ca="1" si="110"/>
        <v>26.618557453501214</v>
      </c>
      <c r="Q344" s="136">
        <f t="shared" ca="1" si="111"/>
        <v>26.618557453501214</v>
      </c>
      <c r="R344" s="136">
        <f t="shared" ca="1" si="112"/>
        <v>2.6618557453501213</v>
      </c>
      <c r="S344" s="136">
        <f t="shared" ca="1" si="113"/>
        <v>2.6618557453501213</v>
      </c>
      <c r="T344" s="104">
        <f t="shared" ca="1" si="114"/>
        <v>0</v>
      </c>
      <c r="U344" s="87">
        <f t="shared" ca="1" si="115"/>
        <v>1322.4506512506252</v>
      </c>
      <c r="V344" s="104">
        <f t="shared" ca="1" si="116"/>
        <v>0</v>
      </c>
      <c r="W344" s="133">
        <f t="shared" ca="1" si="117"/>
        <v>6682.9379659913157</v>
      </c>
      <c r="X344" s="104">
        <f t="shared" ca="1" si="118"/>
        <v>0</v>
      </c>
      <c r="Y344" s="135">
        <f t="shared" ca="1" si="119"/>
        <v>0</v>
      </c>
      <c r="AE344" s="104"/>
    </row>
    <row r="345" spans="1:31" x14ac:dyDescent="0.2">
      <c r="A345" s="98">
        <v>2</v>
      </c>
      <c r="B345" s="98">
        <v>2</v>
      </c>
      <c r="C345" s="98">
        <f t="shared" si="100"/>
        <v>8</v>
      </c>
      <c r="D345" s="98">
        <f t="shared" si="101"/>
        <v>7</v>
      </c>
      <c r="E345" s="98">
        <f t="shared" si="102"/>
        <v>2</v>
      </c>
      <c r="F345" s="118">
        <f t="shared" ca="1" si="103"/>
        <v>7.6212899999999984E-3</v>
      </c>
      <c r="G345" s="98">
        <v>1</v>
      </c>
      <c r="H345" s="98">
        <v>1</v>
      </c>
      <c r="I345" s="98">
        <v>0</v>
      </c>
      <c r="J345" s="118">
        <f t="shared" ca="1" si="104"/>
        <v>0</v>
      </c>
      <c r="K345" s="118">
        <f t="shared" ca="1" si="105"/>
        <v>0</v>
      </c>
      <c r="L345" s="133">
        <f t="shared" ca="1" si="106"/>
        <v>336</v>
      </c>
      <c r="M345" s="130">
        <f t="shared" ca="1" si="107"/>
        <v>664</v>
      </c>
      <c r="N345" s="100">
        <f t="shared" ca="1" si="108"/>
        <v>4</v>
      </c>
      <c r="O345" s="136">
        <f t="shared" ca="1" si="109"/>
        <v>2.6618557453501217</v>
      </c>
      <c r="P345" s="136">
        <f t="shared" ca="1" si="110"/>
        <v>26.618557453501214</v>
      </c>
      <c r="Q345" s="136">
        <f t="shared" ca="1" si="111"/>
        <v>26.618557453501214</v>
      </c>
      <c r="R345" s="136">
        <f t="shared" ca="1" si="112"/>
        <v>2.6618557453501213</v>
      </c>
      <c r="S345" s="136">
        <f t="shared" ca="1" si="113"/>
        <v>2.6618557453501213</v>
      </c>
      <c r="T345" s="104">
        <f t="shared" ca="1" si="114"/>
        <v>0</v>
      </c>
      <c r="U345" s="87">
        <f t="shared" ca="1" si="115"/>
        <v>1310.4506512506252</v>
      </c>
      <c r="V345" s="104">
        <f t="shared" ca="1" si="116"/>
        <v>0</v>
      </c>
      <c r="W345" s="133">
        <f t="shared" ca="1" si="117"/>
        <v>4547.8140151953685</v>
      </c>
      <c r="X345" s="104">
        <f t="shared" ca="1" si="118"/>
        <v>0</v>
      </c>
      <c r="Y345" s="135">
        <f t="shared" ca="1" si="119"/>
        <v>0</v>
      </c>
      <c r="AE345" s="104"/>
    </row>
    <row r="346" spans="1:31" x14ac:dyDescent="0.2">
      <c r="A346" s="98">
        <v>2</v>
      </c>
      <c r="B346" s="98">
        <v>2</v>
      </c>
      <c r="C346" s="98">
        <f t="shared" si="100"/>
        <v>8</v>
      </c>
      <c r="D346" s="98">
        <f t="shared" si="101"/>
        <v>7</v>
      </c>
      <c r="E346" s="98">
        <f t="shared" si="102"/>
        <v>2</v>
      </c>
      <c r="F346" s="118">
        <f t="shared" ca="1" si="103"/>
        <v>7.6212899999999984E-3</v>
      </c>
      <c r="G346" s="98">
        <v>1</v>
      </c>
      <c r="H346" s="98">
        <v>0</v>
      </c>
      <c r="I346" s="98">
        <v>7</v>
      </c>
      <c r="J346" s="118">
        <f t="shared" ca="1" si="104"/>
        <v>0.66342043128906247</v>
      </c>
      <c r="K346" s="118">
        <f t="shared" ca="1" si="105"/>
        <v>5.0561194987790176E-3</v>
      </c>
      <c r="L346" s="133">
        <f t="shared" ca="1" si="106"/>
        <v>252</v>
      </c>
      <c r="M346" s="130">
        <f t="shared" ca="1" si="107"/>
        <v>748</v>
      </c>
      <c r="N346" s="100">
        <f t="shared" ca="1" si="108"/>
        <v>4</v>
      </c>
      <c r="O346" s="136">
        <f t="shared" ca="1" si="109"/>
        <v>2.6618557453501217</v>
      </c>
      <c r="P346" s="136">
        <f t="shared" ca="1" si="110"/>
        <v>26.618557453501214</v>
      </c>
      <c r="Q346" s="136">
        <f t="shared" ca="1" si="111"/>
        <v>26.618557453501214</v>
      </c>
      <c r="R346" s="136">
        <f t="shared" ca="1" si="112"/>
        <v>2.6618557453501213</v>
      </c>
      <c r="S346" s="136">
        <f t="shared" ca="1" si="113"/>
        <v>2.6618557453501213</v>
      </c>
      <c r="T346" s="104">
        <f t="shared" ca="1" si="114"/>
        <v>1.3458660737001703E-2</v>
      </c>
      <c r="U346" s="87">
        <f t="shared" ca="1" si="115"/>
        <v>1226.4506512506252</v>
      </c>
      <c r="V346" s="104">
        <f t="shared" ca="1" si="116"/>
        <v>6.2010810520785107</v>
      </c>
      <c r="W346" s="133">
        <f t="shared" ca="1" si="117"/>
        <v>17358.557719971053</v>
      </c>
      <c r="X346" s="104">
        <f t="shared" ca="1" si="118"/>
        <v>87.766942158626691</v>
      </c>
      <c r="Y346" s="135">
        <f t="shared" ca="1" si="119"/>
        <v>1.2741421136923123</v>
      </c>
      <c r="AE346" s="104"/>
    </row>
    <row r="347" spans="1:31" x14ac:dyDescent="0.2">
      <c r="A347" s="98">
        <v>2</v>
      </c>
      <c r="B347" s="98">
        <v>2</v>
      </c>
      <c r="C347" s="98">
        <f t="shared" si="100"/>
        <v>8</v>
      </c>
      <c r="D347" s="98">
        <f t="shared" si="101"/>
        <v>7</v>
      </c>
      <c r="E347" s="98">
        <f t="shared" si="102"/>
        <v>2</v>
      </c>
      <c r="F347" s="118">
        <f t="shared" ca="1" si="103"/>
        <v>7.6212899999999984E-3</v>
      </c>
      <c r="G347" s="98">
        <v>1</v>
      </c>
      <c r="H347" s="98">
        <v>0</v>
      </c>
      <c r="I347" s="98">
        <v>6</v>
      </c>
      <c r="J347" s="118">
        <f t="shared" ca="1" si="104"/>
        <v>0.24441805363281272</v>
      </c>
      <c r="K347" s="118">
        <f t="shared" ca="1" si="105"/>
        <v>1.8627808679712188E-3</v>
      </c>
      <c r="L347" s="133">
        <f t="shared" ca="1" si="106"/>
        <v>240</v>
      </c>
      <c r="M347" s="130">
        <f t="shared" ca="1" si="107"/>
        <v>760</v>
      </c>
      <c r="N347" s="100">
        <f t="shared" ca="1" si="108"/>
        <v>4</v>
      </c>
      <c r="O347" s="136">
        <f t="shared" ca="1" si="109"/>
        <v>2.6618557453501217</v>
      </c>
      <c r="P347" s="136">
        <f t="shared" ca="1" si="110"/>
        <v>26.618557453501214</v>
      </c>
      <c r="Q347" s="136">
        <f t="shared" ca="1" si="111"/>
        <v>26.618557453501214</v>
      </c>
      <c r="R347" s="136">
        <f t="shared" ca="1" si="112"/>
        <v>2.6618557453501213</v>
      </c>
      <c r="S347" s="136">
        <f t="shared" ca="1" si="113"/>
        <v>2.6618557453501213</v>
      </c>
      <c r="T347" s="104">
        <f t="shared" ca="1" si="114"/>
        <v>4.9584539557374742E-3</v>
      </c>
      <c r="U347" s="87">
        <f t="shared" ca="1" si="115"/>
        <v>1214.4506512506252</v>
      </c>
      <c r="V347" s="104">
        <f t="shared" ca="1" si="116"/>
        <v>2.2622554382448516</v>
      </c>
      <c r="W347" s="133">
        <f t="shared" ca="1" si="117"/>
        <v>15223.433769175106</v>
      </c>
      <c r="X347" s="104">
        <f t="shared" ca="1" si="118"/>
        <v>28.357921170046367</v>
      </c>
      <c r="Y347" s="135">
        <f t="shared" ca="1" si="119"/>
        <v>0.44706740831309255</v>
      </c>
      <c r="AE347" s="104"/>
    </row>
    <row r="348" spans="1:31" x14ac:dyDescent="0.2">
      <c r="A348" s="98">
        <v>2</v>
      </c>
      <c r="B348" s="98">
        <v>2</v>
      </c>
      <c r="C348" s="98">
        <f t="shared" si="100"/>
        <v>8</v>
      </c>
      <c r="D348" s="98">
        <f t="shared" si="101"/>
        <v>7</v>
      </c>
      <c r="E348" s="98">
        <f t="shared" si="102"/>
        <v>2</v>
      </c>
      <c r="F348" s="118">
        <f t="shared" ca="1" si="103"/>
        <v>7.6212899999999984E-3</v>
      </c>
      <c r="G348" s="98">
        <v>1</v>
      </c>
      <c r="H348" s="98">
        <v>0</v>
      </c>
      <c r="I348" s="98">
        <v>5</v>
      </c>
      <c r="J348" s="118">
        <f t="shared" ca="1" si="104"/>
        <v>3.8592324257812567E-2</v>
      </c>
      <c r="K348" s="118">
        <f t="shared" ca="1" si="105"/>
        <v>2.9412329494282426E-4</v>
      </c>
      <c r="L348" s="133">
        <f t="shared" ca="1" si="106"/>
        <v>228</v>
      </c>
      <c r="M348" s="130">
        <f t="shared" ca="1" si="107"/>
        <v>772</v>
      </c>
      <c r="N348" s="100">
        <f t="shared" ca="1" si="108"/>
        <v>4</v>
      </c>
      <c r="O348" s="136">
        <f t="shared" ca="1" si="109"/>
        <v>2.6618557453501217</v>
      </c>
      <c r="P348" s="136">
        <f t="shared" ca="1" si="110"/>
        <v>26.618557453501214</v>
      </c>
      <c r="Q348" s="136">
        <f t="shared" ca="1" si="111"/>
        <v>26.618557453501214</v>
      </c>
      <c r="R348" s="136">
        <f t="shared" ca="1" si="112"/>
        <v>2.6618557453501213</v>
      </c>
      <c r="S348" s="136">
        <f t="shared" ca="1" si="113"/>
        <v>2.6618557453501213</v>
      </c>
      <c r="T348" s="104">
        <f t="shared" ca="1" si="114"/>
        <v>7.8291378248486498E-4</v>
      </c>
      <c r="U348" s="87">
        <f t="shared" ca="1" si="115"/>
        <v>1202.4506512506252</v>
      </c>
      <c r="V348" s="104">
        <f t="shared" ca="1" si="116"/>
        <v>0.35366874755197875</v>
      </c>
      <c r="W348" s="133">
        <f t="shared" ca="1" si="117"/>
        <v>13088.309818379159</v>
      </c>
      <c r="X348" s="104">
        <f t="shared" ca="1" si="118"/>
        <v>3.849576809014196</v>
      </c>
      <c r="Y348" s="135">
        <f t="shared" ca="1" si="119"/>
        <v>6.7060111246963927E-2</v>
      </c>
      <c r="AE348" s="104"/>
    </row>
    <row r="349" spans="1:31" x14ac:dyDescent="0.2">
      <c r="A349" s="98">
        <v>2</v>
      </c>
      <c r="B349" s="98">
        <v>2</v>
      </c>
      <c r="C349" s="98">
        <f t="shared" si="100"/>
        <v>8</v>
      </c>
      <c r="D349" s="98">
        <f t="shared" si="101"/>
        <v>7</v>
      </c>
      <c r="E349" s="98">
        <f t="shared" si="102"/>
        <v>2</v>
      </c>
      <c r="F349" s="118">
        <f t="shared" ca="1" si="103"/>
        <v>7.6212899999999984E-3</v>
      </c>
      <c r="G349" s="98">
        <v>1</v>
      </c>
      <c r="H349" s="98">
        <v>0</v>
      </c>
      <c r="I349" s="98">
        <v>4</v>
      </c>
      <c r="J349" s="118">
        <f t="shared" ca="1" si="104"/>
        <v>3.3852916015625085E-3</v>
      </c>
      <c r="K349" s="118">
        <f t="shared" ca="1" si="105"/>
        <v>2.5800289030072323E-5</v>
      </c>
      <c r="L349" s="133">
        <f t="shared" ca="1" si="106"/>
        <v>216</v>
      </c>
      <c r="M349" s="130">
        <f t="shared" ca="1" si="107"/>
        <v>784</v>
      </c>
      <c r="N349" s="100">
        <f t="shared" ca="1" si="108"/>
        <v>4</v>
      </c>
      <c r="O349" s="136">
        <f t="shared" ca="1" si="109"/>
        <v>2.6618557453501217</v>
      </c>
      <c r="P349" s="136">
        <f t="shared" ca="1" si="110"/>
        <v>26.618557453501214</v>
      </c>
      <c r="Q349" s="136">
        <f t="shared" ca="1" si="111"/>
        <v>26.618557453501214</v>
      </c>
      <c r="R349" s="136">
        <f t="shared" ca="1" si="112"/>
        <v>2.6618557453501213</v>
      </c>
      <c r="S349" s="136">
        <f t="shared" ca="1" si="113"/>
        <v>2.6618557453501213</v>
      </c>
      <c r="T349" s="104">
        <f t="shared" ca="1" si="114"/>
        <v>6.8676647586391715E-5</v>
      </c>
      <c r="U349" s="87">
        <f t="shared" ca="1" si="115"/>
        <v>1190.4506512506252</v>
      </c>
      <c r="V349" s="104">
        <f t="shared" ca="1" si="116"/>
        <v>3.0713970878303961E-2</v>
      </c>
      <c r="W349" s="133">
        <f t="shared" ca="1" si="117"/>
        <v>10953.185867583212</v>
      </c>
      <c r="X349" s="104">
        <f t="shared" ca="1" si="118"/>
        <v>0.28259536118375034</v>
      </c>
      <c r="Y349" s="135">
        <f t="shared" ca="1" si="119"/>
        <v>5.5728624304956223E-3</v>
      </c>
      <c r="AE349" s="104"/>
    </row>
    <row r="350" spans="1:31" x14ac:dyDescent="0.2">
      <c r="A350" s="98">
        <v>2</v>
      </c>
      <c r="B350" s="98">
        <v>2</v>
      </c>
      <c r="C350" s="98">
        <f t="shared" si="100"/>
        <v>8</v>
      </c>
      <c r="D350" s="98">
        <f t="shared" si="101"/>
        <v>7</v>
      </c>
      <c r="E350" s="98">
        <f t="shared" si="102"/>
        <v>2</v>
      </c>
      <c r="F350" s="118">
        <f t="shared" ca="1" si="103"/>
        <v>7.6212899999999984E-3</v>
      </c>
      <c r="G350" s="98">
        <v>1</v>
      </c>
      <c r="H350" s="98">
        <v>0</v>
      </c>
      <c r="I350" s="98">
        <v>3</v>
      </c>
      <c r="J350" s="118">
        <f t="shared" ca="1" si="104"/>
        <v>1.7817324218750058E-4</v>
      </c>
      <c r="K350" s="118">
        <f t="shared" ca="1" si="105"/>
        <v>1.3579099489511761E-6</v>
      </c>
      <c r="L350" s="133">
        <f t="shared" ca="1" si="106"/>
        <v>204</v>
      </c>
      <c r="M350" s="130">
        <f t="shared" ca="1" si="107"/>
        <v>796</v>
      </c>
      <c r="N350" s="100">
        <f t="shared" ca="1" si="108"/>
        <v>4</v>
      </c>
      <c r="O350" s="136">
        <f t="shared" ca="1" si="109"/>
        <v>2.6618557453501217</v>
      </c>
      <c r="P350" s="136">
        <f t="shared" ca="1" si="110"/>
        <v>26.618557453501214</v>
      </c>
      <c r="Q350" s="136">
        <f t="shared" ca="1" si="111"/>
        <v>26.618557453501214</v>
      </c>
      <c r="R350" s="136">
        <f t="shared" ca="1" si="112"/>
        <v>2.6618557453501213</v>
      </c>
      <c r="S350" s="136">
        <f t="shared" ca="1" si="113"/>
        <v>2.6618557453501213</v>
      </c>
      <c r="T350" s="104">
        <f t="shared" ca="1" si="114"/>
        <v>3.6145603992837782E-6</v>
      </c>
      <c r="U350" s="87">
        <f t="shared" ca="1" si="115"/>
        <v>1178.4506512506252</v>
      </c>
      <c r="V350" s="104">
        <f t="shared" ca="1" si="116"/>
        <v>1.6002298636812167E-3</v>
      </c>
      <c r="W350" s="133">
        <f t="shared" ca="1" si="117"/>
        <v>8818.0619167872646</v>
      </c>
      <c r="X350" s="104">
        <f t="shared" ca="1" si="118"/>
        <v>1.1974134007272905E-2</v>
      </c>
      <c r="Y350" s="135">
        <f t="shared" ca="1" si="119"/>
        <v>2.7701362958603993E-4</v>
      </c>
      <c r="AE350" s="104"/>
    </row>
    <row r="351" spans="1:31" x14ac:dyDescent="0.2">
      <c r="A351" s="98">
        <v>2</v>
      </c>
      <c r="B351" s="98">
        <v>2</v>
      </c>
      <c r="C351" s="98">
        <f t="shared" si="100"/>
        <v>8</v>
      </c>
      <c r="D351" s="98">
        <f t="shared" si="101"/>
        <v>7</v>
      </c>
      <c r="E351" s="98">
        <f t="shared" si="102"/>
        <v>2</v>
      </c>
      <c r="F351" s="118">
        <f t="shared" ca="1" si="103"/>
        <v>7.6212899999999984E-3</v>
      </c>
      <c r="G351" s="98">
        <v>1</v>
      </c>
      <c r="H351" s="98">
        <v>0</v>
      </c>
      <c r="I351" s="98">
        <v>2</v>
      </c>
      <c r="J351" s="118">
        <f t="shared" ca="1" si="104"/>
        <v>5.6265234375000243E-6</v>
      </c>
      <c r="K351" s="118">
        <f t="shared" ca="1" si="105"/>
        <v>4.2881366808984554E-8</v>
      </c>
      <c r="L351" s="133">
        <f t="shared" ca="1" si="106"/>
        <v>192</v>
      </c>
      <c r="M351" s="130">
        <f t="shared" ca="1" si="107"/>
        <v>808</v>
      </c>
      <c r="N351" s="100">
        <f t="shared" ca="1" si="108"/>
        <v>4</v>
      </c>
      <c r="O351" s="136">
        <f t="shared" ca="1" si="109"/>
        <v>2.6618557453501217</v>
      </c>
      <c r="P351" s="136">
        <f t="shared" ca="1" si="110"/>
        <v>26.618557453501214</v>
      </c>
      <c r="Q351" s="136">
        <f t="shared" ca="1" si="111"/>
        <v>26.618557453501214</v>
      </c>
      <c r="R351" s="136">
        <f t="shared" ca="1" si="112"/>
        <v>2.6618557453501213</v>
      </c>
      <c r="S351" s="136">
        <f t="shared" ca="1" si="113"/>
        <v>2.6618557453501213</v>
      </c>
      <c r="T351" s="104">
        <f t="shared" ca="1" si="114"/>
        <v>1.1414401260896154E-7</v>
      </c>
      <c r="U351" s="87">
        <f t="shared" ca="1" si="115"/>
        <v>1166.4506512506252</v>
      </c>
      <c r="V351" s="104">
        <f t="shared" ca="1" si="116"/>
        <v>5.0018998240856981E-5</v>
      </c>
      <c r="W351" s="133">
        <f t="shared" ca="1" si="117"/>
        <v>6682.9379659913157</v>
      </c>
      <c r="X351" s="104">
        <f t="shared" ca="1" si="118"/>
        <v>2.8657351428136276E-4</v>
      </c>
      <c r="Y351" s="135">
        <f t="shared" ca="1" si="119"/>
        <v>8.2332224273250349E-6</v>
      </c>
      <c r="AE351" s="104"/>
    </row>
    <row r="352" spans="1:31" x14ac:dyDescent="0.2">
      <c r="A352" s="98">
        <v>2</v>
      </c>
      <c r="B352" s="98">
        <v>2</v>
      </c>
      <c r="C352" s="98">
        <f t="shared" si="100"/>
        <v>8</v>
      </c>
      <c r="D352" s="98">
        <f t="shared" si="101"/>
        <v>7</v>
      </c>
      <c r="E352" s="98">
        <f t="shared" si="102"/>
        <v>2</v>
      </c>
      <c r="F352" s="118">
        <f t="shared" ca="1" si="103"/>
        <v>7.6212899999999984E-3</v>
      </c>
      <c r="G352" s="98">
        <v>1</v>
      </c>
      <c r="H352" s="98">
        <v>0</v>
      </c>
      <c r="I352" s="98">
        <v>1</v>
      </c>
      <c r="J352" s="118">
        <f t="shared" ca="1" si="104"/>
        <v>9.8710937500000504E-8</v>
      </c>
      <c r="K352" s="118">
        <f t="shared" ca="1" si="105"/>
        <v>7.5230468085937866E-10</v>
      </c>
      <c r="L352" s="133">
        <f t="shared" ca="1" si="106"/>
        <v>180</v>
      </c>
      <c r="M352" s="130">
        <f t="shared" ca="1" si="107"/>
        <v>820</v>
      </c>
      <c r="N352" s="100">
        <f t="shared" ca="1" si="108"/>
        <v>4</v>
      </c>
      <c r="O352" s="136">
        <f t="shared" ca="1" si="109"/>
        <v>2.6618557453501217</v>
      </c>
      <c r="P352" s="136">
        <f t="shared" ca="1" si="110"/>
        <v>26.618557453501214</v>
      </c>
      <c r="Q352" s="136">
        <f t="shared" ca="1" si="111"/>
        <v>26.618557453501214</v>
      </c>
      <c r="R352" s="136">
        <f t="shared" ca="1" si="112"/>
        <v>2.6618557453501213</v>
      </c>
      <c r="S352" s="136">
        <f t="shared" ca="1" si="113"/>
        <v>2.6618557453501213</v>
      </c>
      <c r="T352" s="104">
        <f t="shared" ca="1" si="114"/>
        <v>2.0025265369993266E-9</v>
      </c>
      <c r="U352" s="87">
        <f t="shared" ca="1" si="115"/>
        <v>1154.4506512506252</v>
      </c>
      <c r="V352" s="104">
        <f t="shared" ca="1" si="116"/>
        <v>8.6849862875700343E-7</v>
      </c>
      <c r="W352" s="133">
        <f t="shared" ca="1" si="117"/>
        <v>4547.8140151953685</v>
      </c>
      <c r="X352" s="104">
        <f t="shared" ca="1" si="118"/>
        <v>3.4213417713093612E-6</v>
      </c>
      <c r="Y352" s="135">
        <f t="shared" ca="1" si="119"/>
        <v>1.3541484255468816E-7</v>
      </c>
      <c r="AE352" s="104"/>
    </row>
    <row r="353" spans="1:31" x14ac:dyDescent="0.2">
      <c r="A353" s="98">
        <v>2</v>
      </c>
      <c r="B353" s="98">
        <v>2</v>
      </c>
      <c r="C353" s="98">
        <f t="shared" si="100"/>
        <v>8</v>
      </c>
      <c r="D353" s="98">
        <f t="shared" si="101"/>
        <v>7</v>
      </c>
      <c r="E353" s="98">
        <f t="shared" si="102"/>
        <v>2</v>
      </c>
      <c r="F353" s="118">
        <f t="shared" ca="1" si="103"/>
        <v>7.6212899999999984E-3</v>
      </c>
      <c r="G353" s="98">
        <v>1</v>
      </c>
      <c r="H353" s="98">
        <v>0</v>
      </c>
      <c r="I353" s="98">
        <v>0</v>
      </c>
      <c r="J353" s="118">
        <f t="shared" ca="1" si="104"/>
        <v>7.4218750000000458E-10</v>
      </c>
      <c r="K353" s="118">
        <f t="shared" ca="1" si="105"/>
        <v>5.6564261718750334E-12</v>
      </c>
      <c r="L353" s="133">
        <f t="shared" ca="1" si="106"/>
        <v>168</v>
      </c>
      <c r="M353" s="130">
        <f t="shared" ca="1" si="107"/>
        <v>832</v>
      </c>
      <c r="N353" s="100">
        <f t="shared" ca="1" si="108"/>
        <v>5</v>
      </c>
      <c r="O353" s="136">
        <f t="shared" ca="1" si="109"/>
        <v>3.2590583346360766</v>
      </c>
      <c r="P353" s="136">
        <f t="shared" ca="1" si="110"/>
        <v>28.410165221359076</v>
      </c>
      <c r="Q353" s="136">
        <f t="shared" ca="1" si="111"/>
        <v>26.618557453501214</v>
      </c>
      <c r="R353" s="136">
        <f t="shared" ca="1" si="112"/>
        <v>2.7514361337430144</v>
      </c>
      <c r="S353" s="136">
        <f t="shared" ca="1" si="113"/>
        <v>3.091543008341366</v>
      </c>
      <c r="T353" s="104">
        <f t="shared" ca="1" si="114"/>
        <v>1.7487084783859376E-11</v>
      </c>
      <c r="U353" s="87">
        <f t="shared" ca="1" si="115"/>
        <v>1294.1569825567776</v>
      </c>
      <c r="V353" s="104">
        <f t="shared" ca="1" si="116"/>
        <v>7.3203034266489778E-9</v>
      </c>
      <c r="W353" s="133">
        <f t="shared" ca="1" si="117"/>
        <v>2412.6900643994204</v>
      </c>
      <c r="X353" s="104">
        <f t="shared" ca="1" si="118"/>
        <v>1.3647203224891741E-8</v>
      </c>
      <c r="Y353" s="135">
        <f t="shared" ca="1" si="119"/>
        <v>9.5027959687500556E-10</v>
      </c>
      <c r="AE353" s="104"/>
    </row>
    <row r="354" spans="1:31" x14ac:dyDescent="0.2">
      <c r="A354" s="98">
        <v>2</v>
      </c>
      <c r="B354" s="98">
        <v>2</v>
      </c>
      <c r="C354" s="98">
        <f t="shared" si="100"/>
        <v>8</v>
      </c>
      <c r="D354" s="98">
        <f t="shared" si="101"/>
        <v>7</v>
      </c>
      <c r="E354" s="98">
        <f t="shared" si="102"/>
        <v>2</v>
      </c>
      <c r="F354" s="118">
        <f t="shared" ca="1" si="103"/>
        <v>7.6212899999999984E-3</v>
      </c>
      <c r="G354" s="98">
        <v>0</v>
      </c>
      <c r="H354" s="98">
        <v>1</v>
      </c>
      <c r="I354" s="98">
        <v>7</v>
      </c>
      <c r="J354" s="118">
        <f t="shared" ca="1" si="104"/>
        <v>0</v>
      </c>
      <c r="K354" s="118">
        <f t="shared" ca="1" si="105"/>
        <v>0</v>
      </c>
      <c r="L354" s="133">
        <f t="shared" ca="1" si="106"/>
        <v>252</v>
      </c>
      <c r="M354" s="130">
        <f t="shared" ca="1" si="107"/>
        <v>748</v>
      </c>
      <c r="N354" s="100">
        <f t="shared" ca="1" si="108"/>
        <v>4</v>
      </c>
      <c r="O354" s="136">
        <f t="shared" ca="1" si="109"/>
        <v>2.6618557453501217</v>
      </c>
      <c r="P354" s="136">
        <f t="shared" ca="1" si="110"/>
        <v>26.618557453501214</v>
      </c>
      <c r="Q354" s="136">
        <f t="shared" ca="1" si="111"/>
        <v>26.618557453501214</v>
      </c>
      <c r="R354" s="136">
        <f t="shared" ca="1" si="112"/>
        <v>2.6618557453501213</v>
      </c>
      <c r="S354" s="136">
        <f t="shared" ca="1" si="113"/>
        <v>2.6618557453501213</v>
      </c>
      <c r="T354" s="104">
        <f t="shared" ca="1" si="114"/>
        <v>0</v>
      </c>
      <c r="U354" s="87">
        <f t="shared" ca="1" si="115"/>
        <v>1226.4506512506252</v>
      </c>
      <c r="V354" s="104">
        <f t="shared" ca="1" si="116"/>
        <v>0</v>
      </c>
      <c r="W354" s="133">
        <f t="shared" ca="1" si="117"/>
        <v>17080.991606367581</v>
      </c>
      <c r="X354" s="104">
        <f t="shared" ca="1" si="118"/>
        <v>0</v>
      </c>
      <c r="Y354" s="135">
        <f t="shared" ca="1" si="119"/>
        <v>0</v>
      </c>
      <c r="AE354" s="104"/>
    </row>
    <row r="355" spans="1:31" x14ac:dyDescent="0.2">
      <c r="A355" s="98">
        <v>2</v>
      </c>
      <c r="B355" s="98">
        <v>2</v>
      </c>
      <c r="C355" s="98">
        <f t="shared" si="100"/>
        <v>8</v>
      </c>
      <c r="D355" s="98">
        <f t="shared" si="101"/>
        <v>7</v>
      </c>
      <c r="E355" s="98">
        <f t="shared" si="102"/>
        <v>2</v>
      </c>
      <c r="F355" s="118">
        <f t="shared" ca="1" si="103"/>
        <v>7.6212899999999984E-3</v>
      </c>
      <c r="G355" s="98">
        <v>0</v>
      </c>
      <c r="H355" s="98">
        <v>1</v>
      </c>
      <c r="I355" s="98">
        <v>6</v>
      </c>
      <c r="J355" s="118">
        <f t="shared" ca="1" si="104"/>
        <v>0</v>
      </c>
      <c r="K355" s="118">
        <f t="shared" ca="1" si="105"/>
        <v>0</v>
      </c>
      <c r="L355" s="133">
        <f t="shared" ca="1" si="106"/>
        <v>240</v>
      </c>
      <c r="M355" s="130">
        <f t="shared" ca="1" si="107"/>
        <v>760</v>
      </c>
      <c r="N355" s="100">
        <f t="shared" ca="1" si="108"/>
        <v>4</v>
      </c>
      <c r="O355" s="136">
        <f t="shared" ca="1" si="109"/>
        <v>2.6618557453501217</v>
      </c>
      <c r="P355" s="136">
        <f t="shared" ca="1" si="110"/>
        <v>26.618557453501214</v>
      </c>
      <c r="Q355" s="136">
        <f t="shared" ca="1" si="111"/>
        <v>26.618557453501214</v>
      </c>
      <c r="R355" s="136">
        <f t="shared" ca="1" si="112"/>
        <v>2.6618557453501213</v>
      </c>
      <c r="S355" s="136">
        <f t="shared" ca="1" si="113"/>
        <v>2.6618557453501213</v>
      </c>
      <c r="T355" s="104">
        <f t="shared" ca="1" si="114"/>
        <v>0</v>
      </c>
      <c r="U355" s="87">
        <f t="shared" ca="1" si="115"/>
        <v>1214.4506512506252</v>
      </c>
      <c r="V355" s="104">
        <f t="shared" ca="1" si="116"/>
        <v>0</v>
      </c>
      <c r="W355" s="133">
        <f t="shared" ca="1" si="117"/>
        <v>14945.867655571634</v>
      </c>
      <c r="X355" s="104">
        <f t="shared" ca="1" si="118"/>
        <v>0</v>
      </c>
      <c r="Y355" s="135">
        <f t="shared" ca="1" si="119"/>
        <v>0</v>
      </c>
      <c r="AE355" s="104"/>
    </row>
    <row r="356" spans="1:31" x14ac:dyDescent="0.2">
      <c r="A356" s="98">
        <v>2</v>
      </c>
      <c r="B356" s="98">
        <v>2</v>
      </c>
      <c r="C356" s="98">
        <f t="shared" si="100"/>
        <v>8</v>
      </c>
      <c r="D356" s="98">
        <f t="shared" si="101"/>
        <v>7</v>
      </c>
      <c r="E356" s="98">
        <f t="shared" si="102"/>
        <v>2</v>
      </c>
      <c r="F356" s="118">
        <f t="shared" ca="1" si="103"/>
        <v>7.6212899999999984E-3</v>
      </c>
      <c r="G356" s="98">
        <v>0</v>
      </c>
      <c r="H356" s="98">
        <v>1</v>
      </c>
      <c r="I356" s="98">
        <v>5</v>
      </c>
      <c r="J356" s="118">
        <f t="shared" ca="1" si="104"/>
        <v>0</v>
      </c>
      <c r="K356" s="118">
        <f t="shared" ca="1" si="105"/>
        <v>0</v>
      </c>
      <c r="L356" s="133">
        <f t="shared" ca="1" si="106"/>
        <v>228</v>
      </c>
      <c r="M356" s="130">
        <f t="shared" ca="1" si="107"/>
        <v>772</v>
      </c>
      <c r="N356" s="100">
        <f t="shared" ca="1" si="108"/>
        <v>4</v>
      </c>
      <c r="O356" s="136">
        <f t="shared" ca="1" si="109"/>
        <v>2.6618557453501217</v>
      </c>
      <c r="P356" s="136">
        <f t="shared" ca="1" si="110"/>
        <v>26.618557453501214</v>
      </c>
      <c r="Q356" s="136">
        <f t="shared" ca="1" si="111"/>
        <v>26.618557453501214</v>
      </c>
      <c r="R356" s="136">
        <f t="shared" ca="1" si="112"/>
        <v>2.6618557453501213</v>
      </c>
      <c r="S356" s="136">
        <f t="shared" ca="1" si="113"/>
        <v>2.6618557453501213</v>
      </c>
      <c r="T356" s="104">
        <f t="shared" ca="1" si="114"/>
        <v>0</v>
      </c>
      <c r="U356" s="87">
        <f t="shared" ca="1" si="115"/>
        <v>1202.4506512506252</v>
      </c>
      <c r="V356" s="104">
        <f t="shared" ca="1" si="116"/>
        <v>0</v>
      </c>
      <c r="W356" s="133">
        <f t="shared" ca="1" si="117"/>
        <v>12810.743704775685</v>
      </c>
      <c r="X356" s="104">
        <f t="shared" ca="1" si="118"/>
        <v>0</v>
      </c>
      <c r="Y356" s="135">
        <f t="shared" ca="1" si="119"/>
        <v>0</v>
      </c>
      <c r="AE356" s="104"/>
    </row>
    <row r="357" spans="1:31" x14ac:dyDescent="0.2">
      <c r="A357" s="98">
        <v>2</v>
      </c>
      <c r="B357" s="98">
        <v>2</v>
      </c>
      <c r="C357" s="98">
        <f t="shared" si="100"/>
        <v>8</v>
      </c>
      <c r="D357" s="98">
        <f t="shared" si="101"/>
        <v>7</v>
      </c>
      <c r="E357" s="98">
        <f t="shared" si="102"/>
        <v>2</v>
      </c>
      <c r="F357" s="118">
        <f t="shared" ca="1" si="103"/>
        <v>7.6212899999999984E-3</v>
      </c>
      <c r="G357" s="98">
        <v>0</v>
      </c>
      <c r="H357" s="98">
        <v>1</v>
      </c>
      <c r="I357" s="98">
        <v>4</v>
      </c>
      <c r="J357" s="118">
        <f t="shared" ca="1" si="104"/>
        <v>0</v>
      </c>
      <c r="K357" s="118">
        <f t="shared" ca="1" si="105"/>
        <v>0</v>
      </c>
      <c r="L357" s="133">
        <f t="shared" ca="1" si="106"/>
        <v>216</v>
      </c>
      <c r="M357" s="130">
        <f t="shared" ca="1" si="107"/>
        <v>784</v>
      </c>
      <c r="N357" s="100">
        <f t="shared" ca="1" si="108"/>
        <v>4</v>
      </c>
      <c r="O357" s="136">
        <f t="shared" ca="1" si="109"/>
        <v>2.6618557453501217</v>
      </c>
      <c r="P357" s="136">
        <f t="shared" ca="1" si="110"/>
        <v>26.618557453501214</v>
      </c>
      <c r="Q357" s="136">
        <f t="shared" ca="1" si="111"/>
        <v>26.618557453501214</v>
      </c>
      <c r="R357" s="136">
        <f t="shared" ca="1" si="112"/>
        <v>2.6618557453501213</v>
      </c>
      <c r="S357" s="136">
        <f t="shared" ca="1" si="113"/>
        <v>2.6618557453501213</v>
      </c>
      <c r="T357" s="104">
        <f t="shared" ca="1" si="114"/>
        <v>0</v>
      </c>
      <c r="U357" s="87">
        <f t="shared" ca="1" si="115"/>
        <v>1190.4506512506252</v>
      </c>
      <c r="V357" s="104">
        <f t="shared" ca="1" si="116"/>
        <v>0</v>
      </c>
      <c r="W357" s="133">
        <f t="shared" ca="1" si="117"/>
        <v>10675.619753979738</v>
      </c>
      <c r="X357" s="104">
        <f t="shared" ca="1" si="118"/>
        <v>0</v>
      </c>
      <c r="Y357" s="135">
        <f t="shared" ca="1" si="119"/>
        <v>0</v>
      </c>
      <c r="AE357" s="104"/>
    </row>
    <row r="358" spans="1:31" x14ac:dyDescent="0.2">
      <c r="A358" s="98">
        <v>2</v>
      </c>
      <c r="B358" s="98">
        <v>2</v>
      </c>
      <c r="C358" s="98">
        <f t="shared" si="100"/>
        <v>8</v>
      </c>
      <c r="D358" s="98">
        <f t="shared" si="101"/>
        <v>7</v>
      </c>
      <c r="E358" s="98">
        <f t="shared" si="102"/>
        <v>2</v>
      </c>
      <c r="F358" s="118">
        <f t="shared" ca="1" si="103"/>
        <v>7.6212899999999984E-3</v>
      </c>
      <c r="G358" s="98">
        <v>0</v>
      </c>
      <c r="H358" s="98">
        <v>1</v>
      </c>
      <c r="I358" s="98">
        <v>3</v>
      </c>
      <c r="J358" s="118">
        <f t="shared" ca="1" si="104"/>
        <v>0</v>
      </c>
      <c r="K358" s="118">
        <f t="shared" ca="1" si="105"/>
        <v>0</v>
      </c>
      <c r="L358" s="133">
        <f t="shared" ca="1" si="106"/>
        <v>204</v>
      </c>
      <c r="M358" s="130">
        <f t="shared" ca="1" si="107"/>
        <v>796</v>
      </c>
      <c r="N358" s="100">
        <f t="shared" ca="1" si="108"/>
        <v>4</v>
      </c>
      <c r="O358" s="136">
        <f t="shared" ca="1" si="109"/>
        <v>2.6618557453501217</v>
      </c>
      <c r="P358" s="136">
        <f t="shared" ca="1" si="110"/>
        <v>26.618557453501214</v>
      </c>
      <c r="Q358" s="136">
        <f t="shared" ca="1" si="111"/>
        <v>26.618557453501214</v>
      </c>
      <c r="R358" s="136">
        <f t="shared" ca="1" si="112"/>
        <v>2.6618557453501213</v>
      </c>
      <c r="S358" s="136">
        <f t="shared" ca="1" si="113"/>
        <v>2.6618557453501213</v>
      </c>
      <c r="T358" s="104">
        <f t="shared" ca="1" si="114"/>
        <v>0</v>
      </c>
      <c r="U358" s="87">
        <f t="shared" ca="1" si="115"/>
        <v>1178.4506512506252</v>
      </c>
      <c r="V358" s="104">
        <f t="shared" ca="1" si="116"/>
        <v>0</v>
      </c>
      <c r="W358" s="133">
        <f t="shared" ca="1" si="117"/>
        <v>8540.4958031837905</v>
      </c>
      <c r="X358" s="104">
        <f t="shared" ca="1" si="118"/>
        <v>0</v>
      </c>
      <c r="Y358" s="135">
        <f t="shared" ca="1" si="119"/>
        <v>0</v>
      </c>
      <c r="AE358" s="104"/>
    </row>
    <row r="359" spans="1:31" x14ac:dyDescent="0.2">
      <c r="A359" s="98">
        <v>2</v>
      </c>
      <c r="B359" s="98">
        <v>2</v>
      </c>
      <c r="C359" s="98">
        <f t="shared" si="100"/>
        <v>8</v>
      </c>
      <c r="D359" s="98">
        <f t="shared" si="101"/>
        <v>7</v>
      </c>
      <c r="E359" s="98">
        <f t="shared" si="102"/>
        <v>2</v>
      </c>
      <c r="F359" s="118">
        <f t="shared" ca="1" si="103"/>
        <v>7.6212899999999984E-3</v>
      </c>
      <c r="G359" s="98">
        <v>0</v>
      </c>
      <c r="H359" s="98">
        <v>1</v>
      </c>
      <c r="I359" s="98">
        <v>2</v>
      </c>
      <c r="J359" s="118">
        <f t="shared" ca="1" si="104"/>
        <v>0</v>
      </c>
      <c r="K359" s="118">
        <f t="shared" ca="1" si="105"/>
        <v>0</v>
      </c>
      <c r="L359" s="133">
        <f t="shared" ca="1" si="106"/>
        <v>192</v>
      </c>
      <c r="M359" s="130">
        <f t="shared" ca="1" si="107"/>
        <v>808</v>
      </c>
      <c r="N359" s="100">
        <f t="shared" ca="1" si="108"/>
        <v>4</v>
      </c>
      <c r="O359" s="136">
        <f t="shared" ca="1" si="109"/>
        <v>2.6618557453501217</v>
      </c>
      <c r="P359" s="136">
        <f t="shared" ca="1" si="110"/>
        <v>26.618557453501214</v>
      </c>
      <c r="Q359" s="136">
        <f t="shared" ca="1" si="111"/>
        <v>26.618557453501214</v>
      </c>
      <c r="R359" s="136">
        <f t="shared" ca="1" si="112"/>
        <v>2.6618557453501213</v>
      </c>
      <c r="S359" s="136">
        <f t="shared" ca="1" si="113"/>
        <v>2.6618557453501213</v>
      </c>
      <c r="T359" s="104">
        <f t="shared" ca="1" si="114"/>
        <v>0</v>
      </c>
      <c r="U359" s="87">
        <f t="shared" ca="1" si="115"/>
        <v>1166.4506512506252</v>
      </c>
      <c r="V359" s="104">
        <f t="shared" ca="1" si="116"/>
        <v>0</v>
      </c>
      <c r="W359" s="133">
        <f t="shared" ca="1" si="117"/>
        <v>6405.3718523878433</v>
      </c>
      <c r="X359" s="104">
        <f t="shared" ca="1" si="118"/>
        <v>0</v>
      </c>
      <c r="Y359" s="135">
        <f t="shared" ca="1" si="119"/>
        <v>0</v>
      </c>
      <c r="AE359" s="104"/>
    </row>
    <row r="360" spans="1:31" x14ac:dyDescent="0.2">
      <c r="A360" s="98">
        <v>2</v>
      </c>
      <c r="B360" s="98">
        <v>2</v>
      </c>
      <c r="C360" s="98">
        <f t="shared" si="100"/>
        <v>8</v>
      </c>
      <c r="D360" s="98">
        <f t="shared" si="101"/>
        <v>7</v>
      </c>
      <c r="E360" s="98">
        <f t="shared" si="102"/>
        <v>2</v>
      </c>
      <c r="F360" s="118">
        <f t="shared" ca="1" si="103"/>
        <v>7.6212899999999984E-3</v>
      </c>
      <c r="G360" s="98">
        <v>0</v>
      </c>
      <c r="H360" s="98">
        <v>1</v>
      </c>
      <c r="I360" s="98">
        <v>1</v>
      </c>
      <c r="J360" s="118">
        <f t="shared" ca="1" si="104"/>
        <v>0</v>
      </c>
      <c r="K360" s="118">
        <f t="shared" ca="1" si="105"/>
        <v>0</v>
      </c>
      <c r="L360" s="133">
        <f t="shared" ca="1" si="106"/>
        <v>180</v>
      </c>
      <c r="M360" s="130">
        <f t="shared" ca="1" si="107"/>
        <v>820</v>
      </c>
      <c r="N360" s="100">
        <f t="shared" ca="1" si="108"/>
        <v>4</v>
      </c>
      <c r="O360" s="136">
        <f t="shared" ca="1" si="109"/>
        <v>2.6618557453501217</v>
      </c>
      <c r="P360" s="136">
        <f t="shared" ca="1" si="110"/>
        <v>26.618557453501214</v>
      </c>
      <c r="Q360" s="136">
        <f t="shared" ca="1" si="111"/>
        <v>26.618557453501214</v>
      </c>
      <c r="R360" s="136">
        <f t="shared" ca="1" si="112"/>
        <v>2.6618557453501213</v>
      </c>
      <c r="S360" s="136">
        <f t="shared" ca="1" si="113"/>
        <v>2.6618557453501213</v>
      </c>
      <c r="T360" s="104">
        <f t="shared" ca="1" si="114"/>
        <v>0</v>
      </c>
      <c r="U360" s="87">
        <f t="shared" ca="1" si="115"/>
        <v>1154.4506512506252</v>
      </c>
      <c r="V360" s="104">
        <f t="shared" ca="1" si="116"/>
        <v>0</v>
      </c>
      <c r="W360" s="133">
        <f t="shared" ca="1" si="117"/>
        <v>4270.2479015918952</v>
      </c>
      <c r="X360" s="104">
        <f t="shared" ca="1" si="118"/>
        <v>0</v>
      </c>
      <c r="Y360" s="135">
        <f t="shared" ca="1" si="119"/>
        <v>0</v>
      </c>
      <c r="AE360" s="104"/>
    </row>
    <row r="361" spans="1:31" x14ac:dyDescent="0.2">
      <c r="A361" s="98">
        <v>2</v>
      </c>
      <c r="B361" s="98">
        <v>2</v>
      </c>
      <c r="C361" s="98">
        <f t="shared" si="100"/>
        <v>8</v>
      </c>
      <c r="D361" s="98">
        <f t="shared" si="101"/>
        <v>7</v>
      </c>
      <c r="E361" s="98">
        <f t="shared" si="102"/>
        <v>2</v>
      </c>
      <c r="F361" s="118">
        <f t="shared" ca="1" si="103"/>
        <v>7.6212899999999984E-3</v>
      </c>
      <c r="G361" s="98">
        <v>0</v>
      </c>
      <c r="H361" s="98">
        <v>1</v>
      </c>
      <c r="I361" s="98">
        <v>0</v>
      </c>
      <c r="J361" s="118">
        <f t="shared" ca="1" si="104"/>
        <v>0</v>
      </c>
      <c r="K361" s="118">
        <f t="shared" ca="1" si="105"/>
        <v>0</v>
      </c>
      <c r="L361" s="133">
        <f t="shared" ca="1" si="106"/>
        <v>168</v>
      </c>
      <c r="M361" s="130">
        <f t="shared" ca="1" si="107"/>
        <v>832</v>
      </c>
      <c r="N361" s="100">
        <f t="shared" ca="1" si="108"/>
        <v>5</v>
      </c>
      <c r="O361" s="136">
        <f t="shared" ca="1" si="109"/>
        <v>3.2590583346360766</v>
      </c>
      <c r="P361" s="136">
        <f t="shared" ca="1" si="110"/>
        <v>28.410165221359076</v>
      </c>
      <c r="Q361" s="136">
        <f t="shared" ca="1" si="111"/>
        <v>26.618557453501214</v>
      </c>
      <c r="R361" s="136">
        <f t="shared" ca="1" si="112"/>
        <v>2.7514361337430144</v>
      </c>
      <c r="S361" s="136">
        <f t="shared" ca="1" si="113"/>
        <v>3.091543008341366</v>
      </c>
      <c r="T361" s="104">
        <f t="shared" ca="1" si="114"/>
        <v>0</v>
      </c>
      <c r="U361" s="87">
        <f t="shared" ca="1" si="115"/>
        <v>1294.1569825567776</v>
      </c>
      <c r="V361" s="104">
        <f t="shared" ca="1" si="116"/>
        <v>0</v>
      </c>
      <c r="W361" s="133">
        <f t="shared" ca="1" si="117"/>
        <v>2135.1239507959476</v>
      </c>
      <c r="X361" s="104">
        <f t="shared" ca="1" si="118"/>
        <v>0</v>
      </c>
      <c r="Y361" s="135">
        <f t="shared" ca="1" si="119"/>
        <v>0</v>
      </c>
      <c r="AE361" s="104"/>
    </row>
    <row r="362" spans="1:31" x14ac:dyDescent="0.2">
      <c r="A362" s="98">
        <v>2</v>
      </c>
      <c r="B362" s="98">
        <v>2</v>
      </c>
      <c r="C362" s="98">
        <f t="shared" si="100"/>
        <v>8</v>
      </c>
      <c r="D362" s="98">
        <f t="shared" si="101"/>
        <v>7</v>
      </c>
      <c r="E362" s="98">
        <f t="shared" si="102"/>
        <v>2</v>
      </c>
      <c r="F362" s="118">
        <f t="shared" ca="1" si="103"/>
        <v>7.6212899999999984E-3</v>
      </c>
      <c r="G362" s="98">
        <v>0</v>
      </c>
      <c r="H362" s="98">
        <v>0</v>
      </c>
      <c r="I362" s="98">
        <v>7</v>
      </c>
      <c r="J362" s="118">
        <f t="shared" ca="1" si="104"/>
        <v>3.4916864804687496E-2</v>
      </c>
      <c r="K362" s="118">
        <f t="shared" ca="1" si="105"/>
        <v>2.6611155256731669E-4</v>
      </c>
      <c r="L362" s="133">
        <f t="shared" ca="1" si="106"/>
        <v>84</v>
      </c>
      <c r="M362" s="130">
        <f t="shared" ca="1" si="107"/>
        <v>916</v>
      </c>
      <c r="N362" s="100">
        <f t="shared" ca="1" si="108"/>
        <v>5</v>
      </c>
      <c r="O362" s="136">
        <f t="shared" ca="1" si="109"/>
        <v>3.2590583346360766</v>
      </c>
      <c r="P362" s="136">
        <f t="shared" ca="1" si="110"/>
        <v>32.590583346360766</v>
      </c>
      <c r="Q362" s="136">
        <f t="shared" ca="1" si="111"/>
        <v>32.590583346360766</v>
      </c>
      <c r="R362" s="136">
        <f t="shared" ca="1" si="112"/>
        <v>3.2590583346360766</v>
      </c>
      <c r="S362" s="136">
        <f t="shared" ca="1" si="113"/>
        <v>3.2590583346360766</v>
      </c>
      <c r="T362" s="104">
        <f t="shared" ca="1" si="114"/>
        <v>8.6727307333745991E-4</v>
      </c>
      <c r="U362" s="87">
        <f t="shared" ca="1" si="115"/>
        <v>1269.3003125517403</v>
      </c>
      <c r="V362" s="104">
        <f t="shared" ca="1" si="116"/>
        <v>0.33777547684732395</v>
      </c>
      <c r="W362" s="133">
        <f t="shared" ca="1" si="117"/>
        <v>14945.867655571634</v>
      </c>
      <c r="X362" s="104">
        <f t="shared" ca="1" si="118"/>
        <v>3.9772680462898089</v>
      </c>
      <c r="Y362" s="135">
        <f t="shared" ca="1" si="119"/>
        <v>2.2353370415654602E-2</v>
      </c>
      <c r="AE362" s="104"/>
    </row>
    <row r="363" spans="1:31" x14ac:dyDescent="0.2">
      <c r="A363" s="98">
        <v>2</v>
      </c>
      <c r="B363" s="98">
        <v>2</v>
      </c>
      <c r="C363" s="98">
        <f t="shared" si="100"/>
        <v>8</v>
      </c>
      <c r="D363" s="98">
        <f t="shared" si="101"/>
        <v>7</v>
      </c>
      <c r="E363" s="98">
        <f t="shared" si="102"/>
        <v>2</v>
      </c>
      <c r="F363" s="118">
        <f t="shared" ca="1" si="103"/>
        <v>7.6212899999999984E-3</v>
      </c>
      <c r="G363" s="98">
        <v>0</v>
      </c>
      <c r="H363" s="98">
        <v>0</v>
      </c>
      <c r="I363" s="98">
        <v>6</v>
      </c>
      <c r="J363" s="118">
        <f t="shared" ca="1" si="104"/>
        <v>1.2864108085937513E-2</v>
      </c>
      <c r="K363" s="118">
        <f t="shared" ca="1" si="105"/>
        <v>9.8041098314274695E-5</v>
      </c>
      <c r="L363" s="133">
        <f t="shared" ca="1" si="106"/>
        <v>72</v>
      </c>
      <c r="M363" s="130">
        <f t="shared" ca="1" si="107"/>
        <v>928</v>
      </c>
      <c r="N363" s="100">
        <f t="shared" ca="1" si="108"/>
        <v>5</v>
      </c>
      <c r="O363" s="136">
        <f t="shared" ca="1" si="109"/>
        <v>3.2590583346360766</v>
      </c>
      <c r="P363" s="136">
        <f t="shared" ca="1" si="110"/>
        <v>32.590583346360766</v>
      </c>
      <c r="Q363" s="136">
        <f t="shared" ca="1" si="111"/>
        <v>32.590583346360766</v>
      </c>
      <c r="R363" s="136">
        <f t="shared" ca="1" si="112"/>
        <v>3.2590583346360766</v>
      </c>
      <c r="S363" s="136">
        <f t="shared" ca="1" si="113"/>
        <v>3.2590583346360766</v>
      </c>
      <c r="T363" s="104">
        <f t="shared" ca="1" si="114"/>
        <v>3.1952165859801198E-4</v>
      </c>
      <c r="U363" s="87">
        <f t="shared" ca="1" si="115"/>
        <v>1257.3003125517403</v>
      </c>
      <c r="V363" s="104">
        <f t="shared" ca="1" si="116"/>
        <v>0.12326710355345347</v>
      </c>
      <c r="W363" s="133">
        <f t="shared" ca="1" si="117"/>
        <v>12810.743704775687</v>
      </c>
      <c r="X363" s="104">
        <f t="shared" ca="1" si="118"/>
        <v>1.2559793830388888</v>
      </c>
      <c r="Y363" s="135">
        <f t="shared" ca="1" si="119"/>
        <v>7.058959078627778E-3</v>
      </c>
      <c r="AE363" s="104"/>
    </row>
    <row r="364" spans="1:31" x14ac:dyDescent="0.2">
      <c r="A364" s="98">
        <v>2</v>
      </c>
      <c r="B364" s="98">
        <v>2</v>
      </c>
      <c r="C364" s="98">
        <f t="shared" si="100"/>
        <v>8</v>
      </c>
      <c r="D364" s="98">
        <f t="shared" si="101"/>
        <v>7</v>
      </c>
      <c r="E364" s="98">
        <f t="shared" si="102"/>
        <v>2</v>
      </c>
      <c r="F364" s="118">
        <f t="shared" ca="1" si="103"/>
        <v>7.6212899999999984E-3</v>
      </c>
      <c r="G364" s="98">
        <v>0</v>
      </c>
      <c r="H364" s="98">
        <v>0</v>
      </c>
      <c r="I364" s="98">
        <v>5</v>
      </c>
      <c r="J364" s="118">
        <f t="shared" ca="1" si="104"/>
        <v>2.0311749609375038E-3</v>
      </c>
      <c r="K364" s="118">
        <f t="shared" ca="1" si="105"/>
        <v>1.5480173418043385E-5</v>
      </c>
      <c r="L364" s="133">
        <f t="shared" ca="1" si="106"/>
        <v>60</v>
      </c>
      <c r="M364" s="130">
        <f t="shared" ca="1" si="107"/>
        <v>940</v>
      </c>
      <c r="N364" s="100">
        <f t="shared" ca="1" si="108"/>
        <v>5</v>
      </c>
      <c r="O364" s="136">
        <f t="shared" ca="1" si="109"/>
        <v>3.2590583346360766</v>
      </c>
      <c r="P364" s="136">
        <f t="shared" ca="1" si="110"/>
        <v>32.590583346360766</v>
      </c>
      <c r="Q364" s="136">
        <f t="shared" ca="1" si="111"/>
        <v>32.590583346360766</v>
      </c>
      <c r="R364" s="136">
        <f t="shared" ca="1" si="112"/>
        <v>3.2590583346360766</v>
      </c>
      <c r="S364" s="136">
        <f t="shared" ca="1" si="113"/>
        <v>3.2590583346360766</v>
      </c>
      <c r="T364" s="104">
        <f t="shared" ca="1" si="114"/>
        <v>5.0450788199686136E-5</v>
      </c>
      <c r="U364" s="87">
        <f t="shared" ca="1" si="115"/>
        <v>1245.3003125517403</v>
      </c>
      <c r="V364" s="104">
        <f t="shared" ca="1" si="116"/>
        <v>1.9277464795844568E-2</v>
      </c>
      <c r="W364" s="133">
        <f t="shared" ca="1" si="117"/>
        <v>10675.619753979738</v>
      </c>
      <c r="X364" s="104">
        <f t="shared" ca="1" si="118"/>
        <v>0.16526044513669599</v>
      </c>
      <c r="Y364" s="135">
        <f t="shared" ca="1" si="119"/>
        <v>9.2881040508260306E-4</v>
      </c>
      <c r="AE364" s="104"/>
    </row>
    <row r="365" spans="1:31" x14ac:dyDescent="0.2">
      <c r="A365" s="98">
        <v>2</v>
      </c>
      <c r="B365" s="98">
        <v>2</v>
      </c>
      <c r="C365" s="98">
        <f t="shared" si="100"/>
        <v>8</v>
      </c>
      <c r="D365" s="98">
        <f t="shared" si="101"/>
        <v>7</v>
      </c>
      <c r="E365" s="98">
        <f t="shared" si="102"/>
        <v>2</v>
      </c>
      <c r="F365" s="118">
        <f t="shared" ca="1" si="103"/>
        <v>7.6212899999999984E-3</v>
      </c>
      <c r="G365" s="98">
        <v>0</v>
      </c>
      <c r="H365" s="98">
        <v>0</v>
      </c>
      <c r="I365" s="98">
        <v>4</v>
      </c>
      <c r="J365" s="118">
        <f t="shared" ca="1" si="104"/>
        <v>1.7817324218750047E-4</v>
      </c>
      <c r="K365" s="118">
        <f t="shared" ca="1" si="105"/>
        <v>1.3579099489511753E-6</v>
      </c>
      <c r="L365" s="133">
        <f t="shared" ca="1" si="106"/>
        <v>48</v>
      </c>
      <c r="M365" s="130">
        <f t="shared" ca="1" si="107"/>
        <v>952</v>
      </c>
      <c r="N365" s="100">
        <f t="shared" ca="1" si="108"/>
        <v>5</v>
      </c>
      <c r="O365" s="136">
        <f t="shared" ca="1" si="109"/>
        <v>3.2590583346360766</v>
      </c>
      <c r="P365" s="136">
        <f t="shared" ca="1" si="110"/>
        <v>32.590583346360766</v>
      </c>
      <c r="Q365" s="136">
        <f t="shared" ca="1" si="111"/>
        <v>32.590583346360766</v>
      </c>
      <c r="R365" s="136">
        <f t="shared" ca="1" si="112"/>
        <v>3.2590583346360766</v>
      </c>
      <c r="S365" s="136">
        <f t="shared" ca="1" si="113"/>
        <v>3.2590583346360766</v>
      </c>
      <c r="T365" s="104">
        <f t="shared" ca="1" si="114"/>
        <v>4.4255077368145767E-6</v>
      </c>
      <c r="U365" s="87">
        <f t="shared" ca="1" si="115"/>
        <v>1233.3003125517403</v>
      </c>
      <c r="V365" s="104">
        <f t="shared" ca="1" si="116"/>
        <v>1.6747107644586022E-3</v>
      </c>
      <c r="W365" s="133">
        <f t="shared" ca="1" si="117"/>
        <v>8540.4958031837905</v>
      </c>
      <c r="X365" s="104">
        <f t="shared" ca="1" si="118"/>
        <v>1.1597224220119027E-2</v>
      </c>
      <c r="Y365" s="135">
        <f t="shared" ca="1" si="119"/>
        <v>6.5179677549656416E-5</v>
      </c>
      <c r="AE365" s="104"/>
    </row>
    <row r="366" spans="1:31" x14ac:dyDescent="0.2">
      <c r="A366" s="98">
        <v>2</v>
      </c>
      <c r="B366" s="98">
        <v>2</v>
      </c>
      <c r="C366" s="98">
        <f t="shared" si="100"/>
        <v>8</v>
      </c>
      <c r="D366" s="98">
        <f t="shared" si="101"/>
        <v>7</v>
      </c>
      <c r="E366" s="98">
        <f t="shared" si="102"/>
        <v>2</v>
      </c>
      <c r="F366" s="118">
        <f t="shared" ca="1" si="103"/>
        <v>7.6212899999999984E-3</v>
      </c>
      <c r="G366" s="98">
        <v>0</v>
      </c>
      <c r="H366" s="98">
        <v>0</v>
      </c>
      <c r="I366" s="98">
        <v>3</v>
      </c>
      <c r="J366" s="118">
        <f t="shared" ca="1" si="104"/>
        <v>9.3775390625000315E-6</v>
      </c>
      <c r="K366" s="118">
        <f t="shared" ca="1" si="105"/>
        <v>7.1468944681640856E-8</v>
      </c>
      <c r="L366" s="133">
        <f t="shared" ca="1" si="106"/>
        <v>36</v>
      </c>
      <c r="M366" s="130">
        <f t="shared" ca="1" si="107"/>
        <v>964</v>
      </c>
      <c r="N366" s="100">
        <f t="shared" ca="1" si="108"/>
        <v>5</v>
      </c>
      <c r="O366" s="136">
        <f t="shared" ca="1" si="109"/>
        <v>3.2590583346360766</v>
      </c>
      <c r="P366" s="136">
        <f t="shared" ca="1" si="110"/>
        <v>32.590583346360766</v>
      </c>
      <c r="Q366" s="136">
        <f t="shared" ca="1" si="111"/>
        <v>32.590583346360766</v>
      </c>
      <c r="R366" s="136">
        <f t="shared" ca="1" si="112"/>
        <v>3.2590583346360766</v>
      </c>
      <c r="S366" s="136">
        <f t="shared" ca="1" si="113"/>
        <v>3.2590583346360766</v>
      </c>
      <c r="T366" s="104">
        <f t="shared" ca="1" si="114"/>
        <v>2.3292145983234634E-7</v>
      </c>
      <c r="U366" s="87">
        <f t="shared" ca="1" si="115"/>
        <v>1221.3003125517403</v>
      </c>
      <c r="V366" s="104">
        <f t="shared" ca="1" si="116"/>
        <v>8.7285044477431018E-5</v>
      </c>
      <c r="W366" s="133">
        <f t="shared" ca="1" si="117"/>
        <v>6405.3718523878433</v>
      </c>
      <c r="X366" s="104">
        <f t="shared" ca="1" si="118"/>
        <v>4.5778516658364618E-4</v>
      </c>
      <c r="Y366" s="135">
        <f t="shared" ca="1" si="119"/>
        <v>2.5728820085390707E-6</v>
      </c>
      <c r="AE366" s="104"/>
    </row>
    <row r="367" spans="1:31" x14ac:dyDescent="0.2">
      <c r="A367" s="98">
        <v>2</v>
      </c>
      <c r="B367" s="98">
        <v>2</v>
      </c>
      <c r="C367" s="98">
        <f t="shared" si="100"/>
        <v>8</v>
      </c>
      <c r="D367" s="98">
        <f t="shared" si="101"/>
        <v>7</v>
      </c>
      <c r="E367" s="98">
        <f t="shared" si="102"/>
        <v>2</v>
      </c>
      <c r="F367" s="118">
        <f t="shared" ca="1" si="103"/>
        <v>7.6212899999999984E-3</v>
      </c>
      <c r="G367" s="98">
        <v>0</v>
      </c>
      <c r="H367" s="98">
        <v>0</v>
      </c>
      <c r="I367" s="98">
        <v>2</v>
      </c>
      <c r="J367" s="118">
        <f t="shared" ca="1" si="104"/>
        <v>2.961328125000013E-7</v>
      </c>
      <c r="K367" s="118">
        <f t="shared" ca="1" si="105"/>
        <v>2.2569140425781346E-9</v>
      </c>
      <c r="L367" s="133">
        <f t="shared" ca="1" si="106"/>
        <v>24</v>
      </c>
      <c r="M367" s="130">
        <f t="shared" ca="1" si="107"/>
        <v>976</v>
      </c>
      <c r="N367" s="100">
        <f t="shared" ca="1" si="108"/>
        <v>5</v>
      </c>
      <c r="O367" s="136">
        <f t="shared" ca="1" si="109"/>
        <v>3.2590583346360766</v>
      </c>
      <c r="P367" s="136">
        <f t="shared" ca="1" si="110"/>
        <v>32.590583346360766</v>
      </c>
      <c r="Q367" s="136">
        <f t="shared" ca="1" si="111"/>
        <v>32.590583346360766</v>
      </c>
      <c r="R367" s="136">
        <f t="shared" ca="1" si="112"/>
        <v>3.2590583346360766</v>
      </c>
      <c r="S367" s="136">
        <f t="shared" ca="1" si="113"/>
        <v>3.2590583346360766</v>
      </c>
      <c r="T367" s="104">
        <f t="shared" ca="1" si="114"/>
        <v>7.3554145210214711E-9</v>
      </c>
      <c r="U367" s="87">
        <f t="shared" ca="1" si="115"/>
        <v>1209.3003125517403</v>
      </c>
      <c r="V367" s="104">
        <f t="shared" ca="1" si="116"/>
        <v>2.7292868570921499E-6</v>
      </c>
      <c r="W367" s="133">
        <f t="shared" ca="1" si="117"/>
        <v>4270.2479015918952</v>
      </c>
      <c r="X367" s="104">
        <f t="shared" ca="1" si="118"/>
        <v>9.6375824543925607E-6</v>
      </c>
      <c r="Y367" s="135">
        <f t="shared" ca="1" si="119"/>
        <v>5.4165937021875228E-8</v>
      </c>
      <c r="AE367" s="104"/>
    </row>
    <row r="368" spans="1:31" x14ac:dyDescent="0.2">
      <c r="A368" s="98">
        <v>2</v>
      </c>
      <c r="B368" s="98">
        <v>2</v>
      </c>
      <c r="C368" s="98">
        <f t="shared" si="100"/>
        <v>8</v>
      </c>
      <c r="D368" s="98">
        <f t="shared" si="101"/>
        <v>7</v>
      </c>
      <c r="E368" s="98">
        <f t="shared" si="102"/>
        <v>2</v>
      </c>
      <c r="F368" s="118">
        <f t="shared" ca="1" si="103"/>
        <v>7.6212899999999984E-3</v>
      </c>
      <c r="G368" s="98">
        <v>0</v>
      </c>
      <c r="H368" s="98">
        <v>0</v>
      </c>
      <c r="I368" s="98">
        <v>1</v>
      </c>
      <c r="J368" s="118">
        <f t="shared" ca="1" si="104"/>
        <v>5.1953125000000272E-9</v>
      </c>
      <c r="K368" s="118">
        <f t="shared" ca="1" si="105"/>
        <v>3.9594983203125201E-11</v>
      </c>
      <c r="L368" s="133">
        <f t="shared" ca="1" si="106"/>
        <v>12</v>
      </c>
      <c r="M368" s="130">
        <f t="shared" ca="1" si="107"/>
        <v>988</v>
      </c>
      <c r="N368" s="100">
        <f t="shared" ca="1" si="108"/>
        <v>5</v>
      </c>
      <c r="O368" s="136">
        <f t="shared" ca="1" si="109"/>
        <v>3.2590583346360766</v>
      </c>
      <c r="P368" s="136">
        <f t="shared" ca="1" si="110"/>
        <v>32.590583346360766</v>
      </c>
      <c r="Q368" s="136">
        <f t="shared" ca="1" si="111"/>
        <v>32.590583346360766</v>
      </c>
      <c r="R368" s="136">
        <f t="shared" ca="1" si="112"/>
        <v>3.2590583346360766</v>
      </c>
      <c r="S368" s="136">
        <f t="shared" ca="1" si="113"/>
        <v>3.2590583346360766</v>
      </c>
      <c r="T368" s="104">
        <f t="shared" ca="1" si="114"/>
        <v>1.2904236001792065E-10</v>
      </c>
      <c r="U368" s="87">
        <f t="shared" ca="1" si="115"/>
        <v>1197.3003125517403</v>
      </c>
      <c r="V368" s="104">
        <f t="shared" ca="1" si="116"/>
        <v>4.7407085764582707E-8</v>
      </c>
      <c r="W368" s="133">
        <f t="shared" ca="1" si="117"/>
        <v>2135.1239507959476</v>
      </c>
      <c r="X368" s="104">
        <f t="shared" ca="1" si="118"/>
        <v>8.4540196968355869E-8</v>
      </c>
      <c r="Y368" s="135">
        <f t="shared" ca="1" si="119"/>
        <v>4.7513979843750237E-10</v>
      </c>
      <c r="AE368" s="104"/>
    </row>
    <row r="369" spans="1:31" x14ac:dyDescent="0.2">
      <c r="A369" s="98">
        <v>2</v>
      </c>
      <c r="B369" s="98">
        <v>2</v>
      </c>
      <c r="C369" s="98">
        <f t="shared" si="100"/>
        <v>8</v>
      </c>
      <c r="D369" s="98">
        <f t="shared" si="101"/>
        <v>7</v>
      </c>
      <c r="E369" s="98">
        <f t="shared" si="102"/>
        <v>2</v>
      </c>
      <c r="F369" s="118">
        <f t="shared" ca="1" si="103"/>
        <v>7.6212899999999984E-3</v>
      </c>
      <c r="G369" s="98">
        <v>0</v>
      </c>
      <c r="H369" s="98">
        <v>0</v>
      </c>
      <c r="I369" s="98">
        <v>0</v>
      </c>
      <c r="J369" s="118">
        <f t="shared" ca="1" si="104"/>
        <v>3.9062500000000246E-11</v>
      </c>
      <c r="K369" s="118">
        <f t="shared" ca="1" si="105"/>
        <v>2.977066406250018E-13</v>
      </c>
      <c r="L369" s="133">
        <f t="shared" ca="1" si="106"/>
        <v>0</v>
      </c>
      <c r="M369" s="130">
        <f t="shared" ca="1" si="107"/>
        <v>1000</v>
      </c>
      <c r="N369" s="100">
        <f t="shared" ca="1" si="108"/>
        <v>5</v>
      </c>
      <c r="O369" s="136">
        <f t="shared" ca="1" si="109"/>
        <v>3.2590583346360766</v>
      </c>
      <c r="P369" s="136">
        <f t="shared" ca="1" si="110"/>
        <v>32.590583346360766</v>
      </c>
      <c r="Q369" s="136">
        <f t="shared" ca="1" si="111"/>
        <v>32.590583346360766</v>
      </c>
      <c r="R369" s="136">
        <f t="shared" ca="1" si="112"/>
        <v>3.2590583346360766</v>
      </c>
      <c r="S369" s="136">
        <f t="shared" ca="1" si="113"/>
        <v>3.2590583346360766</v>
      </c>
      <c r="T369" s="104">
        <f t="shared" ca="1" si="114"/>
        <v>9.7024330840541922E-13</v>
      </c>
      <c r="U369" s="87">
        <f t="shared" ca="1" si="115"/>
        <v>1185.3003125517403</v>
      </c>
      <c r="V369" s="104">
        <f t="shared" ca="1" si="116"/>
        <v>3.5287177418154324E-10</v>
      </c>
      <c r="W369" s="133">
        <f t="shared" ca="1" si="117"/>
        <v>0</v>
      </c>
      <c r="X369" s="104">
        <f t="shared" ca="1" si="118"/>
        <v>0</v>
      </c>
      <c r="Y369" s="135">
        <f t="shared" ca="1" si="119"/>
        <v>0</v>
      </c>
      <c r="AE369" s="104"/>
    </row>
    <row r="370" spans="1:31" x14ac:dyDescent="0.2">
      <c r="A370" s="98">
        <v>2</v>
      </c>
      <c r="B370" s="98">
        <v>3</v>
      </c>
      <c r="C370" s="98">
        <f t="shared" si="100"/>
        <v>8</v>
      </c>
      <c r="D370" s="98">
        <f t="shared" si="101"/>
        <v>7</v>
      </c>
      <c r="E370" s="98">
        <f t="shared" si="102"/>
        <v>2</v>
      </c>
      <c r="F370" s="118">
        <f t="shared" ca="1" si="103"/>
        <v>2.6189999999999994E-3</v>
      </c>
      <c r="G370" s="98">
        <v>1</v>
      </c>
      <c r="H370" s="98">
        <v>1</v>
      </c>
      <c r="I370" s="98">
        <v>7</v>
      </c>
      <c r="J370" s="118">
        <f t="shared" ca="1" si="104"/>
        <v>0</v>
      </c>
      <c r="K370" s="118">
        <f t="shared" ca="1" si="105"/>
        <v>0</v>
      </c>
      <c r="L370" s="133">
        <f t="shared" ca="1" si="106"/>
        <v>420</v>
      </c>
      <c r="M370" s="130">
        <f t="shared" ca="1" si="107"/>
        <v>580</v>
      </c>
      <c r="N370" s="100">
        <f t="shared" ca="1" si="108"/>
        <v>3</v>
      </c>
      <c r="O370" s="136">
        <f t="shared" ca="1" si="109"/>
        <v>2.0946097612518035</v>
      </c>
      <c r="P370" s="136">
        <f t="shared" ca="1" si="110"/>
        <v>20.946097612518034</v>
      </c>
      <c r="Q370" s="136">
        <f t="shared" ca="1" si="111"/>
        <v>20.946097612518034</v>
      </c>
      <c r="R370" s="136">
        <f t="shared" ca="1" si="112"/>
        <v>2.0946097612518035</v>
      </c>
      <c r="S370" s="136">
        <f t="shared" ca="1" si="113"/>
        <v>2.0946097612518035</v>
      </c>
      <c r="T370" s="104">
        <f t="shared" ca="1" si="114"/>
        <v>0</v>
      </c>
      <c r="U370" s="87">
        <f t="shared" ca="1" si="115"/>
        <v>1194.1775349459019</v>
      </c>
      <c r="V370" s="104">
        <f t="shared" ca="1" si="116"/>
        <v>0</v>
      </c>
      <c r="W370" s="133">
        <f t="shared" ca="1" si="117"/>
        <v>19493.681670767</v>
      </c>
      <c r="X370" s="104">
        <f t="shared" ca="1" si="118"/>
        <v>0</v>
      </c>
      <c r="Y370" s="135">
        <f t="shared" ca="1" si="119"/>
        <v>0</v>
      </c>
      <c r="AE370" s="104"/>
    </row>
    <row r="371" spans="1:31" x14ac:dyDescent="0.2">
      <c r="A371" s="98">
        <v>2</v>
      </c>
      <c r="B371" s="98">
        <v>3</v>
      </c>
      <c r="C371" s="98">
        <f t="shared" si="100"/>
        <v>8</v>
      </c>
      <c r="D371" s="98">
        <f t="shared" si="101"/>
        <v>7</v>
      </c>
      <c r="E371" s="98">
        <f t="shared" si="102"/>
        <v>2</v>
      </c>
      <c r="F371" s="118">
        <f t="shared" ca="1" si="103"/>
        <v>2.6189999999999994E-3</v>
      </c>
      <c r="G371" s="98">
        <v>1</v>
      </c>
      <c r="H371" s="98">
        <v>1</v>
      </c>
      <c r="I371" s="98">
        <v>6</v>
      </c>
      <c r="J371" s="118">
        <f t="shared" ca="1" si="104"/>
        <v>0</v>
      </c>
      <c r="K371" s="118">
        <f t="shared" ca="1" si="105"/>
        <v>0</v>
      </c>
      <c r="L371" s="133">
        <f t="shared" ca="1" si="106"/>
        <v>408</v>
      </c>
      <c r="M371" s="130">
        <f t="shared" ca="1" si="107"/>
        <v>592</v>
      </c>
      <c r="N371" s="100">
        <f t="shared" ca="1" si="108"/>
        <v>3</v>
      </c>
      <c r="O371" s="136">
        <f t="shared" ca="1" si="109"/>
        <v>2.0946097612518035</v>
      </c>
      <c r="P371" s="136">
        <f t="shared" ca="1" si="110"/>
        <v>20.946097612518034</v>
      </c>
      <c r="Q371" s="136">
        <f t="shared" ca="1" si="111"/>
        <v>20.946097612518034</v>
      </c>
      <c r="R371" s="136">
        <f t="shared" ca="1" si="112"/>
        <v>2.0946097612518035</v>
      </c>
      <c r="S371" s="136">
        <f t="shared" ca="1" si="113"/>
        <v>2.0946097612518035</v>
      </c>
      <c r="T371" s="104">
        <f t="shared" ca="1" si="114"/>
        <v>0</v>
      </c>
      <c r="U371" s="87">
        <f t="shared" ca="1" si="115"/>
        <v>1182.1775349459019</v>
      </c>
      <c r="V371" s="104">
        <f t="shared" ca="1" si="116"/>
        <v>0</v>
      </c>
      <c r="W371" s="133">
        <f t="shared" ca="1" si="117"/>
        <v>17358.557719971053</v>
      </c>
      <c r="X371" s="104">
        <f t="shared" ca="1" si="118"/>
        <v>0</v>
      </c>
      <c r="Y371" s="135">
        <f t="shared" ca="1" si="119"/>
        <v>0</v>
      </c>
      <c r="AE371" s="104"/>
    </row>
    <row r="372" spans="1:31" x14ac:dyDescent="0.2">
      <c r="A372" s="98">
        <v>2</v>
      </c>
      <c r="B372" s="98">
        <v>3</v>
      </c>
      <c r="C372" s="98">
        <f t="shared" si="100"/>
        <v>8</v>
      </c>
      <c r="D372" s="98">
        <f t="shared" si="101"/>
        <v>7</v>
      </c>
      <c r="E372" s="98">
        <f t="shared" si="102"/>
        <v>2</v>
      </c>
      <c r="F372" s="118">
        <f t="shared" ca="1" si="103"/>
        <v>2.6189999999999994E-3</v>
      </c>
      <c r="G372" s="98">
        <v>1</v>
      </c>
      <c r="H372" s="98">
        <v>1</v>
      </c>
      <c r="I372" s="98">
        <v>5</v>
      </c>
      <c r="J372" s="118">
        <f t="shared" ca="1" si="104"/>
        <v>0</v>
      </c>
      <c r="K372" s="118">
        <f t="shared" ca="1" si="105"/>
        <v>0</v>
      </c>
      <c r="L372" s="133">
        <f t="shared" ca="1" si="106"/>
        <v>396</v>
      </c>
      <c r="M372" s="130">
        <f t="shared" ca="1" si="107"/>
        <v>604</v>
      </c>
      <c r="N372" s="100">
        <f t="shared" ca="1" si="108"/>
        <v>3</v>
      </c>
      <c r="O372" s="136">
        <f t="shared" ca="1" si="109"/>
        <v>2.0946097612518035</v>
      </c>
      <c r="P372" s="136">
        <f t="shared" ca="1" si="110"/>
        <v>20.946097612518034</v>
      </c>
      <c r="Q372" s="136">
        <f t="shared" ca="1" si="111"/>
        <v>20.946097612518034</v>
      </c>
      <c r="R372" s="136">
        <f t="shared" ca="1" si="112"/>
        <v>2.0946097612518035</v>
      </c>
      <c r="S372" s="136">
        <f t="shared" ca="1" si="113"/>
        <v>2.0946097612518035</v>
      </c>
      <c r="T372" s="104">
        <f t="shared" ca="1" si="114"/>
        <v>0</v>
      </c>
      <c r="U372" s="87">
        <f t="shared" ca="1" si="115"/>
        <v>1170.1775349459019</v>
      </c>
      <c r="V372" s="104">
        <f t="shared" ca="1" si="116"/>
        <v>0</v>
      </c>
      <c r="W372" s="133">
        <f t="shared" ca="1" si="117"/>
        <v>15223.433769175106</v>
      </c>
      <c r="X372" s="104">
        <f t="shared" ca="1" si="118"/>
        <v>0</v>
      </c>
      <c r="Y372" s="135">
        <f t="shared" ca="1" si="119"/>
        <v>0</v>
      </c>
      <c r="AE372" s="104"/>
    </row>
    <row r="373" spans="1:31" x14ac:dyDescent="0.2">
      <c r="A373" s="98">
        <v>2</v>
      </c>
      <c r="B373" s="98">
        <v>3</v>
      </c>
      <c r="C373" s="98">
        <f t="shared" si="100"/>
        <v>8</v>
      </c>
      <c r="D373" s="98">
        <f t="shared" si="101"/>
        <v>7</v>
      </c>
      <c r="E373" s="98">
        <f t="shared" si="102"/>
        <v>2</v>
      </c>
      <c r="F373" s="118">
        <f t="shared" ca="1" si="103"/>
        <v>2.6189999999999994E-3</v>
      </c>
      <c r="G373" s="98">
        <v>1</v>
      </c>
      <c r="H373" s="98">
        <v>1</v>
      </c>
      <c r="I373" s="98">
        <v>4</v>
      </c>
      <c r="J373" s="118">
        <f t="shared" ca="1" si="104"/>
        <v>0</v>
      </c>
      <c r="K373" s="118">
        <f t="shared" ca="1" si="105"/>
        <v>0</v>
      </c>
      <c r="L373" s="133">
        <f t="shared" ca="1" si="106"/>
        <v>384</v>
      </c>
      <c r="M373" s="130">
        <f t="shared" ca="1" si="107"/>
        <v>616</v>
      </c>
      <c r="N373" s="100">
        <f t="shared" ca="1" si="108"/>
        <v>3</v>
      </c>
      <c r="O373" s="136">
        <f t="shared" ca="1" si="109"/>
        <v>2.0946097612518035</v>
      </c>
      <c r="P373" s="136">
        <f t="shared" ca="1" si="110"/>
        <v>20.946097612518034</v>
      </c>
      <c r="Q373" s="136">
        <f t="shared" ca="1" si="111"/>
        <v>20.946097612518034</v>
      </c>
      <c r="R373" s="136">
        <f t="shared" ca="1" si="112"/>
        <v>2.0946097612518035</v>
      </c>
      <c r="S373" s="136">
        <f t="shared" ca="1" si="113"/>
        <v>2.0946097612518035</v>
      </c>
      <c r="T373" s="104">
        <f t="shared" ca="1" si="114"/>
        <v>0</v>
      </c>
      <c r="U373" s="87">
        <f t="shared" ca="1" si="115"/>
        <v>1158.1775349459019</v>
      </c>
      <c r="V373" s="104">
        <f t="shared" ca="1" si="116"/>
        <v>0</v>
      </c>
      <c r="W373" s="133">
        <f t="shared" ca="1" si="117"/>
        <v>13088.309818379159</v>
      </c>
      <c r="X373" s="104">
        <f t="shared" ca="1" si="118"/>
        <v>0</v>
      </c>
      <c r="Y373" s="135">
        <f t="shared" ca="1" si="119"/>
        <v>0</v>
      </c>
      <c r="AE373" s="104"/>
    </row>
    <row r="374" spans="1:31" x14ac:dyDescent="0.2">
      <c r="A374" s="98">
        <v>2</v>
      </c>
      <c r="B374" s="98">
        <v>3</v>
      </c>
      <c r="C374" s="98">
        <f t="shared" si="100"/>
        <v>8</v>
      </c>
      <c r="D374" s="98">
        <f t="shared" si="101"/>
        <v>7</v>
      </c>
      <c r="E374" s="98">
        <f t="shared" si="102"/>
        <v>2</v>
      </c>
      <c r="F374" s="118">
        <f t="shared" ca="1" si="103"/>
        <v>2.6189999999999994E-3</v>
      </c>
      <c r="G374" s="98">
        <v>1</v>
      </c>
      <c r="H374" s="98">
        <v>1</v>
      </c>
      <c r="I374" s="98">
        <v>3</v>
      </c>
      <c r="J374" s="118">
        <f t="shared" ca="1" si="104"/>
        <v>0</v>
      </c>
      <c r="K374" s="118">
        <f t="shared" ca="1" si="105"/>
        <v>0</v>
      </c>
      <c r="L374" s="133">
        <f t="shared" ca="1" si="106"/>
        <v>372</v>
      </c>
      <c r="M374" s="130">
        <f t="shared" ca="1" si="107"/>
        <v>628</v>
      </c>
      <c r="N374" s="100">
        <f t="shared" ca="1" si="108"/>
        <v>4</v>
      </c>
      <c r="O374" s="136">
        <f t="shared" ca="1" si="109"/>
        <v>2.6618557453501217</v>
      </c>
      <c r="P374" s="136">
        <f t="shared" ca="1" si="110"/>
        <v>24.349573517107945</v>
      </c>
      <c r="Q374" s="136">
        <f t="shared" ca="1" si="111"/>
        <v>20.946097612518034</v>
      </c>
      <c r="R374" s="136">
        <f t="shared" ca="1" si="112"/>
        <v>2.2647835564812988</v>
      </c>
      <c r="S374" s="136">
        <f t="shared" ca="1" si="113"/>
        <v>2.5308219230234101</v>
      </c>
      <c r="T374" s="104">
        <f t="shared" ca="1" si="114"/>
        <v>0</v>
      </c>
      <c r="U374" s="87">
        <f t="shared" ca="1" si="115"/>
        <v>1300.1875613842344</v>
      </c>
      <c r="V374" s="104">
        <f t="shared" ca="1" si="116"/>
        <v>0</v>
      </c>
      <c r="W374" s="133">
        <f t="shared" ca="1" si="117"/>
        <v>10953.185867583212</v>
      </c>
      <c r="X374" s="104">
        <f t="shared" ca="1" si="118"/>
        <v>0</v>
      </c>
      <c r="Y374" s="135">
        <f t="shared" ca="1" si="119"/>
        <v>0</v>
      </c>
      <c r="AE374" s="104"/>
    </row>
    <row r="375" spans="1:31" x14ac:dyDescent="0.2">
      <c r="A375" s="98">
        <v>2</v>
      </c>
      <c r="B375" s="98">
        <v>3</v>
      </c>
      <c r="C375" s="98">
        <f t="shared" si="100"/>
        <v>8</v>
      </c>
      <c r="D375" s="98">
        <f t="shared" si="101"/>
        <v>7</v>
      </c>
      <c r="E375" s="98">
        <f t="shared" si="102"/>
        <v>2</v>
      </c>
      <c r="F375" s="118">
        <f t="shared" ca="1" si="103"/>
        <v>2.6189999999999994E-3</v>
      </c>
      <c r="G375" s="98">
        <v>1</v>
      </c>
      <c r="H375" s="98">
        <v>1</v>
      </c>
      <c r="I375" s="98">
        <v>2</v>
      </c>
      <c r="J375" s="118">
        <f t="shared" ca="1" si="104"/>
        <v>0</v>
      </c>
      <c r="K375" s="118">
        <f t="shared" ca="1" si="105"/>
        <v>0</v>
      </c>
      <c r="L375" s="133">
        <f t="shared" ca="1" si="106"/>
        <v>360</v>
      </c>
      <c r="M375" s="130">
        <f t="shared" ca="1" si="107"/>
        <v>640</v>
      </c>
      <c r="N375" s="100">
        <f t="shared" ca="1" si="108"/>
        <v>4</v>
      </c>
      <c r="O375" s="136">
        <f t="shared" ca="1" si="109"/>
        <v>2.6618557453501217</v>
      </c>
      <c r="P375" s="136">
        <f t="shared" ca="1" si="110"/>
        <v>26.618557453501214</v>
      </c>
      <c r="Q375" s="136">
        <f t="shared" ca="1" si="111"/>
        <v>25.48406548530458</v>
      </c>
      <c r="R375" s="136">
        <f t="shared" ca="1" si="112"/>
        <v>2.6051311469402898</v>
      </c>
      <c r="S375" s="136">
        <f t="shared" ca="1" si="113"/>
        <v>2.6431366278748771</v>
      </c>
      <c r="T375" s="104">
        <f t="shared" ca="1" si="114"/>
        <v>0</v>
      </c>
      <c r="U375" s="87">
        <f t="shared" ca="1" si="115"/>
        <v>1327.8416384125694</v>
      </c>
      <c r="V375" s="104">
        <f t="shared" ca="1" si="116"/>
        <v>0</v>
      </c>
      <c r="W375" s="133">
        <f t="shared" ca="1" si="117"/>
        <v>8818.0619167872646</v>
      </c>
      <c r="X375" s="104">
        <f t="shared" ca="1" si="118"/>
        <v>0</v>
      </c>
      <c r="Y375" s="135">
        <f t="shared" ca="1" si="119"/>
        <v>0</v>
      </c>
      <c r="AE375" s="104"/>
    </row>
    <row r="376" spans="1:31" x14ac:dyDescent="0.2">
      <c r="A376" s="98">
        <v>2</v>
      </c>
      <c r="B376" s="98">
        <v>3</v>
      </c>
      <c r="C376" s="98">
        <f t="shared" si="100"/>
        <v>8</v>
      </c>
      <c r="D376" s="98">
        <f t="shared" si="101"/>
        <v>7</v>
      </c>
      <c r="E376" s="98">
        <f t="shared" si="102"/>
        <v>2</v>
      </c>
      <c r="F376" s="118">
        <f t="shared" ca="1" si="103"/>
        <v>2.6189999999999994E-3</v>
      </c>
      <c r="G376" s="98">
        <v>1</v>
      </c>
      <c r="H376" s="98">
        <v>1</v>
      </c>
      <c r="I376" s="98">
        <v>1</v>
      </c>
      <c r="J376" s="118">
        <f t="shared" ca="1" si="104"/>
        <v>0</v>
      </c>
      <c r="K376" s="118">
        <f t="shared" ca="1" si="105"/>
        <v>0</v>
      </c>
      <c r="L376" s="133">
        <f t="shared" ca="1" si="106"/>
        <v>348</v>
      </c>
      <c r="M376" s="130">
        <f t="shared" ca="1" si="107"/>
        <v>652</v>
      </c>
      <c r="N376" s="100">
        <f t="shared" ca="1" si="108"/>
        <v>4</v>
      </c>
      <c r="O376" s="136">
        <f t="shared" ca="1" si="109"/>
        <v>2.6618557453501217</v>
      </c>
      <c r="P376" s="136">
        <f t="shared" ca="1" si="110"/>
        <v>26.618557453501214</v>
      </c>
      <c r="Q376" s="136">
        <f t="shared" ca="1" si="111"/>
        <v>26.618557453501214</v>
      </c>
      <c r="R376" s="136">
        <f t="shared" ca="1" si="112"/>
        <v>2.6618557453501213</v>
      </c>
      <c r="S376" s="136">
        <f t="shared" ca="1" si="113"/>
        <v>2.6618557453501213</v>
      </c>
      <c r="T376" s="104">
        <f t="shared" ca="1" si="114"/>
        <v>0</v>
      </c>
      <c r="U376" s="87">
        <f t="shared" ca="1" si="115"/>
        <v>1322.4506512506252</v>
      </c>
      <c r="V376" s="104">
        <f t="shared" ca="1" si="116"/>
        <v>0</v>
      </c>
      <c r="W376" s="133">
        <f t="shared" ca="1" si="117"/>
        <v>6682.9379659913157</v>
      </c>
      <c r="X376" s="104">
        <f t="shared" ca="1" si="118"/>
        <v>0</v>
      </c>
      <c r="Y376" s="135">
        <f t="shared" ca="1" si="119"/>
        <v>0</v>
      </c>
      <c r="AE376" s="104"/>
    </row>
    <row r="377" spans="1:31" x14ac:dyDescent="0.2">
      <c r="A377" s="98">
        <v>2</v>
      </c>
      <c r="B377" s="98">
        <v>3</v>
      </c>
      <c r="C377" s="98">
        <f t="shared" si="100"/>
        <v>8</v>
      </c>
      <c r="D377" s="98">
        <f t="shared" si="101"/>
        <v>7</v>
      </c>
      <c r="E377" s="98">
        <f t="shared" si="102"/>
        <v>2</v>
      </c>
      <c r="F377" s="118">
        <f t="shared" ca="1" si="103"/>
        <v>2.6189999999999994E-3</v>
      </c>
      <c r="G377" s="98">
        <v>1</v>
      </c>
      <c r="H377" s="98">
        <v>1</v>
      </c>
      <c r="I377" s="98">
        <v>0</v>
      </c>
      <c r="J377" s="118">
        <f t="shared" ca="1" si="104"/>
        <v>0</v>
      </c>
      <c r="K377" s="118">
        <f t="shared" ca="1" si="105"/>
        <v>0</v>
      </c>
      <c r="L377" s="133">
        <f t="shared" ca="1" si="106"/>
        <v>336</v>
      </c>
      <c r="M377" s="130">
        <f t="shared" ca="1" si="107"/>
        <v>664</v>
      </c>
      <c r="N377" s="100">
        <f t="shared" ca="1" si="108"/>
        <v>4</v>
      </c>
      <c r="O377" s="136">
        <f t="shared" ca="1" si="109"/>
        <v>2.6618557453501217</v>
      </c>
      <c r="P377" s="136">
        <f t="shared" ca="1" si="110"/>
        <v>26.618557453501214</v>
      </c>
      <c r="Q377" s="136">
        <f t="shared" ca="1" si="111"/>
        <v>26.618557453501214</v>
      </c>
      <c r="R377" s="136">
        <f t="shared" ca="1" si="112"/>
        <v>2.6618557453501213</v>
      </c>
      <c r="S377" s="136">
        <f t="shared" ca="1" si="113"/>
        <v>2.6618557453501213</v>
      </c>
      <c r="T377" s="104">
        <f t="shared" ca="1" si="114"/>
        <v>0</v>
      </c>
      <c r="U377" s="87">
        <f t="shared" ca="1" si="115"/>
        <v>1310.4506512506252</v>
      </c>
      <c r="V377" s="104">
        <f t="shared" ca="1" si="116"/>
        <v>0</v>
      </c>
      <c r="W377" s="133">
        <f t="shared" ca="1" si="117"/>
        <v>4547.8140151953685</v>
      </c>
      <c r="X377" s="104">
        <f t="shared" ca="1" si="118"/>
        <v>0</v>
      </c>
      <c r="Y377" s="135">
        <f t="shared" ca="1" si="119"/>
        <v>0</v>
      </c>
      <c r="AE377" s="104"/>
    </row>
    <row r="378" spans="1:31" x14ac:dyDescent="0.2">
      <c r="A378" s="98">
        <v>2</v>
      </c>
      <c r="B378" s="98">
        <v>3</v>
      </c>
      <c r="C378" s="98">
        <f t="shared" si="100"/>
        <v>8</v>
      </c>
      <c r="D378" s="98">
        <f t="shared" si="101"/>
        <v>7</v>
      </c>
      <c r="E378" s="98">
        <f t="shared" si="102"/>
        <v>2</v>
      </c>
      <c r="F378" s="118">
        <f t="shared" ca="1" si="103"/>
        <v>2.6189999999999994E-3</v>
      </c>
      <c r="G378" s="98">
        <v>1</v>
      </c>
      <c r="H378" s="98">
        <v>0</v>
      </c>
      <c r="I378" s="98">
        <v>7</v>
      </c>
      <c r="J378" s="118">
        <f t="shared" ca="1" si="104"/>
        <v>0.66342043128906247</v>
      </c>
      <c r="K378" s="118">
        <f t="shared" ca="1" si="105"/>
        <v>1.7374981095460542E-3</v>
      </c>
      <c r="L378" s="133">
        <f t="shared" ca="1" si="106"/>
        <v>252</v>
      </c>
      <c r="M378" s="130">
        <f t="shared" ca="1" si="107"/>
        <v>748</v>
      </c>
      <c r="N378" s="100">
        <f t="shared" ca="1" si="108"/>
        <v>4</v>
      </c>
      <c r="O378" s="136">
        <f t="shared" ca="1" si="109"/>
        <v>2.6618557453501217</v>
      </c>
      <c r="P378" s="136">
        <f t="shared" ca="1" si="110"/>
        <v>26.618557453501214</v>
      </c>
      <c r="Q378" s="136">
        <f t="shared" ca="1" si="111"/>
        <v>26.618557453501214</v>
      </c>
      <c r="R378" s="136">
        <f t="shared" ca="1" si="112"/>
        <v>2.6618557453501213</v>
      </c>
      <c r="S378" s="136">
        <f t="shared" ca="1" si="113"/>
        <v>2.6618557453501213</v>
      </c>
      <c r="T378" s="104">
        <f t="shared" ca="1" si="114"/>
        <v>4.624969325430139E-3</v>
      </c>
      <c r="U378" s="87">
        <f t="shared" ca="1" si="115"/>
        <v>1226.4506512506252</v>
      </c>
      <c r="V378" s="104">
        <f t="shared" ca="1" si="116"/>
        <v>2.1309556879994882</v>
      </c>
      <c r="W378" s="133">
        <f t="shared" ca="1" si="117"/>
        <v>17358.557719971053</v>
      </c>
      <c r="X378" s="104">
        <f t="shared" ca="1" si="118"/>
        <v>30.160461222895769</v>
      </c>
      <c r="Y378" s="135">
        <f t="shared" ca="1" si="119"/>
        <v>0.43784952360560564</v>
      </c>
      <c r="AE378" s="104"/>
    </row>
    <row r="379" spans="1:31" x14ac:dyDescent="0.2">
      <c r="A379" s="98">
        <v>2</v>
      </c>
      <c r="B379" s="98">
        <v>3</v>
      </c>
      <c r="C379" s="98">
        <f t="shared" si="100"/>
        <v>8</v>
      </c>
      <c r="D379" s="98">
        <f t="shared" si="101"/>
        <v>7</v>
      </c>
      <c r="E379" s="98">
        <f t="shared" si="102"/>
        <v>2</v>
      </c>
      <c r="F379" s="118">
        <f t="shared" ca="1" si="103"/>
        <v>2.6189999999999994E-3</v>
      </c>
      <c r="G379" s="98">
        <v>1</v>
      </c>
      <c r="H379" s="98">
        <v>0</v>
      </c>
      <c r="I379" s="98">
        <v>6</v>
      </c>
      <c r="J379" s="118">
        <f t="shared" ca="1" si="104"/>
        <v>0.24441805363281272</v>
      </c>
      <c r="K379" s="118">
        <f t="shared" ca="1" si="105"/>
        <v>6.4013088246433634E-4</v>
      </c>
      <c r="L379" s="133">
        <f t="shared" ca="1" si="106"/>
        <v>240</v>
      </c>
      <c r="M379" s="130">
        <f t="shared" ca="1" si="107"/>
        <v>760</v>
      </c>
      <c r="N379" s="100">
        <f t="shared" ca="1" si="108"/>
        <v>4</v>
      </c>
      <c r="O379" s="136">
        <f t="shared" ca="1" si="109"/>
        <v>2.6618557453501217</v>
      </c>
      <c r="P379" s="136">
        <f t="shared" ca="1" si="110"/>
        <v>26.618557453501214</v>
      </c>
      <c r="Q379" s="136">
        <f t="shared" ca="1" si="111"/>
        <v>26.618557453501214</v>
      </c>
      <c r="R379" s="136">
        <f t="shared" ca="1" si="112"/>
        <v>2.6618557453501213</v>
      </c>
      <c r="S379" s="136">
        <f t="shared" ca="1" si="113"/>
        <v>2.6618557453501213</v>
      </c>
      <c r="T379" s="104">
        <f t="shared" ca="1" si="114"/>
        <v>1.703936067263737E-3</v>
      </c>
      <c r="U379" s="87">
        <f t="shared" ca="1" si="115"/>
        <v>1214.4506512506252</v>
      </c>
      <c r="V379" s="104">
        <f t="shared" ca="1" si="116"/>
        <v>0.77740736709445069</v>
      </c>
      <c r="W379" s="133">
        <f t="shared" ca="1" si="117"/>
        <v>15223.433769175106</v>
      </c>
      <c r="X379" s="104">
        <f t="shared" ca="1" si="118"/>
        <v>9.7449900927994388</v>
      </c>
      <c r="Y379" s="135">
        <f t="shared" ca="1" si="119"/>
        <v>0.15363141179144071</v>
      </c>
      <c r="AE379" s="104"/>
    </row>
    <row r="380" spans="1:31" x14ac:dyDescent="0.2">
      <c r="A380" s="98">
        <v>2</v>
      </c>
      <c r="B380" s="98">
        <v>3</v>
      </c>
      <c r="C380" s="98">
        <f t="shared" si="100"/>
        <v>8</v>
      </c>
      <c r="D380" s="98">
        <f t="shared" si="101"/>
        <v>7</v>
      </c>
      <c r="E380" s="98">
        <f t="shared" si="102"/>
        <v>2</v>
      </c>
      <c r="F380" s="118">
        <f t="shared" ca="1" si="103"/>
        <v>2.6189999999999994E-3</v>
      </c>
      <c r="G380" s="98">
        <v>1</v>
      </c>
      <c r="H380" s="98">
        <v>0</v>
      </c>
      <c r="I380" s="98">
        <v>5</v>
      </c>
      <c r="J380" s="118">
        <f t="shared" ca="1" si="104"/>
        <v>3.8592324257812567E-2</v>
      </c>
      <c r="K380" s="118">
        <f t="shared" ca="1" si="105"/>
        <v>1.0107329723121109E-4</v>
      </c>
      <c r="L380" s="133">
        <f t="shared" ca="1" si="106"/>
        <v>228</v>
      </c>
      <c r="M380" s="130">
        <f t="shared" ca="1" si="107"/>
        <v>772</v>
      </c>
      <c r="N380" s="100">
        <f t="shared" ca="1" si="108"/>
        <v>4</v>
      </c>
      <c r="O380" s="136">
        <f t="shared" ca="1" si="109"/>
        <v>2.6618557453501217</v>
      </c>
      <c r="P380" s="136">
        <f t="shared" ca="1" si="110"/>
        <v>26.618557453501214</v>
      </c>
      <c r="Q380" s="136">
        <f t="shared" ca="1" si="111"/>
        <v>26.618557453501214</v>
      </c>
      <c r="R380" s="136">
        <f t="shared" ca="1" si="112"/>
        <v>2.6618557453501213</v>
      </c>
      <c r="S380" s="136">
        <f t="shared" ca="1" si="113"/>
        <v>2.6618557453501213</v>
      </c>
      <c r="T380" s="104">
        <f t="shared" ca="1" si="114"/>
        <v>2.6904253693637973E-4</v>
      </c>
      <c r="U380" s="87">
        <f t="shared" ca="1" si="115"/>
        <v>1202.4506512506252</v>
      </c>
      <c r="V380" s="104">
        <f t="shared" ca="1" si="116"/>
        <v>0.1215356520797178</v>
      </c>
      <c r="W380" s="133">
        <f t="shared" ca="1" si="117"/>
        <v>13088.309818379159</v>
      </c>
      <c r="X380" s="104">
        <f t="shared" ca="1" si="118"/>
        <v>1.3228786285272152</v>
      </c>
      <c r="Y380" s="135">
        <f t="shared" ca="1" si="119"/>
        <v>2.3044711768716128E-2</v>
      </c>
      <c r="AE380" s="104"/>
    </row>
    <row r="381" spans="1:31" x14ac:dyDescent="0.2">
      <c r="A381" s="98">
        <v>2</v>
      </c>
      <c r="B381" s="98">
        <v>3</v>
      </c>
      <c r="C381" s="98">
        <f t="shared" si="100"/>
        <v>8</v>
      </c>
      <c r="D381" s="98">
        <f t="shared" si="101"/>
        <v>7</v>
      </c>
      <c r="E381" s="98">
        <f t="shared" si="102"/>
        <v>2</v>
      </c>
      <c r="F381" s="118">
        <f t="shared" ca="1" si="103"/>
        <v>2.6189999999999994E-3</v>
      </c>
      <c r="G381" s="98">
        <v>1</v>
      </c>
      <c r="H381" s="98">
        <v>0</v>
      </c>
      <c r="I381" s="98">
        <v>4</v>
      </c>
      <c r="J381" s="118">
        <f t="shared" ca="1" si="104"/>
        <v>3.3852916015625085E-3</v>
      </c>
      <c r="K381" s="118">
        <f t="shared" ca="1" si="105"/>
        <v>8.8660787044922078E-6</v>
      </c>
      <c r="L381" s="133">
        <f t="shared" ca="1" si="106"/>
        <v>216</v>
      </c>
      <c r="M381" s="130">
        <f t="shared" ca="1" si="107"/>
        <v>784</v>
      </c>
      <c r="N381" s="100">
        <f t="shared" ca="1" si="108"/>
        <v>4</v>
      </c>
      <c r="O381" s="136">
        <f t="shared" ca="1" si="109"/>
        <v>2.6618557453501217</v>
      </c>
      <c r="P381" s="136">
        <f t="shared" ca="1" si="110"/>
        <v>26.618557453501214</v>
      </c>
      <c r="Q381" s="136">
        <f t="shared" ca="1" si="111"/>
        <v>26.618557453501214</v>
      </c>
      <c r="R381" s="136">
        <f t="shared" ca="1" si="112"/>
        <v>2.6618557453501213</v>
      </c>
      <c r="S381" s="136">
        <f t="shared" ca="1" si="113"/>
        <v>2.6618557453501213</v>
      </c>
      <c r="T381" s="104">
        <f t="shared" ca="1" si="114"/>
        <v>2.3600222538278943E-5</v>
      </c>
      <c r="U381" s="87">
        <f t="shared" ca="1" si="115"/>
        <v>1190.4506512506252</v>
      </c>
      <c r="V381" s="104">
        <f t="shared" ca="1" si="116"/>
        <v>1.0554629167802048E-2</v>
      </c>
      <c r="W381" s="133">
        <f t="shared" ca="1" si="117"/>
        <v>10953.185867583212</v>
      </c>
      <c r="X381" s="104">
        <f t="shared" ca="1" si="118"/>
        <v>9.7111807966924521E-2</v>
      </c>
      <c r="Y381" s="135">
        <f t="shared" ca="1" si="119"/>
        <v>1.9150730001703169E-3</v>
      </c>
      <c r="AE381" s="104"/>
    </row>
    <row r="382" spans="1:31" x14ac:dyDescent="0.2">
      <c r="A382" s="98">
        <v>2</v>
      </c>
      <c r="B382" s="98">
        <v>3</v>
      </c>
      <c r="C382" s="98">
        <f t="shared" si="100"/>
        <v>8</v>
      </c>
      <c r="D382" s="98">
        <f t="shared" si="101"/>
        <v>7</v>
      </c>
      <c r="E382" s="98">
        <f t="shared" si="102"/>
        <v>2</v>
      </c>
      <c r="F382" s="118">
        <f t="shared" ca="1" si="103"/>
        <v>2.6189999999999994E-3</v>
      </c>
      <c r="G382" s="98">
        <v>1</v>
      </c>
      <c r="H382" s="98">
        <v>0</v>
      </c>
      <c r="I382" s="98">
        <v>3</v>
      </c>
      <c r="J382" s="118">
        <f t="shared" ca="1" si="104"/>
        <v>1.7817324218750058E-4</v>
      </c>
      <c r="K382" s="118">
        <f t="shared" ca="1" si="105"/>
        <v>4.6663572128906391E-7</v>
      </c>
      <c r="L382" s="133">
        <f t="shared" ca="1" si="106"/>
        <v>204</v>
      </c>
      <c r="M382" s="130">
        <f t="shared" ca="1" si="107"/>
        <v>796</v>
      </c>
      <c r="N382" s="100">
        <f t="shared" ca="1" si="108"/>
        <v>4</v>
      </c>
      <c r="O382" s="136">
        <f t="shared" ca="1" si="109"/>
        <v>2.6618557453501217</v>
      </c>
      <c r="P382" s="136">
        <f t="shared" ca="1" si="110"/>
        <v>26.618557453501214</v>
      </c>
      <c r="Q382" s="136">
        <f t="shared" ca="1" si="111"/>
        <v>26.618557453501214</v>
      </c>
      <c r="R382" s="136">
        <f t="shared" ca="1" si="112"/>
        <v>2.6618557453501213</v>
      </c>
      <c r="S382" s="136">
        <f t="shared" ca="1" si="113"/>
        <v>2.6618557453501213</v>
      </c>
      <c r="T382" s="104">
        <f t="shared" ca="1" si="114"/>
        <v>1.2421169756988926E-6</v>
      </c>
      <c r="U382" s="87">
        <f t="shared" ca="1" si="115"/>
        <v>1178.4506512506252</v>
      </c>
      <c r="V382" s="104">
        <f t="shared" ca="1" si="116"/>
        <v>5.4990716964990261E-4</v>
      </c>
      <c r="W382" s="133">
        <f t="shared" ca="1" si="117"/>
        <v>8818.0619167872646</v>
      </c>
      <c r="X382" s="104">
        <f t="shared" ca="1" si="118"/>
        <v>4.1148226829116506E-3</v>
      </c>
      <c r="Y382" s="135">
        <f t="shared" ca="1" si="119"/>
        <v>9.5193687142969039E-5</v>
      </c>
      <c r="AE382" s="104"/>
    </row>
    <row r="383" spans="1:31" x14ac:dyDescent="0.2">
      <c r="A383" s="98">
        <v>2</v>
      </c>
      <c r="B383" s="98">
        <v>3</v>
      </c>
      <c r="C383" s="98">
        <f t="shared" si="100"/>
        <v>8</v>
      </c>
      <c r="D383" s="98">
        <f t="shared" si="101"/>
        <v>7</v>
      </c>
      <c r="E383" s="98">
        <f t="shared" si="102"/>
        <v>2</v>
      </c>
      <c r="F383" s="118">
        <f t="shared" ca="1" si="103"/>
        <v>2.6189999999999994E-3</v>
      </c>
      <c r="G383" s="98">
        <v>1</v>
      </c>
      <c r="H383" s="98">
        <v>0</v>
      </c>
      <c r="I383" s="98">
        <v>2</v>
      </c>
      <c r="J383" s="118">
        <f t="shared" ca="1" si="104"/>
        <v>5.6265234375000243E-6</v>
      </c>
      <c r="K383" s="118">
        <f t="shared" ca="1" si="105"/>
        <v>1.473586488281256E-8</v>
      </c>
      <c r="L383" s="133">
        <f t="shared" ca="1" si="106"/>
        <v>192</v>
      </c>
      <c r="M383" s="130">
        <f t="shared" ca="1" si="107"/>
        <v>808</v>
      </c>
      <c r="N383" s="100">
        <f t="shared" ca="1" si="108"/>
        <v>4</v>
      </c>
      <c r="O383" s="136">
        <f t="shared" ca="1" si="109"/>
        <v>2.6618557453501217</v>
      </c>
      <c r="P383" s="136">
        <f t="shared" ca="1" si="110"/>
        <v>26.618557453501214</v>
      </c>
      <c r="Q383" s="136">
        <f t="shared" ca="1" si="111"/>
        <v>26.618557453501214</v>
      </c>
      <c r="R383" s="136">
        <f t="shared" ca="1" si="112"/>
        <v>2.6618557453501213</v>
      </c>
      <c r="S383" s="136">
        <f t="shared" ca="1" si="113"/>
        <v>2.6618557453501213</v>
      </c>
      <c r="T383" s="104">
        <f t="shared" ca="1" si="114"/>
        <v>3.9224746601017708E-8</v>
      </c>
      <c r="U383" s="87">
        <f t="shared" ca="1" si="115"/>
        <v>1166.4506512506252</v>
      </c>
      <c r="V383" s="104">
        <f t="shared" ca="1" si="116"/>
        <v>1.718865918929793E-5</v>
      </c>
      <c r="W383" s="133">
        <f t="shared" ca="1" si="117"/>
        <v>6682.9379659913157</v>
      </c>
      <c r="X383" s="104">
        <f t="shared" ca="1" si="118"/>
        <v>9.8478870887066226E-5</v>
      </c>
      <c r="Y383" s="135">
        <f t="shared" ca="1" si="119"/>
        <v>2.8292860575000115E-6</v>
      </c>
      <c r="AE383" s="104"/>
    </row>
    <row r="384" spans="1:31" x14ac:dyDescent="0.2">
      <c r="A384" s="98">
        <v>2</v>
      </c>
      <c r="B384" s="98">
        <v>3</v>
      </c>
      <c r="C384" s="98">
        <f t="shared" si="100"/>
        <v>8</v>
      </c>
      <c r="D384" s="98">
        <f t="shared" si="101"/>
        <v>7</v>
      </c>
      <c r="E384" s="98">
        <f t="shared" si="102"/>
        <v>2</v>
      </c>
      <c r="F384" s="118">
        <f t="shared" ca="1" si="103"/>
        <v>2.6189999999999994E-3</v>
      </c>
      <c r="G384" s="98">
        <v>1</v>
      </c>
      <c r="H384" s="98">
        <v>0</v>
      </c>
      <c r="I384" s="98">
        <v>1</v>
      </c>
      <c r="J384" s="118">
        <f t="shared" ca="1" si="104"/>
        <v>9.8710937500000504E-8</v>
      </c>
      <c r="K384" s="118">
        <f t="shared" ca="1" si="105"/>
        <v>2.5852394531250123E-10</v>
      </c>
      <c r="L384" s="133">
        <f t="shared" ca="1" si="106"/>
        <v>180</v>
      </c>
      <c r="M384" s="130">
        <f t="shared" ca="1" si="107"/>
        <v>820</v>
      </c>
      <c r="N384" s="100">
        <f t="shared" ca="1" si="108"/>
        <v>4</v>
      </c>
      <c r="O384" s="136">
        <f t="shared" ca="1" si="109"/>
        <v>2.6618557453501217</v>
      </c>
      <c r="P384" s="136">
        <f t="shared" ca="1" si="110"/>
        <v>26.618557453501214</v>
      </c>
      <c r="Q384" s="136">
        <f t="shared" ca="1" si="111"/>
        <v>26.618557453501214</v>
      </c>
      <c r="R384" s="136">
        <f t="shared" ca="1" si="112"/>
        <v>2.6618557453501213</v>
      </c>
      <c r="S384" s="136">
        <f t="shared" ca="1" si="113"/>
        <v>2.6618557453501213</v>
      </c>
      <c r="T384" s="104">
        <f t="shared" ca="1" si="114"/>
        <v>6.8815344914066192E-10</v>
      </c>
      <c r="U384" s="87">
        <f t="shared" ca="1" si="115"/>
        <v>1154.4506512506252</v>
      </c>
      <c r="V384" s="104">
        <f t="shared" ca="1" si="116"/>
        <v>2.9845313702989807E-7</v>
      </c>
      <c r="W384" s="133">
        <f t="shared" ca="1" si="117"/>
        <v>4547.8140151953685</v>
      </c>
      <c r="X384" s="104">
        <f t="shared" ca="1" si="118"/>
        <v>1.1757188217557942E-6</v>
      </c>
      <c r="Y384" s="135">
        <f t="shared" ca="1" si="119"/>
        <v>4.653431015625022E-8</v>
      </c>
      <c r="AE384" s="104"/>
    </row>
    <row r="385" spans="1:31" x14ac:dyDescent="0.2">
      <c r="A385" s="98">
        <v>2</v>
      </c>
      <c r="B385" s="98">
        <v>3</v>
      </c>
      <c r="C385" s="98">
        <f t="shared" si="100"/>
        <v>8</v>
      </c>
      <c r="D385" s="98">
        <f t="shared" si="101"/>
        <v>7</v>
      </c>
      <c r="E385" s="98">
        <f t="shared" si="102"/>
        <v>2</v>
      </c>
      <c r="F385" s="118">
        <f t="shared" ca="1" si="103"/>
        <v>2.6189999999999994E-3</v>
      </c>
      <c r="G385" s="98">
        <v>1</v>
      </c>
      <c r="H385" s="98">
        <v>0</v>
      </c>
      <c r="I385" s="98">
        <v>0</v>
      </c>
      <c r="J385" s="118">
        <f t="shared" ca="1" si="104"/>
        <v>7.4218750000000458E-10</v>
      </c>
      <c r="K385" s="118">
        <f t="shared" ca="1" si="105"/>
        <v>1.9437890625000117E-12</v>
      </c>
      <c r="L385" s="133">
        <f t="shared" ca="1" si="106"/>
        <v>168</v>
      </c>
      <c r="M385" s="130">
        <f t="shared" ca="1" si="107"/>
        <v>832</v>
      </c>
      <c r="N385" s="100">
        <f t="shared" ca="1" si="108"/>
        <v>5</v>
      </c>
      <c r="O385" s="136">
        <f t="shared" ca="1" si="109"/>
        <v>3.2590583346360766</v>
      </c>
      <c r="P385" s="136">
        <f t="shared" ca="1" si="110"/>
        <v>28.410165221359076</v>
      </c>
      <c r="Q385" s="136">
        <f t="shared" ca="1" si="111"/>
        <v>26.618557453501214</v>
      </c>
      <c r="R385" s="136">
        <f t="shared" ca="1" si="112"/>
        <v>2.7514361337430144</v>
      </c>
      <c r="S385" s="136">
        <f t="shared" ca="1" si="113"/>
        <v>3.091543008341366</v>
      </c>
      <c r="T385" s="104">
        <f t="shared" ca="1" si="114"/>
        <v>6.0093074858623295E-12</v>
      </c>
      <c r="U385" s="87">
        <f t="shared" ca="1" si="115"/>
        <v>1294.1569825567776</v>
      </c>
      <c r="V385" s="104">
        <f t="shared" ca="1" si="116"/>
        <v>2.5155681878518829E-9</v>
      </c>
      <c r="W385" s="133">
        <f t="shared" ca="1" si="117"/>
        <v>2412.6900643994204</v>
      </c>
      <c r="X385" s="104">
        <f t="shared" ca="1" si="118"/>
        <v>4.6897605583820419E-9</v>
      </c>
      <c r="Y385" s="135">
        <f t="shared" ca="1" si="119"/>
        <v>3.2655656250000196E-10</v>
      </c>
      <c r="AE385" s="104"/>
    </row>
    <row r="386" spans="1:31" x14ac:dyDescent="0.2">
      <c r="A386" s="98">
        <v>2</v>
      </c>
      <c r="B386" s="98">
        <v>3</v>
      </c>
      <c r="C386" s="98">
        <f t="shared" si="100"/>
        <v>8</v>
      </c>
      <c r="D386" s="98">
        <f t="shared" si="101"/>
        <v>7</v>
      </c>
      <c r="E386" s="98">
        <f t="shared" si="102"/>
        <v>2</v>
      </c>
      <c r="F386" s="118">
        <f t="shared" ca="1" si="103"/>
        <v>2.6189999999999994E-3</v>
      </c>
      <c r="G386" s="98">
        <v>0</v>
      </c>
      <c r="H386" s="98">
        <v>1</v>
      </c>
      <c r="I386" s="98">
        <v>7</v>
      </c>
      <c r="J386" s="118">
        <f t="shared" ca="1" si="104"/>
        <v>0</v>
      </c>
      <c r="K386" s="118">
        <f t="shared" ca="1" si="105"/>
        <v>0</v>
      </c>
      <c r="L386" s="133">
        <f t="shared" ca="1" si="106"/>
        <v>252</v>
      </c>
      <c r="M386" s="130">
        <f t="shared" ca="1" si="107"/>
        <v>748</v>
      </c>
      <c r="N386" s="100">
        <f t="shared" ca="1" si="108"/>
        <v>4</v>
      </c>
      <c r="O386" s="136">
        <f t="shared" ca="1" si="109"/>
        <v>2.6618557453501217</v>
      </c>
      <c r="P386" s="136">
        <f t="shared" ca="1" si="110"/>
        <v>26.618557453501214</v>
      </c>
      <c r="Q386" s="136">
        <f t="shared" ca="1" si="111"/>
        <v>26.618557453501214</v>
      </c>
      <c r="R386" s="136">
        <f t="shared" ca="1" si="112"/>
        <v>2.6618557453501213</v>
      </c>
      <c r="S386" s="136">
        <f t="shared" ca="1" si="113"/>
        <v>2.6618557453501213</v>
      </c>
      <c r="T386" s="104">
        <f t="shared" ca="1" si="114"/>
        <v>0</v>
      </c>
      <c r="U386" s="87">
        <f t="shared" ca="1" si="115"/>
        <v>1226.4506512506252</v>
      </c>
      <c r="V386" s="104">
        <f t="shared" ca="1" si="116"/>
        <v>0</v>
      </c>
      <c r="W386" s="133">
        <f t="shared" ca="1" si="117"/>
        <v>17080.991606367581</v>
      </c>
      <c r="X386" s="104">
        <f t="shared" ca="1" si="118"/>
        <v>0</v>
      </c>
      <c r="Y386" s="135">
        <f t="shared" ca="1" si="119"/>
        <v>0</v>
      </c>
      <c r="AE386" s="104"/>
    </row>
    <row r="387" spans="1:31" x14ac:dyDescent="0.2">
      <c r="A387" s="98">
        <v>2</v>
      </c>
      <c r="B387" s="98">
        <v>3</v>
      </c>
      <c r="C387" s="98">
        <f t="shared" si="100"/>
        <v>8</v>
      </c>
      <c r="D387" s="98">
        <f t="shared" si="101"/>
        <v>7</v>
      </c>
      <c r="E387" s="98">
        <f t="shared" si="102"/>
        <v>2</v>
      </c>
      <c r="F387" s="118">
        <f t="shared" ca="1" si="103"/>
        <v>2.6189999999999994E-3</v>
      </c>
      <c r="G387" s="98">
        <v>0</v>
      </c>
      <c r="H387" s="98">
        <v>1</v>
      </c>
      <c r="I387" s="98">
        <v>6</v>
      </c>
      <c r="J387" s="118">
        <f t="shared" ca="1" si="104"/>
        <v>0</v>
      </c>
      <c r="K387" s="118">
        <f t="shared" ca="1" si="105"/>
        <v>0</v>
      </c>
      <c r="L387" s="133">
        <f t="shared" ca="1" si="106"/>
        <v>240</v>
      </c>
      <c r="M387" s="130">
        <f t="shared" ca="1" si="107"/>
        <v>760</v>
      </c>
      <c r="N387" s="100">
        <f t="shared" ca="1" si="108"/>
        <v>4</v>
      </c>
      <c r="O387" s="136">
        <f t="shared" ca="1" si="109"/>
        <v>2.6618557453501217</v>
      </c>
      <c r="P387" s="136">
        <f t="shared" ca="1" si="110"/>
        <v>26.618557453501214</v>
      </c>
      <c r="Q387" s="136">
        <f t="shared" ca="1" si="111"/>
        <v>26.618557453501214</v>
      </c>
      <c r="R387" s="136">
        <f t="shared" ca="1" si="112"/>
        <v>2.6618557453501213</v>
      </c>
      <c r="S387" s="136">
        <f t="shared" ca="1" si="113"/>
        <v>2.6618557453501213</v>
      </c>
      <c r="T387" s="104">
        <f t="shared" ca="1" si="114"/>
        <v>0</v>
      </c>
      <c r="U387" s="87">
        <f t="shared" ca="1" si="115"/>
        <v>1214.4506512506252</v>
      </c>
      <c r="V387" s="104">
        <f t="shared" ca="1" si="116"/>
        <v>0</v>
      </c>
      <c r="W387" s="133">
        <f t="shared" ca="1" si="117"/>
        <v>14945.867655571634</v>
      </c>
      <c r="X387" s="104">
        <f t="shared" ca="1" si="118"/>
        <v>0</v>
      </c>
      <c r="Y387" s="135">
        <f t="shared" ca="1" si="119"/>
        <v>0</v>
      </c>
      <c r="AE387" s="104"/>
    </row>
    <row r="388" spans="1:31" x14ac:dyDescent="0.2">
      <c r="A388" s="98">
        <v>2</v>
      </c>
      <c r="B388" s="98">
        <v>3</v>
      </c>
      <c r="C388" s="98">
        <f t="shared" si="100"/>
        <v>8</v>
      </c>
      <c r="D388" s="98">
        <f t="shared" si="101"/>
        <v>7</v>
      </c>
      <c r="E388" s="98">
        <f t="shared" si="102"/>
        <v>2</v>
      </c>
      <c r="F388" s="118">
        <f t="shared" ca="1" si="103"/>
        <v>2.6189999999999994E-3</v>
      </c>
      <c r="G388" s="98">
        <v>0</v>
      </c>
      <c r="H388" s="98">
        <v>1</v>
      </c>
      <c r="I388" s="98">
        <v>5</v>
      </c>
      <c r="J388" s="118">
        <f t="shared" ca="1" si="104"/>
        <v>0</v>
      </c>
      <c r="K388" s="118">
        <f t="shared" ca="1" si="105"/>
        <v>0</v>
      </c>
      <c r="L388" s="133">
        <f t="shared" ca="1" si="106"/>
        <v>228</v>
      </c>
      <c r="M388" s="130">
        <f t="shared" ca="1" si="107"/>
        <v>772</v>
      </c>
      <c r="N388" s="100">
        <f t="shared" ca="1" si="108"/>
        <v>4</v>
      </c>
      <c r="O388" s="136">
        <f t="shared" ca="1" si="109"/>
        <v>2.6618557453501217</v>
      </c>
      <c r="P388" s="136">
        <f t="shared" ca="1" si="110"/>
        <v>26.618557453501214</v>
      </c>
      <c r="Q388" s="136">
        <f t="shared" ca="1" si="111"/>
        <v>26.618557453501214</v>
      </c>
      <c r="R388" s="136">
        <f t="shared" ca="1" si="112"/>
        <v>2.6618557453501213</v>
      </c>
      <c r="S388" s="136">
        <f t="shared" ca="1" si="113"/>
        <v>2.6618557453501213</v>
      </c>
      <c r="T388" s="104">
        <f t="shared" ca="1" si="114"/>
        <v>0</v>
      </c>
      <c r="U388" s="87">
        <f t="shared" ca="1" si="115"/>
        <v>1202.4506512506252</v>
      </c>
      <c r="V388" s="104">
        <f t="shared" ca="1" si="116"/>
        <v>0</v>
      </c>
      <c r="W388" s="133">
        <f t="shared" ca="1" si="117"/>
        <v>12810.743704775685</v>
      </c>
      <c r="X388" s="104">
        <f t="shared" ca="1" si="118"/>
        <v>0</v>
      </c>
      <c r="Y388" s="135">
        <f t="shared" ca="1" si="119"/>
        <v>0</v>
      </c>
      <c r="AE388" s="104"/>
    </row>
    <row r="389" spans="1:31" x14ac:dyDescent="0.2">
      <c r="A389" s="98">
        <v>2</v>
      </c>
      <c r="B389" s="98">
        <v>3</v>
      </c>
      <c r="C389" s="98">
        <f t="shared" si="100"/>
        <v>8</v>
      </c>
      <c r="D389" s="98">
        <f t="shared" si="101"/>
        <v>7</v>
      </c>
      <c r="E389" s="98">
        <f t="shared" si="102"/>
        <v>2</v>
      </c>
      <c r="F389" s="118">
        <f t="shared" ca="1" si="103"/>
        <v>2.6189999999999994E-3</v>
      </c>
      <c r="G389" s="98">
        <v>0</v>
      </c>
      <c r="H389" s="98">
        <v>1</v>
      </c>
      <c r="I389" s="98">
        <v>4</v>
      </c>
      <c r="J389" s="118">
        <f t="shared" ca="1" si="104"/>
        <v>0</v>
      </c>
      <c r="K389" s="118">
        <f t="shared" ca="1" si="105"/>
        <v>0</v>
      </c>
      <c r="L389" s="133">
        <f t="shared" ca="1" si="106"/>
        <v>216</v>
      </c>
      <c r="M389" s="130">
        <f t="shared" ca="1" si="107"/>
        <v>784</v>
      </c>
      <c r="N389" s="100">
        <f t="shared" ca="1" si="108"/>
        <v>4</v>
      </c>
      <c r="O389" s="136">
        <f t="shared" ca="1" si="109"/>
        <v>2.6618557453501217</v>
      </c>
      <c r="P389" s="136">
        <f t="shared" ca="1" si="110"/>
        <v>26.618557453501214</v>
      </c>
      <c r="Q389" s="136">
        <f t="shared" ca="1" si="111"/>
        <v>26.618557453501214</v>
      </c>
      <c r="R389" s="136">
        <f t="shared" ca="1" si="112"/>
        <v>2.6618557453501213</v>
      </c>
      <c r="S389" s="136">
        <f t="shared" ca="1" si="113"/>
        <v>2.6618557453501213</v>
      </c>
      <c r="T389" s="104">
        <f t="shared" ca="1" si="114"/>
        <v>0</v>
      </c>
      <c r="U389" s="87">
        <f t="shared" ca="1" si="115"/>
        <v>1190.4506512506252</v>
      </c>
      <c r="V389" s="104">
        <f t="shared" ca="1" si="116"/>
        <v>0</v>
      </c>
      <c r="W389" s="133">
        <f t="shared" ca="1" si="117"/>
        <v>10675.619753979738</v>
      </c>
      <c r="X389" s="104">
        <f t="shared" ca="1" si="118"/>
        <v>0</v>
      </c>
      <c r="Y389" s="135">
        <f t="shared" ca="1" si="119"/>
        <v>0</v>
      </c>
      <c r="AE389" s="104"/>
    </row>
    <row r="390" spans="1:31" x14ac:dyDescent="0.2">
      <c r="A390" s="98">
        <v>2</v>
      </c>
      <c r="B390" s="98">
        <v>3</v>
      </c>
      <c r="C390" s="98">
        <f t="shared" si="100"/>
        <v>8</v>
      </c>
      <c r="D390" s="98">
        <f t="shared" si="101"/>
        <v>7</v>
      </c>
      <c r="E390" s="98">
        <f t="shared" si="102"/>
        <v>2</v>
      </c>
      <c r="F390" s="118">
        <f t="shared" ca="1" si="103"/>
        <v>2.6189999999999994E-3</v>
      </c>
      <c r="G390" s="98">
        <v>0</v>
      </c>
      <c r="H390" s="98">
        <v>1</v>
      </c>
      <c r="I390" s="98">
        <v>3</v>
      </c>
      <c r="J390" s="118">
        <f t="shared" ca="1" si="104"/>
        <v>0</v>
      </c>
      <c r="K390" s="118">
        <f t="shared" ca="1" si="105"/>
        <v>0</v>
      </c>
      <c r="L390" s="133">
        <f t="shared" ca="1" si="106"/>
        <v>204</v>
      </c>
      <c r="M390" s="130">
        <f t="shared" ca="1" si="107"/>
        <v>796</v>
      </c>
      <c r="N390" s="100">
        <f t="shared" ca="1" si="108"/>
        <v>4</v>
      </c>
      <c r="O390" s="136">
        <f t="shared" ca="1" si="109"/>
        <v>2.6618557453501217</v>
      </c>
      <c r="P390" s="136">
        <f t="shared" ca="1" si="110"/>
        <v>26.618557453501214</v>
      </c>
      <c r="Q390" s="136">
        <f t="shared" ca="1" si="111"/>
        <v>26.618557453501214</v>
      </c>
      <c r="R390" s="136">
        <f t="shared" ca="1" si="112"/>
        <v>2.6618557453501213</v>
      </c>
      <c r="S390" s="136">
        <f t="shared" ca="1" si="113"/>
        <v>2.6618557453501213</v>
      </c>
      <c r="T390" s="104">
        <f t="shared" ca="1" si="114"/>
        <v>0</v>
      </c>
      <c r="U390" s="87">
        <f t="shared" ca="1" si="115"/>
        <v>1178.4506512506252</v>
      </c>
      <c r="V390" s="104">
        <f t="shared" ca="1" si="116"/>
        <v>0</v>
      </c>
      <c r="W390" s="133">
        <f t="shared" ca="1" si="117"/>
        <v>8540.4958031837905</v>
      </c>
      <c r="X390" s="104">
        <f t="shared" ca="1" si="118"/>
        <v>0</v>
      </c>
      <c r="Y390" s="135">
        <f t="shared" ca="1" si="119"/>
        <v>0</v>
      </c>
      <c r="AE390" s="104"/>
    </row>
    <row r="391" spans="1:31" x14ac:dyDescent="0.2">
      <c r="A391" s="98">
        <v>2</v>
      </c>
      <c r="B391" s="98">
        <v>3</v>
      </c>
      <c r="C391" s="98">
        <f t="shared" si="100"/>
        <v>8</v>
      </c>
      <c r="D391" s="98">
        <f t="shared" si="101"/>
        <v>7</v>
      </c>
      <c r="E391" s="98">
        <f t="shared" si="102"/>
        <v>2</v>
      </c>
      <c r="F391" s="118">
        <f t="shared" ca="1" si="103"/>
        <v>2.6189999999999994E-3</v>
      </c>
      <c r="G391" s="98">
        <v>0</v>
      </c>
      <c r="H391" s="98">
        <v>1</v>
      </c>
      <c r="I391" s="98">
        <v>2</v>
      </c>
      <c r="J391" s="118">
        <f t="shared" ca="1" si="104"/>
        <v>0</v>
      </c>
      <c r="K391" s="118">
        <f t="shared" ca="1" si="105"/>
        <v>0</v>
      </c>
      <c r="L391" s="133">
        <f t="shared" ca="1" si="106"/>
        <v>192</v>
      </c>
      <c r="M391" s="130">
        <f t="shared" ca="1" si="107"/>
        <v>808</v>
      </c>
      <c r="N391" s="100">
        <f t="shared" ca="1" si="108"/>
        <v>4</v>
      </c>
      <c r="O391" s="136">
        <f t="shared" ca="1" si="109"/>
        <v>2.6618557453501217</v>
      </c>
      <c r="P391" s="136">
        <f t="shared" ca="1" si="110"/>
        <v>26.618557453501214</v>
      </c>
      <c r="Q391" s="136">
        <f t="shared" ca="1" si="111"/>
        <v>26.618557453501214</v>
      </c>
      <c r="R391" s="136">
        <f t="shared" ca="1" si="112"/>
        <v>2.6618557453501213</v>
      </c>
      <c r="S391" s="136">
        <f t="shared" ca="1" si="113"/>
        <v>2.6618557453501213</v>
      </c>
      <c r="T391" s="104">
        <f t="shared" ca="1" si="114"/>
        <v>0</v>
      </c>
      <c r="U391" s="87">
        <f t="shared" ca="1" si="115"/>
        <v>1166.4506512506252</v>
      </c>
      <c r="V391" s="104">
        <f t="shared" ca="1" si="116"/>
        <v>0</v>
      </c>
      <c r="W391" s="133">
        <f t="shared" ca="1" si="117"/>
        <v>6405.3718523878433</v>
      </c>
      <c r="X391" s="104">
        <f t="shared" ca="1" si="118"/>
        <v>0</v>
      </c>
      <c r="Y391" s="135">
        <f t="shared" ca="1" si="119"/>
        <v>0</v>
      </c>
      <c r="AE391" s="104"/>
    </row>
    <row r="392" spans="1:31" x14ac:dyDescent="0.2">
      <c r="A392" s="98">
        <v>2</v>
      </c>
      <c r="B392" s="98">
        <v>3</v>
      </c>
      <c r="C392" s="98">
        <f t="shared" si="100"/>
        <v>8</v>
      </c>
      <c r="D392" s="98">
        <f t="shared" si="101"/>
        <v>7</v>
      </c>
      <c r="E392" s="98">
        <f t="shared" si="102"/>
        <v>2</v>
      </c>
      <c r="F392" s="118">
        <f t="shared" ca="1" si="103"/>
        <v>2.6189999999999994E-3</v>
      </c>
      <c r="G392" s="98">
        <v>0</v>
      </c>
      <c r="H392" s="98">
        <v>1</v>
      </c>
      <c r="I392" s="98">
        <v>1</v>
      </c>
      <c r="J392" s="118">
        <f t="shared" ca="1" si="104"/>
        <v>0</v>
      </c>
      <c r="K392" s="118">
        <f t="shared" ca="1" si="105"/>
        <v>0</v>
      </c>
      <c r="L392" s="133">
        <f t="shared" ca="1" si="106"/>
        <v>180</v>
      </c>
      <c r="M392" s="130">
        <f t="shared" ca="1" si="107"/>
        <v>820</v>
      </c>
      <c r="N392" s="100">
        <f t="shared" ca="1" si="108"/>
        <v>4</v>
      </c>
      <c r="O392" s="136">
        <f t="shared" ca="1" si="109"/>
        <v>2.6618557453501217</v>
      </c>
      <c r="P392" s="136">
        <f t="shared" ca="1" si="110"/>
        <v>26.618557453501214</v>
      </c>
      <c r="Q392" s="136">
        <f t="shared" ca="1" si="111"/>
        <v>26.618557453501214</v>
      </c>
      <c r="R392" s="136">
        <f t="shared" ca="1" si="112"/>
        <v>2.6618557453501213</v>
      </c>
      <c r="S392" s="136">
        <f t="shared" ca="1" si="113"/>
        <v>2.6618557453501213</v>
      </c>
      <c r="T392" s="104">
        <f t="shared" ca="1" si="114"/>
        <v>0</v>
      </c>
      <c r="U392" s="87">
        <f t="shared" ca="1" si="115"/>
        <v>1154.4506512506252</v>
      </c>
      <c r="V392" s="104">
        <f t="shared" ca="1" si="116"/>
        <v>0</v>
      </c>
      <c r="W392" s="133">
        <f t="shared" ca="1" si="117"/>
        <v>4270.2479015918952</v>
      </c>
      <c r="X392" s="104">
        <f t="shared" ca="1" si="118"/>
        <v>0</v>
      </c>
      <c r="Y392" s="135">
        <f t="shared" ca="1" si="119"/>
        <v>0</v>
      </c>
      <c r="AE392" s="104"/>
    </row>
    <row r="393" spans="1:31" x14ac:dyDescent="0.2">
      <c r="A393" s="98">
        <v>2</v>
      </c>
      <c r="B393" s="98">
        <v>3</v>
      </c>
      <c r="C393" s="98">
        <f t="shared" si="100"/>
        <v>8</v>
      </c>
      <c r="D393" s="98">
        <f t="shared" si="101"/>
        <v>7</v>
      </c>
      <c r="E393" s="98">
        <f t="shared" si="102"/>
        <v>2</v>
      </c>
      <c r="F393" s="118">
        <f t="shared" ca="1" si="103"/>
        <v>2.6189999999999994E-3</v>
      </c>
      <c r="G393" s="98">
        <v>0</v>
      </c>
      <c r="H393" s="98">
        <v>1</v>
      </c>
      <c r="I393" s="98">
        <v>0</v>
      </c>
      <c r="J393" s="118">
        <f t="shared" ca="1" si="104"/>
        <v>0</v>
      </c>
      <c r="K393" s="118">
        <f t="shared" ca="1" si="105"/>
        <v>0</v>
      </c>
      <c r="L393" s="133">
        <f t="shared" ca="1" si="106"/>
        <v>168</v>
      </c>
      <c r="M393" s="130">
        <f t="shared" ca="1" si="107"/>
        <v>832</v>
      </c>
      <c r="N393" s="100">
        <f t="shared" ca="1" si="108"/>
        <v>5</v>
      </c>
      <c r="O393" s="136">
        <f t="shared" ca="1" si="109"/>
        <v>3.2590583346360766</v>
      </c>
      <c r="P393" s="136">
        <f t="shared" ca="1" si="110"/>
        <v>28.410165221359076</v>
      </c>
      <c r="Q393" s="136">
        <f t="shared" ca="1" si="111"/>
        <v>26.618557453501214</v>
      </c>
      <c r="R393" s="136">
        <f t="shared" ca="1" si="112"/>
        <v>2.7514361337430144</v>
      </c>
      <c r="S393" s="136">
        <f t="shared" ca="1" si="113"/>
        <v>3.091543008341366</v>
      </c>
      <c r="T393" s="104">
        <f t="shared" ca="1" si="114"/>
        <v>0</v>
      </c>
      <c r="U393" s="87">
        <f t="shared" ca="1" si="115"/>
        <v>1294.1569825567776</v>
      </c>
      <c r="V393" s="104">
        <f t="shared" ca="1" si="116"/>
        <v>0</v>
      </c>
      <c r="W393" s="133">
        <f t="shared" ca="1" si="117"/>
        <v>2135.1239507959476</v>
      </c>
      <c r="X393" s="104">
        <f t="shared" ca="1" si="118"/>
        <v>0</v>
      </c>
      <c r="Y393" s="135">
        <f t="shared" ca="1" si="119"/>
        <v>0</v>
      </c>
      <c r="AE393" s="104"/>
    </row>
    <row r="394" spans="1:31" x14ac:dyDescent="0.2">
      <c r="A394" s="98">
        <v>2</v>
      </c>
      <c r="B394" s="98">
        <v>3</v>
      </c>
      <c r="C394" s="98">
        <f t="shared" si="100"/>
        <v>8</v>
      </c>
      <c r="D394" s="98">
        <f t="shared" si="101"/>
        <v>7</v>
      </c>
      <c r="E394" s="98">
        <f t="shared" si="102"/>
        <v>2</v>
      </c>
      <c r="F394" s="118">
        <f t="shared" ca="1" si="103"/>
        <v>2.6189999999999994E-3</v>
      </c>
      <c r="G394" s="98">
        <v>0</v>
      </c>
      <c r="H394" s="98">
        <v>0</v>
      </c>
      <c r="I394" s="98">
        <v>7</v>
      </c>
      <c r="J394" s="118">
        <f t="shared" ca="1" si="104"/>
        <v>3.4916864804687496E-2</v>
      </c>
      <c r="K394" s="118">
        <f t="shared" ca="1" si="105"/>
        <v>9.1447268923476526E-5</v>
      </c>
      <c r="L394" s="133">
        <f t="shared" ca="1" si="106"/>
        <v>84</v>
      </c>
      <c r="M394" s="130">
        <f t="shared" ca="1" si="107"/>
        <v>916</v>
      </c>
      <c r="N394" s="100">
        <f t="shared" ca="1" si="108"/>
        <v>5</v>
      </c>
      <c r="O394" s="136">
        <f t="shared" ca="1" si="109"/>
        <v>3.2590583346360766</v>
      </c>
      <c r="P394" s="136">
        <f t="shared" ca="1" si="110"/>
        <v>32.590583346360766</v>
      </c>
      <c r="Q394" s="136">
        <f t="shared" ca="1" si="111"/>
        <v>32.590583346360766</v>
      </c>
      <c r="R394" s="136">
        <f t="shared" ca="1" si="112"/>
        <v>3.2590583346360766</v>
      </c>
      <c r="S394" s="136">
        <f t="shared" ca="1" si="113"/>
        <v>3.2590583346360766</v>
      </c>
      <c r="T394" s="104">
        <f t="shared" ca="1" si="114"/>
        <v>2.9803198396476284E-4</v>
      </c>
      <c r="U394" s="87">
        <f t="shared" ca="1" si="115"/>
        <v>1269.3003125517403</v>
      </c>
      <c r="V394" s="104">
        <f t="shared" ca="1" si="116"/>
        <v>0.1160740470265718</v>
      </c>
      <c r="W394" s="133">
        <f t="shared" ca="1" si="117"/>
        <v>14945.867655571634</v>
      </c>
      <c r="X394" s="104">
        <f t="shared" ca="1" si="118"/>
        <v>1.3667587787937487</v>
      </c>
      <c r="Y394" s="135">
        <f t="shared" ca="1" si="119"/>
        <v>7.6815705895720279E-3</v>
      </c>
      <c r="AE394" s="104"/>
    </row>
    <row r="395" spans="1:31" x14ac:dyDescent="0.2">
      <c r="A395" s="98">
        <v>2</v>
      </c>
      <c r="B395" s="98">
        <v>3</v>
      </c>
      <c r="C395" s="98">
        <f t="shared" si="100"/>
        <v>8</v>
      </c>
      <c r="D395" s="98">
        <f t="shared" si="101"/>
        <v>7</v>
      </c>
      <c r="E395" s="98">
        <f t="shared" si="102"/>
        <v>2</v>
      </c>
      <c r="F395" s="118">
        <f t="shared" ca="1" si="103"/>
        <v>2.6189999999999994E-3</v>
      </c>
      <c r="G395" s="98">
        <v>0</v>
      </c>
      <c r="H395" s="98">
        <v>0</v>
      </c>
      <c r="I395" s="98">
        <v>6</v>
      </c>
      <c r="J395" s="118">
        <f t="shared" ca="1" si="104"/>
        <v>1.2864108085937513E-2</v>
      </c>
      <c r="K395" s="118">
        <f t="shared" ca="1" si="105"/>
        <v>3.3691099077070339E-5</v>
      </c>
      <c r="L395" s="133">
        <f t="shared" ca="1" si="106"/>
        <v>72</v>
      </c>
      <c r="M395" s="130">
        <f t="shared" ca="1" si="107"/>
        <v>928</v>
      </c>
      <c r="N395" s="100">
        <f t="shared" ca="1" si="108"/>
        <v>5</v>
      </c>
      <c r="O395" s="136">
        <f t="shared" ca="1" si="109"/>
        <v>3.2590583346360766</v>
      </c>
      <c r="P395" s="136">
        <f t="shared" ca="1" si="110"/>
        <v>32.590583346360766</v>
      </c>
      <c r="Q395" s="136">
        <f t="shared" ca="1" si="111"/>
        <v>32.590583346360766</v>
      </c>
      <c r="R395" s="136">
        <f t="shared" ca="1" si="112"/>
        <v>3.2590583346360766</v>
      </c>
      <c r="S395" s="136">
        <f t="shared" ca="1" si="113"/>
        <v>3.2590583346360766</v>
      </c>
      <c r="T395" s="104">
        <f t="shared" ca="1" si="114"/>
        <v>1.0980125725017592E-4</v>
      </c>
      <c r="U395" s="87">
        <f t="shared" ca="1" si="115"/>
        <v>1257.3003125517403</v>
      </c>
      <c r="V395" s="104">
        <f t="shared" ca="1" si="116"/>
        <v>4.2359829399812185E-2</v>
      </c>
      <c r="W395" s="133">
        <f t="shared" ca="1" si="117"/>
        <v>12810.743704775687</v>
      </c>
      <c r="X395" s="104">
        <f t="shared" ca="1" si="118"/>
        <v>0.4316080354085528</v>
      </c>
      <c r="Y395" s="135">
        <f t="shared" ca="1" si="119"/>
        <v>2.4257591335490646E-3</v>
      </c>
      <c r="AE395" s="104"/>
    </row>
    <row r="396" spans="1:31" x14ac:dyDescent="0.2">
      <c r="A396" s="98">
        <v>2</v>
      </c>
      <c r="B396" s="98">
        <v>3</v>
      </c>
      <c r="C396" s="98">
        <f t="shared" si="100"/>
        <v>8</v>
      </c>
      <c r="D396" s="98">
        <f t="shared" si="101"/>
        <v>7</v>
      </c>
      <c r="E396" s="98">
        <f t="shared" si="102"/>
        <v>2</v>
      </c>
      <c r="F396" s="118">
        <f t="shared" ca="1" si="103"/>
        <v>2.6189999999999994E-3</v>
      </c>
      <c r="G396" s="98">
        <v>0</v>
      </c>
      <c r="H396" s="98">
        <v>0</v>
      </c>
      <c r="I396" s="98">
        <v>5</v>
      </c>
      <c r="J396" s="118">
        <f t="shared" ca="1" si="104"/>
        <v>2.0311749609375038E-3</v>
      </c>
      <c r="K396" s="118">
        <f t="shared" ca="1" si="105"/>
        <v>5.3196472226953211E-6</v>
      </c>
      <c r="L396" s="133">
        <f t="shared" ca="1" si="106"/>
        <v>60</v>
      </c>
      <c r="M396" s="130">
        <f t="shared" ca="1" si="107"/>
        <v>940</v>
      </c>
      <c r="N396" s="100">
        <f t="shared" ca="1" si="108"/>
        <v>5</v>
      </c>
      <c r="O396" s="136">
        <f t="shared" ca="1" si="109"/>
        <v>3.2590583346360766</v>
      </c>
      <c r="P396" s="136">
        <f t="shared" ca="1" si="110"/>
        <v>32.590583346360766</v>
      </c>
      <c r="Q396" s="136">
        <f t="shared" ca="1" si="111"/>
        <v>32.590583346360766</v>
      </c>
      <c r="R396" s="136">
        <f t="shared" ca="1" si="112"/>
        <v>3.2590583346360766</v>
      </c>
      <c r="S396" s="136">
        <f t="shared" ca="1" si="113"/>
        <v>3.2590583346360766</v>
      </c>
      <c r="T396" s="104">
        <f t="shared" ca="1" si="114"/>
        <v>1.7337040618448844E-5</v>
      </c>
      <c r="U396" s="87">
        <f t="shared" ca="1" si="115"/>
        <v>1245.3003125517403</v>
      </c>
      <c r="V396" s="104">
        <f t="shared" ca="1" si="116"/>
        <v>6.6245583490874803E-3</v>
      </c>
      <c r="W396" s="133">
        <f t="shared" ca="1" si="117"/>
        <v>10675.619753979738</v>
      </c>
      <c r="X396" s="104">
        <f t="shared" ca="1" si="118"/>
        <v>5.6790530974809621E-2</v>
      </c>
      <c r="Y396" s="135">
        <f t="shared" ca="1" si="119"/>
        <v>3.1917883336171924E-4</v>
      </c>
      <c r="AE396" s="104"/>
    </row>
    <row r="397" spans="1:31" x14ac:dyDescent="0.2">
      <c r="A397" s="98">
        <v>2</v>
      </c>
      <c r="B397" s="98">
        <v>3</v>
      </c>
      <c r="C397" s="98">
        <f t="shared" si="100"/>
        <v>8</v>
      </c>
      <c r="D397" s="98">
        <f t="shared" si="101"/>
        <v>7</v>
      </c>
      <c r="E397" s="98">
        <f t="shared" si="102"/>
        <v>2</v>
      </c>
      <c r="F397" s="118">
        <f t="shared" ca="1" si="103"/>
        <v>2.6189999999999994E-3</v>
      </c>
      <c r="G397" s="98">
        <v>0</v>
      </c>
      <c r="H397" s="98">
        <v>0</v>
      </c>
      <c r="I397" s="98">
        <v>4</v>
      </c>
      <c r="J397" s="118">
        <f t="shared" ca="1" si="104"/>
        <v>1.7817324218750047E-4</v>
      </c>
      <c r="K397" s="118">
        <f t="shared" ca="1" si="105"/>
        <v>4.6663572128906364E-7</v>
      </c>
      <c r="L397" s="133">
        <f t="shared" ca="1" si="106"/>
        <v>48</v>
      </c>
      <c r="M397" s="130">
        <f t="shared" ca="1" si="107"/>
        <v>952</v>
      </c>
      <c r="N397" s="100">
        <f t="shared" ca="1" si="108"/>
        <v>5</v>
      </c>
      <c r="O397" s="136">
        <f t="shared" ca="1" si="109"/>
        <v>3.2590583346360766</v>
      </c>
      <c r="P397" s="136">
        <f t="shared" ca="1" si="110"/>
        <v>32.590583346360766</v>
      </c>
      <c r="Q397" s="136">
        <f t="shared" ca="1" si="111"/>
        <v>32.590583346360766</v>
      </c>
      <c r="R397" s="136">
        <f t="shared" ca="1" si="112"/>
        <v>3.2590583346360766</v>
      </c>
      <c r="S397" s="136">
        <f t="shared" ca="1" si="113"/>
        <v>3.2590583346360766</v>
      </c>
      <c r="T397" s="104">
        <f t="shared" ca="1" si="114"/>
        <v>1.5207930367060401E-6</v>
      </c>
      <c r="U397" s="87">
        <f t="shared" ca="1" si="115"/>
        <v>1233.3003125517403</v>
      </c>
      <c r="V397" s="104">
        <f t="shared" ca="1" si="116"/>
        <v>5.7550198091360898E-4</v>
      </c>
      <c r="W397" s="133">
        <f t="shared" ca="1" si="117"/>
        <v>8540.4958031837905</v>
      </c>
      <c r="X397" s="104">
        <f t="shared" ca="1" si="118"/>
        <v>3.9853004192848887E-3</v>
      </c>
      <c r="Y397" s="135">
        <f t="shared" ca="1" si="119"/>
        <v>2.2398514621875053E-5</v>
      </c>
      <c r="AE397" s="104"/>
    </row>
    <row r="398" spans="1:31" x14ac:dyDescent="0.2">
      <c r="A398" s="98">
        <v>2</v>
      </c>
      <c r="B398" s="98">
        <v>3</v>
      </c>
      <c r="C398" s="98">
        <f t="shared" si="100"/>
        <v>8</v>
      </c>
      <c r="D398" s="98">
        <f t="shared" si="101"/>
        <v>7</v>
      </c>
      <c r="E398" s="98">
        <f t="shared" si="102"/>
        <v>2</v>
      </c>
      <c r="F398" s="118">
        <f t="shared" ca="1" si="103"/>
        <v>2.6189999999999994E-3</v>
      </c>
      <c r="G398" s="98">
        <v>0</v>
      </c>
      <c r="H398" s="98">
        <v>0</v>
      </c>
      <c r="I398" s="98">
        <v>3</v>
      </c>
      <c r="J398" s="118">
        <f t="shared" ca="1" si="104"/>
        <v>9.3775390625000315E-6</v>
      </c>
      <c r="K398" s="118">
        <f t="shared" ca="1" si="105"/>
        <v>2.4559774804687577E-8</v>
      </c>
      <c r="L398" s="133">
        <f t="shared" ca="1" si="106"/>
        <v>36</v>
      </c>
      <c r="M398" s="130">
        <f t="shared" ca="1" si="107"/>
        <v>964</v>
      </c>
      <c r="N398" s="100">
        <f t="shared" ca="1" si="108"/>
        <v>5</v>
      </c>
      <c r="O398" s="136">
        <f t="shared" ca="1" si="109"/>
        <v>3.2590583346360766</v>
      </c>
      <c r="P398" s="136">
        <f t="shared" ca="1" si="110"/>
        <v>32.590583346360766</v>
      </c>
      <c r="Q398" s="136">
        <f t="shared" ca="1" si="111"/>
        <v>32.590583346360766</v>
      </c>
      <c r="R398" s="136">
        <f t="shared" ca="1" si="112"/>
        <v>3.2590583346360766</v>
      </c>
      <c r="S398" s="136">
        <f t="shared" ca="1" si="113"/>
        <v>3.2590583346360766</v>
      </c>
      <c r="T398" s="104">
        <f t="shared" ca="1" si="114"/>
        <v>8.0041738774002162E-8</v>
      </c>
      <c r="U398" s="87">
        <f t="shared" ca="1" si="115"/>
        <v>1221.3003125517403</v>
      </c>
      <c r="V398" s="104">
        <f t="shared" ca="1" si="116"/>
        <v>2.9994860645165294E-5</v>
      </c>
      <c r="W398" s="133">
        <f t="shared" ca="1" si="117"/>
        <v>6405.3718523878433</v>
      </c>
      <c r="X398" s="104">
        <f t="shared" ca="1" si="118"/>
        <v>1.5731449023492994E-4</v>
      </c>
      <c r="Y398" s="135">
        <f t="shared" ca="1" si="119"/>
        <v>8.8415189296875277E-7</v>
      </c>
      <c r="AE398" s="104"/>
    </row>
    <row r="399" spans="1:31" x14ac:dyDescent="0.2">
      <c r="A399" s="98">
        <v>2</v>
      </c>
      <c r="B399" s="98">
        <v>3</v>
      </c>
      <c r="C399" s="98">
        <f t="shared" si="100"/>
        <v>8</v>
      </c>
      <c r="D399" s="98">
        <f t="shared" si="101"/>
        <v>7</v>
      </c>
      <c r="E399" s="98">
        <f t="shared" si="102"/>
        <v>2</v>
      </c>
      <c r="F399" s="118">
        <f t="shared" ca="1" si="103"/>
        <v>2.6189999999999994E-3</v>
      </c>
      <c r="G399" s="98">
        <v>0</v>
      </c>
      <c r="H399" s="98">
        <v>0</v>
      </c>
      <c r="I399" s="98">
        <v>2</v>
      </c>
      <c r="J399" s="118">
        <f t="shared" ca="1" si="104"/>
        <v>2.961328125000013E-7</v>
      </c>
      <c r="K399" s="118">
        <f t="shared" ca="1" si="105"/>
        <v>7.7557183593750319E-10</v>
      </c>
      <c r="L399" s="133">
        <f t="shared" ca="1" si="106"/>
        <v>24</v>
      </c>
      <c r="M399" s="130">
        <f t="shared" ca="1" si="107"/>
        <v>976</v>
      </c>
      <c r="N399" s="100">
        <f t="shared" ca="1" si="108"/>
        <v>5</v>
      </c>
      <c r="O399" s="136">
        <f t="shared" ca="1" si="109"/>
        <v>3.2590583346360766</v>
      </c>
      <c r="P399" s="136">
        <f t="shared" ca="1" si="110"/>
        <v>32.590583346360766</v>
      </c>
      <c r="Q399" s="136">
        <f t="shared" ca="1" si="111"/>
        <v>32.590583346360766</v>
      </c>
      <c r="R399" s="136">
        <f t="shared" ca="1" si="112"/>
        <v>3.2590583346360766</v>
      </c>
      <c r="S399" s="136">
        <f t="shared" ca="1" si="113"/>
        <v>3.2590583346360766</v>
      </c>
      <c r="T399" s="104">
        <f t="shared" ca="1" si="114"/>
        <v>2.5276338560211236E-9</v>
      </c>
      <c r="U399" s="87">
        <f t="shared" ca="1" si="115"/>
        <v>1209.3003125517403</v>
      </c>
      <c r="V399" s="104">
        <f t="shared" ca="1" si="116"/>
        <v>9.378992636055496E-7</v>
      </c>
      <c r="W399" s="133">
        <f t="shared" ca="1" si="117"/>
        <v>4270.2479015918952</v>
      </c>
      <c r="X399" s="104">
        <f t="shared" ca="1" si="118"/>
        <v>3.3118840049458965E-6</v>
      </c>
      <c r="Y399" s="135">
        <f t="shared" ca="1" si="119"/>
        <v>1.8613724062500075E-8</v>
      </c>
      <c r="AE399" s="104"/>
    </row>
    <row r="400" spans="1:31" x14ac:dyDescent="0.2">
      <c r="A400" s="98">
        <v>2</v>
      </c>
      <c r="B400" s="98">
        <v>3</v>
      </c>
      <c r="C400" s="98">
        <f t="shared" si="100"/>
        <v>8</v>
      </c>
      <c r="D400" s="98">
        <f t="shared" si="101"/>
        <v>7</v>
      </c>
      <c r="E400" s="98">
        <f t="shared" si="102"/>
        <v>2</v>
      </c>
      <c r="F400" s="118">
        <f t="shared" ca="1" si="103"/>
        <v>2.6189999999999994E-3</v>
      </c>
      <c r="G400" s="98">
        <v>0</v>
      </c>
      <c r="H400" s="98">
        <v>0</v>
      </c>
      <c r="I400" s="98">
        <v>1</v>
      </c>
      <c r="J400" s="118">
        <f t="shared" ca="1" si="104"/>
        <v>5.1953125000000272E-9</v>
      </c>
      <c r="K400" s="118">
        <f t="shared" ca="1" si="105"/>
        <v>1.3606523437500068E-11</v>
      </c>
      <c r="L400" s="133">
        <f t="shared" ca="1" si="106"/>
        <v>12</v>
      </c>
      <c r="M400" s="130">
        <f t="shared" ca="1" si="107"/>
        <v>988</v>
      </c>
      <c r="N400" s="100">
        <f t="shared" ca="1" si="108"/>
        <v>5</v>
      </c>
      <c r="O400" s="136">
        <f t="shared" ca="1" si="109"/>
        <v>3.2590583346360766</v>
      </c>
      <c r="P400" s="136">
        <f t="shared" ca="1" si="110"/>
        <v>32.590583346360766</v>
      </c>
      <c r="Q400" s="136">
        <f t="shared" ca="1" si="111"/>
        <v>32.590583346360766</v>
      </c>
      <c r="R400" s="136">
        <f t="shared" ca="1" si="112"/>
        <v>3.2590583346360766</v>
      </c>
      <c r="S400" s="136">
        <f t="shared" ca="1" si="113"/>
        <v>3.2590583346360766</v>
      </c>
      <c r="T400" s="104">
        <f t="shared" ca="1" si="114"/>
        <v>4.4344453614405716E-11</v>
      </c>
      <c r="U400" s="87">
        <f t="shared" ca="1" si="115"/>
        <v>1197.3003125517403</v>
      </c>
      <c r="V400" s="104">
        <f t="shared" ca="1" si="116"/>
        <v>1.629109476446141E-8</v>
      </c>
      <c r="W400" s="133">
        <f t="shared" ca="1" si="117"/>
        <v>2135.1239507959476</v>
      </c>
      <c r="X400" s="104">
        <f t="shared" ca="1" si="118"/>
        <v>2.9051614078472805E-8</v>
      </c>
      <c r="Y400" s="135">
        <f t="shared" ca="1" si="119"/>
        <v>1.6327828125000083E-10</v>
      </c>
      <c r="AE400" s="104"/>
    </row>
    <row r="401" spans="1:31" x14ac:dyDescent="0.2">
      <c r="A401" s="98">
        <v>2</v>
      </c>
      <c r="B401" s="98">
        <v>3</v>
      </c>
      <c r="C401" s="98">
        <f t="shared" si="100"/>
        <v>8</v>
      </c>
      <c r="D401" s="98">
        <f t="shared" si="101"/>
        <v>7</v>
      </c>
      <c r="E401" s="98">
        <f t="shared" si="102"/>
        <v>2</v>
      </c>
      <c r="F401" s="118">
        <f t="shared" ca="1" si="103"/>
        <v>2.6189999999999994E-3</v>
      </c>
      <c r="G401" s="98">
        <v>0</v>
      </c>
      <c r="H401" s="98">
        <v>0</v>
      </c>
      <c r="I401" s="98">
        <v>0</v>
      </c>
      <c r="J401" s="118">
        <f t="shared" ca="1" si="104"/>
        <v>3.9062500000000246E-11</v>
      </c>
      <c r="K401" s="118">
        <f t="shared" ca="1" si="105"/>
        <v>1.0230468750000063E-13</v>
      </c>
      <c r="L401" s="133">
        <f t="shared" ca="1" si="106"/>
        <v>0</v>
      </c>
      <c r="M401" s="130">
        <f t="shared" ca="1" si="107"/>
        <v>1000</v>
      </c>
      <c r="N401" s="100">
        <f t="shared" ca="1" si="108"/>
        <v>5</v>
      </c>
      <c r="O401" s="136">
        <f t="shared" ca="1" si="109"/>
        <v>3.2590583346360766</v>
      </c>
      <c r="P401" s="136">
        <f t="shared" ca="1" si="110"/>
        <v>32.590583346360766</v>
      </c>
      <c r="Q401" s="136">
        <f t="shared" ca="1" si="111"/>
        <v>32.590583346360766</v>
      </c>
      <c r="R401" s="136">
        <f t="shared" ca="1" si="112"/>
        <v>3.2590583346360766</v>
      </c>
      <c r="S401" s="136">
        <f t="shared" ca="1" si="113"/>
        <v>3.2590583346360766</v>
      </c>
      <c r="T401" s="104">
        <f t="shared" ca="1" si="114"/>
        <v>3.3341694446921629E-13</v>
      </c>
      <c r="U401" s="87">
        <f t="shared" ca="1" si="115"/>
        <v>1185.3003125517403</v>
      </c>
      <c r="V401" s="104">
        <f t="shared" ca="1" si="116"/>
        <v>1.2126177806925886E-10</v>
      </c>
      <c r="W401" s="133">
        <f t="shared" ca="1" si="117"/>
        <v>0</v>
      </c>
      <c r="X401" s="104">
        <f t="shared" ca="1" si="118"/>
        <v>0</v>
      </c>
      <c r="Y401" s="135">
        <f t="shared" ca="1" si="119"/>
        <v>0</v>
      </c>
      <c r="AE401" s="104"/>
    </row>
    <row r="402" spans="1:31" x14ac:dyDescent="0.2">
      <c r="A402" s="98">
        <v>3</v>
      </c>
      <c r="B402" s="98">
        <v>0</v>
      </c>
      <c r="C402" s="98">
        <f t="shared" ref="C402:C465" si="120">MIN(8, 1+$B$10+$B$9+A402+B402)</f>
        <v>7</v>
      </c>
      <c r="D402" s="98">
        <f t="shared" ref="D402:D465" si="121">C402-(1+$B$10)</f>
        <v>6</v>
      </c>
      <c r="E402" s="98">
        <f t="shared" ref="E402:E465" si="122">MIN(A402, C402-(1+$B$10+$B$9))</f>
        <v>3</v>
      </c>
      <c r="F402" s="118">
        <f t="shared" ref="F402:F465" ca="1" si="123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1.6947839999999999E-2</v>
      </c>
      <c r="G402" s="98">
        <v>1</v>
      </c>
      <c r="H402" s="98">
        <v>1</v>
      </c>
      <c r="I402" s="98">
        <v>7</v>
      </c>
      <c r="J402" s="118">
        <f t="shared" ref="J402:J465" si="124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18">
        <f t="shared" ref="K402:K465" ca="1" si="125">F402*J402</f>
        <v>0</v>
      </c>
      <c r="L402" s="133">
        <f t="shared" ref="L402:L465" ca="1" si="126">MAX((G402+H402)*Set1WSTP + I402*$B$6, Set1SaveTP)</f>
        <v>420</v>
      </c>
      <c r="M402" s="130">
        <f t="shared" ref="M402:M465" ca="1" si="127">MAX(Set1MinTP-(L402+Set1Regain), 0)</f>
        <v>580</v>
      </c>
      <c r="N402" s="100">
        <f t="shared" ref="N402:N465" ca="1" si="128">CEILING(M402/Set1MeleeTP, 1)</f>
        <v>3</v>
      </c>
      <c r="O402" s="136">
        <f t="shared" ref="O402:O465" ca="1" si="129">VLOOKUP(N402,AvgRoundsSet1,2)</f>
        <v>2.0946097612518035</v>
      </c>
      <c r="P402" s="136">
        <f t="shared" ref="P402:P465" ca="1" si="130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20.946097612518034</v>
      </c>
      <c r="Q402" s="136">
        <f t="shared" ref="Q402:Q465" ca="1" si="131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20.946097612518034</v>
      </c>
      <c r="R402" s="136">
        <f t="shared" ref="R402:R465" ca="1" si="132">(P402+Q402)/20</f>
        <v>2.0946097612518035</v>
      </c>
      <c r="S402" s="136">
        <f t="shared" ref="S402:S465" ca="1" si="133">R402*Set1ConserveTP + O402*(1-Set1ConserveTP)</f>
        <v>2.0946097612518035</v>
      </c>
      <c r="T402" s="104">
        <f t="shared" ref="T402:T465" ca="1" si="134">K402*S402</f>
        <v>0</v>
      </c>
      <c r="U402" s="87">
        <f t="shared" ref="U402:U465" ca="1" si="135">MIN(L402+(S402+Set1OverTP)*AvgHitsPerRound1*Set1MeleeTP + Set1Regain + 105*Set1ConserveTP, 3000)</f>
        <v>1194.1775349459019</v>
      </c>
      <c r="V402" s="104">
        <f t="shared" ref="V402:V465" ca="1" si="136">U402*K402</f>
        <v>0</v>
      </c>
      <c r="W402" s="133">
        <f t="shared" ref="W402:W465" ca="1" si="137">G402*$K$10*((1-$L$10)*$L$14 + $L$10*$M$14*$M$10)*Set1WSDmg + H402*$K$13*((1-$L$13)*$L$14 + $L$13*$M$14*$M$11) + I402*$K$11*((1-$L$11)*$L$14 + $L$11*$M$14*$M$11) + E402*$K$12*$L$12*$M$10</f>
        <v>19493.681670767</v>
      </c>
      <c r="X402" s="104">
        <f t="shared" ref="X402:X465" ca="1" si="138">K402*W402</f>
        <v>0</v>
      </c>
      <c r="Y402" s="135">
        <f t="shared" ca="1" si="119"/>
        <v>0</v>
      </c>
      <c r="AE402" s="104"/>
    </row>
    <row r="403" spans="1:31" x14ac:dyDescent="0.2">
      <c r="A403" s="98">
        <v>3</v>
      </c>
      <c r="B403" s="98">
        <v>0</v>
      </c>
      <c r="C403" s="98">
        <f t="shared" si="120"/>
        <v>7</v>
      </c>
      <c r="D403" s="98">
        <f t="shared" si="121"/>
        <v>6</v>
      </c>
      <c r="E403" s="98">
        <f t="shared" si="122"/>
        <v>3</v>
      </c>
      <c r="F403" s="118">
        <f t="shared" ca="1" si="123"/>
        <v>1.6947839999999999E-2</v>
      </c>
      <c r="G403" s="98">
        <v>1</v>
      </c>
      <c r="H403" s="98">
        <v>1</v>
      </c>
      <c r="I403" s="98">
        <v>6</v>
      </c>
      <c r="J403" s="118">
        <f t="shared" ca="1" si="124"/>
        <v>0</v>
      </c>
      <c r="K403" s="118">
        <f t="shared" ca="1" si="125"/>
        <v>0</v>
      </c>
      <c r="L403" s="133">
        <f t="shared" ca="1" si="126"/>
        <v>408</v>
      </c>
      <c r="M403" s="130">
        <f t="shared" ca="1" si="127"/>
        <v>592</v>
      </c>
      <c r="N403" s="100">
        <f t="shared" ca="1" si="128"/>
        <v>3</v>
      </c>
      <c r="O403" s="136">
        <f t="shared" ca="1" si="129"/>
        <v>2.0946097612518035</v>
      </c>
      <c r="P403" s="136">
        <f t="shared" ca="1" si="130"/>
        <v>20.946097612518034</v>
      </c>
      <c r="Q403" s="136">
        <f t="shared" ca="1" si="131"/>
        <v>20.946097612518034</v>
      </c>
      <c r="R403" s="136">
        <f t="shared" ca="1" si="132"/>
        <v>2.0946097612518035</v>
      </c>
      <c r="S403" s="136">
        <f t="shared" ca="1" si="133"/>
        <v>2.0946097612518035</v>
      </c>
      <c r="T403" s="104">
        <f t="shared" ca="1" si="134"/>
        <v>0</v>
      </c>
      <c r="U403" s="87">
        <f t="shared" ca="1" si="135"/>
        <v>1182.1775349459019</v>
      </c>
      <c r="V403" s="104">
        <f t="shared" ca="1" si="136"/>
        <v>0</v>
      </c>
      <c r="W403" s="133">
        <f t="shared" ca="1" si="137"/>
        <v>17358.557719971053</v>
      </c>
      <c r="X403" s="104">
        <f t="shared" ca="1" si="138"/>
        <v>0</v>
      </c>
      <c r="Y403" s="135">
        <f t="shared" ref="Y403:Y466" ca="1" si="139">K403*L403</f>
        <v>0</v>
      </c>
      <c r="AE403" s="104"/>
    </row>
    <row r="404" spans="1:31" x14ac:dyDescent="0.2">
      <c r="A404" s="98">
        <v>3</v>
      </c>
      <c r="B404" s="98">
        <v>0</v>
      </c>
      <c r="C404" s="98">
        <f t="shared" si="120"/>
        <v>7</v>
      </c>
      <c r="D404" s="98">
        <f t="shared" si="121"/>
        <v>6</v>
      </c>
      <c r="E404" s="98">
        <f t="shared" si="122"/>
        <v>3</v>
      </c>
      <c r="F404" s="118">
        <f t="shared" ca="1" si="123"/>
        <v>1.6947839999999999E-2</v>
      </c>
      <c r="G404" s="98">
        <v>1</v>
      </c>
      <c r="H404" s="98">
        <v>1</v>
      </c>
      <c r="I404" s="98">
        <v>5</v>
      </c>
      <c r="J404" s="118">
        <f t="shared" ca="1" si="124"/>
        <v>0</v>
      </c>
      <c r="K404" s="118">
        <f t="shared" ca="1" si="125"/>
        <v>0</v>
      </c>
      <c r="L404" s="133">
        <f t="shared" ca="1" si="126"/>
        <v>396</v>
      </c>
      <c r="M404" s="130">
        <f t="shared" ca="1" si="127"/>
        <v>604</v>
      </c>
      <c r="N404" s="100">
        <f t="shared" ca="1" si="128"/>
        <v>3</v>
      </c>
      <c r="O404" s="136">
        <f t="shared" ca="1" si="129"/>
        <v>2.0946097612518035</v>
      </c>
      <c r="P404" s="136">
        <f t="shared" ca="1" si="130"/>
        <v>20.946097612518034</v>
      </c>
      <c r="Q404" s="136">
        <f t="shared" ca="1" si="131"/>
        <v>20.946097612518034</v>
      </c>
      <c r="R404" s="136">
        <f t="shared" ca="1" si="132"/>
        <v>2.0946097612518035</v>
      </c>
      <c r="S404" s="136">
        <f t="shared" ca="1" si="133"/>
        <v>2.0946097612518035</v>
      </c>
      <c r="T404" s="104">
        <f t="shared" ca="1" si="134"/>
        <v>0</v>
      </c>
      <c r="U404" s="87">
        <f t="shared" ca="1" si="135"/>
        <v>1170.1775349459019</v>
      </c>
      <c r="V404" s="104">
        <f t="shared" ca="1" si="136"/>
        <v>0</v>
      </c>
      <c r="W404" s="133">
        <f t="shared" ca="1" si="137"/>
        <v>15223.433769175106</v>
      </c>
      <c r="X404" s="104">
        <f t="shared" ca="1" si="138"/>
        <v>0</v>
      </c>
      <c r="Y404" s="135">
        <f t="shared" ca="1" si="139"/>
        <v>0</v>
      </c>
      <c r="AE404" s="104"/>
    </row>
    <row r="405" spans="1:31" x14ac:dyDescent="0.2">
      <c r="A405" s="98">
        <v>3</v>
      </c>
      <c r="B405" s="98">
        <v>0</v>
      </c>
      <c r="C405" s="98">
        <f t="shared" si="120"/>
        <v>7</v>
      </c>
      <c r="D405" s="98">
        <f t="shared" si="121"/>
        <v>6</v>
      </c>
      <c r="E405" s="98">
        <f t="shared" si="122"/>
        <v>3</v>
      </c>
      <c r="F405" s="118">
        <f t="shared" ca="1" si="123"/>
        <v>1.6947839999999999E-2</v>
      </c>
      <c r="G405" s="98">
        <v>1</v>
      </c>
      <c r="H405" s="98">
        <v>1</v>
      </c>
      <c r="I405" s="98">
        <v>4</v>
      </c>
      <c r="J405" s="118">
        <f t="shared" ca="1" si="124"/>
        <v>0</v>
      </c>
      <c r="K405" s="118">
        <f t="shared" ca="1" si="125"/>
        <v>0</v>
      </c>
      <c r="L405" s="133">
        <f t="shared" ca="1" si="126"/>
        <v>384</v>
      </c>
      <c r="M405" s="130">
        <f t="shared" ca="1" si="127"/>
        <v>616</v>
      </c>
      <c r="N405" s="100">
        <f t="shared" ca="1" si="128"/>
        <v>3</v>
      </c>
      <c r="O405" s="136">
        <f t="shared" ca="1" si="129"/>
        <v>2.0946097612518035</v>
      </c>
      <c r="P405" s="136">
        <f t="shared" ca="1" si="130"/>
        <v>20.946097612518034</v>
      </c>
      <c r="Q405" s="136">
        <f t="shared" ca="1" si="131"/>
        <v>20.946097612518034</v>
      </c>
      <c r="R405" s="136">
        <f t="shared" ca="1" si="132"/>
        <v>2.0946097612518035</v>
      </c>
      <c r="S405" s="136">
        <f t="shared" ca="1" si="133"/>
        <v>2.0946097612518035</v>
      </c>
      <c r="T405" s="104">
        <f t="shared" ca="1" si="134"/>
        <v>0</v>
      </c>
      <c r="U405" s="87">
        <f t="shared" ca="1" si="135"/>
        <v>1158.1775349459019</v>
      </c>
      <c r="V405" s="104">
        <f t="shared" ca="1" si="136"/>
        <v>0</v>
      </c>
      <c r="W405" s="133">
        <f t="shared" ca="1" si="137"/>
        <v>13088.309818379159</v>
      </c>
      <c r="X405" s="104">
        <f t="shared" ca="1" si="138"/>
        <v>0</v>
      </c>
      <c r="Y405" s="135">
        <f t="shared" ca="1" si="139"/>
        <v>0</v>
      </c>
      <c r="AE405" s="104"/>
    </row>
    <row r="406" spans="1:31" x14ac:dyDescent="0.2">
      <c r="A406" s="98">
        <v>3</v>
      </c>
      <c r="B406" s="98">
        <v>0</v>
      </c>
      <c r="C406" s="98">
        <f t="shared" si="120"/>
        <v>7</v>
      </c>
      <c r="D406" s="98">
        <f t="shared" si="121"/>
        <v>6</v>
      </c>
      <c r="E406" s="98">
        <f t="shared" si="122"/>
        <v>3</v>
      </c>
      <c r="F406" s="118">
        <f t="shared" ca="1" si="123"/>
        <v>1.6947839999999999E-2</v>
      </c>
      <c r="G406" s="98">
        <v>1</v>
      </c>
      <c r="H406" s="98">
        <v>1</v>
      </c>
      <c r="I406" s="98">
        <v>3</v>
      </c>
      <c r="J406" s="118">
        <f t="shared" ca="1" si="124"/>
        <v>0</v>
      </c>
      <c r="K406" s="118">
        <f t="shared" ca="1" si="125"/>
        <v>0</v>
      </c>
      <c r="L406" s="133">
        <f t="shared" ca="1" si="126"/>
        <v>372</v>
      </c>
      <c r="M406" s="130">
        <f t="shared" ca="1" si="127"/>
        <v>628</v>
      </c>
      <c r="N406" s="100">
        <f t="shared" ca="1" si="128"/>
        <v>4</v>
      </c>
      <c r="O406" s="136">
        <f t="shared" ca="1" si="129"/>
        <v>2.6618557453501217</v>
      </c>
      <c r="P406" s="136">
        <f t="shared" ca="1" si="130"/>
        <v>24.349573517107945</v>
      </c>
      <c r="Q406" s="136">
        <f t="shared" ca="1" si="131"/>
        <v>20.946097612518034</v>
      </c>
      <c r="R406" s="136">
        <f t="shared" ca="1" si="132"/>
        <v>2.2647835564812988</v>
      </c>
      <c r="S406" s="136">
        <f t="shared" ca="1" si="133"/>
        <v>2.5308219230234101</v>
      </c>
      <c r="T406" s="104">
        <f t="shared" ca="1" si="134"/>
        <v>0</v>
      </c>
      <c r="U406" s="87">
        <f t="shared" ca="1" si="135"/>
        <v>1300.1875613842344</v>
      </c>
      <c r="V406" s="104">
        <f t="shared" ca="1" si="136"/>
        <v>0</v>
      </c>
      <c r="W406" s="133">
        <f t="shared" ca="1" si="137"/>
        <v>10953.185867583212</v>
      </c>
      <c r="X406" s="104">
        <f t="shared" ca="1" si="138"/>
        <v>0</v>
      </c>
      <c r="Y406" s="135">
        <f t="shared" ca="1" si="139"/>
        <v>0</v>
      </c>
      <c r="AE406" s="104"/>
    </row>
    <row r="407" spans="1:31" x14ac:dyDescent="0.2">
      <c r="A407" s="98">
        <v>3</v>
      </c>
      <c r="B407" s="98">
        <v>0</v>
      </c>
      <c r="C407" s="98">
        <f t="shared" si="120"/>
        <v>7</v>
      </c>
      <c r="D407" s="98">
        <f t="shared" si="121"/>
        <v>6</v>
      </c>
      <c r="E407" s="98">
        <f t="shared" si="122"/>
        <v>3</v>
      </c>
      <c r="F407" s="118">
        <f t="shared" ca="1" si="123"/>
        <v>1.6947839999999999E-2</v>
      </c>
      <c r="G407" s="98">
        <v>1</v>
      </c>
      <c r="H407" s="98">
        <v>1</v>
      </c>
      <c r="I407" s="98">
        <v>2</v>
      </c>
      <c r="J407" s="118">
        <f t="shared" ca="1" si="124"/>
        <v>0</v>
      </c>
      <c r="K407" s="118">
        <f t="shared" ca="1" si="125"/>
        <v>0</v>
      </c>
      <c r="L407" s="133">
        <f t="shared" ca="1" si="126"/>
        <v>360</v>
      </c>
      <c r="M407" s="130">
        <f t="shared" ca="1" si="127"/>
        <v>640</v>
      </c>
      <c r="N407" s="100">
        <f t="shared" ca="1" si="128"/>
        <v>4</v>
      </c>
      <c r="O407" s="136">
        <f t="shared" ca="1" si="129"/>
        <v>2.6618557453501217</v>
      </c>
      <c r="P407" s="136">
        <f t="shared" ca="1" si="130"/>
        <v>26.618557453501214</v>
      </c>
      <c r="Q407" s="136">
        <f t="shared" ca="1" si="131"/>
        <v>25.48406548530458</v>
      </c>
      <c r="R407" s="136">
        <f t="shared" ca="1" si="132"/>
        <v>2.6051311469402898</v>
      </c>
      <c r="S407" s="136">
        <f t="shared" ca="1" si="133"/>
        <v>2.6431366278748771</v>
      </c>
      <c r="T407" s="104">
        <f t="shared" ca="1" si="134"/>
        <v>0</v>
      </c>
      <c r="U407" s="87">
        <f t="shared" ca="1" si="135"/>
        <v>1327.8416384125694</v>
      </c>
      <c r="V407" s="104">
        <f t="shared" ca="1" si="136"/>
        <v>0</v>
      </c>
      <c r="W407" s="133">
        <f t="shared" ca="1" si="137"/>
        <v>8818.0619167872646</v>
      </c>
      <c r="X407" s="104">
        <f t="shared" ca="1" si="138"/>
        <v>0</v>
      </c>
      <c r="Y407" s="135">
        <f t="shared" ca="1" si="139"/>
        <v>0</v>
      </c>
      <c r="AE407" s="104"/>
    </row>
    <row r="408" spans="1:31" x14ac:dyDescent="0.2">
      <c r="A408" s="98">
        <v>3</v>
      </c>
      <c r="B408" s="98">
        <v>0</v>
      </c>
      <c r="C408" s="98">
        <f t="shared" si="120"/>
        <v>7</v>
      </c>
      <c r="D408" s="98">
        <f t="shared" si="121"/>
        <v>6</v>
      </c>
      <c r="E408" s="98">
        <f t="shared" si="122"/>
        <v>3</v>
      </c>
      <c r="F408" s="118">
        <f t="shared" ca="1" si="123"/>
        <v>1.6947839999999999E-2</v>
      </c>
      <c r="G408" s="98">
        <v>1</v>
      </c>
      <c r="H408" s="98">
        <v>1</v>
      </c>
      <c r="I408" s="98">
        <v>1</v>
      </c>
      <c r="J408" s="118">
        <f t="shared" ca="1" si="124"/>
        <v>0</v>
      </c>
      <c r="K408" s="118">
        <f t="shared" ca="1" si="125"/>
        <v>0</v>
      </c>
      <c r="L408" s="133">
        <f t="shared" ca="1" si="126"/>
        <v>348</v>
      </c>
      <c r="M408" s="130">
        <f t="shared" ca="1" si="127"/>
        <v>652</v>
      </c>
      <c r="N408" s="100">
        <f t="shared" ca="1" si="128"/>
        <v>4</v>
      </c>
      <c r="O408" s="136">
        <f t="shared" ca="1" si="129"/>
        <v>2.6618557453501217</v>
      </c>
      <c r="P408" s="136">
        <f t="shared" ca="1" si="130"/>
        <v>26.618557453501214</v>
      </c>
      <c r="Q408" s="136">
        <f t="shared" ca="1" si="131"/>
        <v>26.618557453501214</v>
      </c>
      <c r="R408" s="136">
        <f t="shared" ca="1" si="132"/>
        <v>2.6618557453501213</v>
      </c>
      <c r="S408" s="136">
        <f t="shared" ca="1" si="133"/>
        <v>2.6618557453501213</v>
      </c>
      <c r="T408" s="104">
        <f t="shared" ca="1" si="134"/>
        <v>0</v>
      </c>
      <c r="U408" s="87">
        <f t="shared" ca="1" si="135"/>
        <v>1322.4506512506252</v>
      </c>
      <c r="V408" s="104">
        <f t="shared" ca="1" si="136"/>
        <v>0</v>
      </c>
      <c r="W408" s="133">
        <f t="shared" ca="1" si="137"/>
        <v>6682.9379659913157</v>
      </c>
      <c r="X408" s="104">
        <f t="shared" ca="1" si="138"/>
        <v>0</v>
      </c>
      <c r="Y408" s="135">
        <f t="shared" ca="1" si="139"/>
        <v>0</v>
      </c>
      <c r="AE408" s="104"/>
    </row>
    <row r="409" spans="1:31" x14ac:dyDescent="0.2">
      <c r="A409" s="98">
        <v>3</v>
      </c>
      <c r="B409" s="98">
        <v>0</v>
      </c>
      <c r="C409" s="98">
        <f t="shared" si="120"/>
        <v>7</v>
      </c>
      <c r="D409" s="98">
        <f t="shared" si="121"/>
        <v>6</v>
      </c>
      <c r="E409" s="98">
        <f t="shared" si="122"/>
        <v>3</v>
      </c>
      <c r="F409" s="118">
        <f t="shared" ca="1" si="123"/>
        <v>1.6947839999999999E-2</v>
      </c>
      <c r="G409" s="98">
        <v>1</v>
      </c>
      <c r="H409" s="98">
        <v>1</v>
      </c>
      <c r="I409" s="98">
        <v>0</v>
      </c>
      <c r="J409" s="118">
        <f t="shared" ca="1" si="124"/>
        <v>0</v>
      </c>
      <c r="K409" s="118">
        <f t="shared" ca="1" si="125"/>
        <v>0</v>
      </c>
      <c r="L409" s="133">
        <f t="shared" ca="1" si="126"/>
        <v>336</v>
      </c>
      <c r="M409" s="130">
        <f t="shared" ca="1" si="127"/>
        <v>664</v>
      </c>
      <c r="N409" s="100">
        <f t="shared" ca="1" si="128"/>
        <v>4</v>
      </c>
      <c r="O409" s="136">
        <f t="shared" ca="1" si="129"/>
        <v>2.6618557453501217</v>
      </c>
      <c r="P409" s="136">
        <f t="shared" ca="1" si="130"/>
        <v>26.618557453501214</v>
      </c>
      <c r="Q409" s="136">
        <f t="shared" ca="1" si="131"/>
        <v>26.618557453501214</v>
      </c>
      <c r="R409" s="136">
        <f t="shared" ca="1" si="132"/>
        <v>2.6618557453501213</v>
      </c>
      <c r="S409" s="136">
        <f t="shared" ca="1" si="133"/>
        <v>2.6618557453501213</v>
      </c>
      <c r="T409" s="104">
        <f t="shared" ca="1" si="134"/>
        <v>0</v>
      </c>
      <c r="U409" s="87">
        <f t="shared" ca="1" si="135"/>
        <v>1310.4506512506252</v>
      </c>
      <c r="V409" s="104">
        <f t="shared" ca="1" si="136"/>
        <v>0</v>
      </c>
      <c r="W409" s="133">
        <f t="shared" ca="1" si="137"/>
        <v>4547.8140151953685</v>
      </c>
      <c r="X409" s="104">
        <f t="shared" ca="1" si="138"/>
        <v>0</v>
      </c>
      <c r="Y409" s="135">
        <f t="shared" ca="1" si="139"/>
        <v>0</v>
      </c>
      <c r="AE409" s="104"/>
    </row>
    <row r="410" spans="1:31" x14ac:dyDescent="0.2">
      <c r="A410" s="98">
        <v>3</v>
      </c>
      <c r="B410" s="98">
        <v>0</v>
      </c>
      <c r="C410" s="98">
        <f t="shared" si="120"/>
        <v>7</v>
      </c>
      <c r="D410" s="98">
        <f t="shared" si="121"/>
        <v>6</v>
      </c>
      <c r="E410" s="98">
        <f t="shared" si="122"/>
        <v>3</v>
      </c>
      <c r="F410" s="118">
        <f t="shared" ca="1" si="123"/>
        <v>1.6947839999999999E-2</v>
      </c>
      <c r="G410" s="98">
        <v>1</v>
      </c>
      <c r="H410" s="98">
        <v>0</v>
      </c>
      <c r="I410" s="98">
        <v>7</v>
      </c>
      <c r="J410" s="118">
        <f t="shared" si="124"/>
        <v>0</v>
      </c>
      <c r="K410" s="118">
        <f t="shared" ca="1" si="125"/>
        <v>0</v>
      </c>
      <c r="L410" s="133">
        <f t="shared" ca="1" si="126"/>
        <v>252</v>
      </c>
      <c r="M410" s="130">
        <f t="shared" ca="1" si="127"/>
        <v>748</v>
      </c>
      <c r="N410" s="100">
        <f t="shared" ca="1" si="128"/>
        <v>4</v>
      </c>
      <c r="O410" s="136">
        <f t="shared" ca="1" si="129"/>
        <v>2.6618557453501217</v>
      </c>
      <c r="P410" s="136">
        <f t="shared" ca="1" si="130"/>
        <v>26.618557453501214</v>
      </c>
      <c r="Q410" s="136">
        <f t="shared" ca="1" si="131"/>
        <v>26.618557453501214</v>
      </c>
      <c r="R410" s="136">
        <f t="shared" ca="1" si="132"/>
        <v>2.6618557453501213</v>
      </c>
      <c r="S410" s="136">
        <f t="shared" ca="1" si="133"/>
        <v>2.6618557453501213</v>
      </c>
      <c r="T410" s="104">
        <f t="shared" ca="1" si="134"/>
        <v>0</v>
      </c>
      <c r="U410" s="87">
        <f t="shared" ca="1" si="135"/>
        <v>1226.4506512506252</v>
      </c>
      <c r="V410" s="104">
        <f t="shared" ca="1" si="136"/>
        <v>0</v>
      </c>
      <c r="W410" s="133">
        <f t="shared" ca="1" si="137"/>
        <v>17358.557719971053</v>
      </c>
      <c r="X410" s="104">
        <f t="shared" ca="1" si="138"/>
        <v>0</v>
      </c>
      <c r="Y410" s="135">
        <f t="shared" ca="1" si="139"/>
        <v>0</v>
      </c>
      <c r="AE410" s="104"/>
    </row>
    <row r="411" spans="1:31" x14ac:dyDescent="0.2">
      <c r="A411" s="98">
        <v>3</v>
      </c>
      <c r="B411" s="98">
        <v>0</v>
      </c>
      <c r="C411" s="98">
        <f t="shared" si="120"/>
        <v>7</v>
      </c>
      <c r="D411" s="98">
        <f t="shared" si="121"/>
        <v>6</v>
      </c>
      <c r="E411" s="98">
        <f t="shared" si="122"/>
        <v>3</v>
      </c>
      <c r="F411" s="118">
        <f t="shared" ca="1" si="123"/>
        <v>1.6947839999999999E-2</v>
      </c>
      <c r="G411" s="98">
        <v>1</v>
      </c>
      <c r="H411" s="98">
        <v>0</v>
      </c>
      <c r="I411" s="98">
        <v>6</v>
      </c>
      <c r="J411" s="118">
        <f t="shared" ca="1" si="124"/>
        <v>0.69833729609374984</v>
      </c>
      <c r="K411" s="118">
        <f t="shared" ca="1" si="125"/>
        <v>1.1835308760229497E-2</v>
      </c>
      <c r="L411" s="133">
        <f t="shared" ca="1" si="126"/>
        <v>240</v>
      </c>
      <c r="M411" s="130">
        <f t="shared" ca="1" si="127"/>
        <v>760</v>
      </c>
      <c r="N411" s="100">
        <f t="shared" ca="1" si="128"/>
        <v>4</v>
      </c>
      <c r="O411" s="136">
        <f t="shared" ca="1" si="129"/>
        <v>2.6618557453501217</v>
      </c>
      <c r="P411" s="136">
        <f t="shared" ca="1" si="130"/>
        <v>26.618557453501214</v>
      </c>
      <c r="Q411" s="136">
        <f t="shared" ca="1" si="131"/>
        <v>26.618557453501214</v>
      </c>
      <c r="R411" s="136">
        <f t="shared" ca="1" si="132"/>
        <v>2.6618557453501213</v>
      </c>
      <c r="S411" s="136">
        <f t="shared" ca="1" si="133"/>
        <v>2.6618557453501213</v>
      </c>
      <c r="T411" s="104">
        <f t="shared" ca="1" si="134"/>
        <v>3.1503884621409503E-2</v>
      </c>
      <c r="U411" s="87">
        <f t="shared" ca="1" si="135"/>
        <v>1214.4506512506252</v>
      </c>
      <c r="V411" s="104">
        <f t="shared" ca="1" si="136"/>
        <v>14.373398431612943</v>
      </c>
      <c r="W411" s="133">
        <f t="shared" ca="1" si="137"/>
        <v>15223.433769175106</v>
      </c>
      <c r="X411" s="104">
        <f t="shared" ca="1" si="138"/>
        <v>180.17403904909168</v>
      </c>
      <c r="Y411" s="135">
        <f t="shared" ca="1" si="139"/>
        <v>2.840474102455079</v>
      </c>
      <c r="AE411" s="104"/>
    </row>
    <row r="412" spans="1:31" x14ac:dyDescent="0.2">
      <c r="A412" s="98">
        <v>3</v>
      </c>
      <c r="B412" s="98">
        <v>0</v>
      </c>
      <c r="C412" s="98">
        <f t="shared" si="120"/>
        <v>7</v>
      </c>
      <c r="D412" s="98">
        <f t="shared" si="121"/>
        <v>6</v>
      </c>
      <c r="E412" s="98">
        <f t="shared" si="122"/>
        <v>3</v>
      </c>
      <c r="F412" s="118">
        <f t="shared" ca="1" si="123"/>
        <v>1.6947839999999999E-2</v>
      </c>
      <c r="G412" s="98">
        <v>1</v>
      </c>
      <c r="H412" s="98">
        <v>0</v>
      </c>
      <c r="I412" s="98">
        <v>5</v>
      </c>
      <c r="J412" s="118">
        <f t="shared" ca="1" si="124"/>
        <v>0.22052756718750019</v>
      </c>
      <c r="K412" s="118">
        <f t="shared" ca="1" si="125"/>
        <v>3.7374659242830031E-3</v>
      </c>
      <c r="L412" s="133">
        <f t="shared" ca="1" si="126"/>
        <v>228</v>
      </c>
      <c r="M412" s="130">
        <f t="shared" ca="1" si="127"/>
        <v>772</v>
      </c>
      <c r="N412" s="100">
        <f t="shared" ca="1" si="128"/>
        <v>4</v>
      </c>
      <c r="O412" s="136">
        <f t="shared" ca="1" si="129"/>
        <v>2.6618557453501217</v>
      </c>
      <c r="P412" s="136">
        <f t="shared" ca="1" si="130"/>
        <v>26.618557453501214</v>
      </c>
      <c r="Q412" s="136">
        <f t="shared" ca="1" si="131"/>
        <v>26.618557453501214</v>
      </c>
      <c r="R412" s="136">
        <f t="shared" ca="1" si="132"/>
        <v>2.6618557453501213</v>
      </c>
      <c r="S412" s="136">
        <f t="shared" ca="1" si="133"/>
        <v>2.6618557453501213</v>
      </c>
      <c r="T412" s="104">
        <f t="shared" ca="1" si="134"/>
        <v>9.9485951436030125E-3</v>
      </c>
      <c r="U412" s="87">
        <f t="shared" ca="1" si="135"/>
        <v>1202.4506512506252</v>
      </c>
      <c r="V412" s="104">
        <f t="shared" ca="1" si="136"/>
        <v>4.4941183346811169</v>
      </c>
      <c r="W412" s="133">
        <f t="shared" ca="1" si="137"/>
        <v>13088.309818379159</v>
      </c>
      <c r="X412" s="104">
        <f t="shared" ca="1" si="138"/>
        <v>48.917111952650771</v>
      </c>
      <c r="Y412" s="135">
        <f t="shared" ca="1" si="139"/>
        <v>0.85214223073652473</v>
      </c>
      <c r="AE412" s="104"/>
    </row>
    <row r="413" spans="1:31" x14ac:dyDescent="0.2">
      <c r="A413" s="98">
        <v>3</v>
      </c>
      <c r="B413" s="98">
        <v>0</v>
      </c>
      <c r="C413" s="98">
        <f t="shared" si="120"/>
        <v>7</v>
      </c>
      <c r="D413" s="98">
        <f t="shared" si="121"/>
        <v>6</v>
      </c>
      <c r="E413" s="98">
        <f t="shared" si="122"/>
        <v>3</v>
      </c>
      <c r="F413" s="118">
        <f t="shared" ca="1" si="123"/>
        <v>1.6947839999999999E-2</v>
      </c>
      <c r="G413" s="98">
        <v>1</v>
      </c>
      <c r="H413" s="98">
        <v>0</v>
      </c>
      <c r="I413" s="98">
        <v>4</v>
      </c>
      <c r="J413" s="118">
        <f t="shared" ca="1" si="124"/>
        <v>2.9016785156250047E-2</v>
      </c>
      <c r="K413" s="118">
        <f t="shared" ca="1" si="125"/>
        <v>4.9177183214250074E-4</v>
      </c>
      <c r="L413" s="133">
        <f t="shared" ca="1" si="126"/>
        <v>216</v>
      </c>
      <c r="M413" s="130">
        <f t="shared" ca="1" si="127"/>
        <v>784</v>
      </c>
      <c r="N413" s="100">
        <f t="shared" ca="1" si="128"/>
        <v>4</v>
      </c>
      <c r="O413" s="136">
        <f t="shared" ca="1" si="129"/>
        <v>2.6618557453501217</v>
      </c>
      <c r="P413" s="136">
        <f t="shared" ca="1" si="130"/>
        <v>26.618557453501214</v>
      </c>
      <c r="Q413" s="136">
        <f t="shared" ca="1" si="131"/>
        <v>26.618557453501214</v>
      </c>
      <c r="R413" s="136">
        <f t="shared" ca="1" si="132"/>
        <v>2.6618557453501213</v>
      </c>
      <c r="S413" s="136">
        <f t="shared" ca="1" si="133"/>
        <v>2.6618557453501213</v>
      </c>
      <c r="T413" s="104">
        <f t="shared" ca="1" si="134"/>
        <v>1.309025676789871E-3</v>
      </c>
      <c r="U413" s="87">
        <f t="shared" ca="1" si="135"/>
        <v>1190.4506512506252</v>
      </c>
      <c r="V413" s="104">
        <f t="shared" ca="1" si="136"/>
        <v>0.58543009784075317</v>
      </c>
      <c r="W413" s="133">
        <f t="shared" ca="1" si="137"/>
        <v>10953.185867583212</v>
      </c>
      <c r="X413" s="104">
        <f t="shared" ca="1" si="138"/>
        <v>5.3864682818987424</v>
      </c>
      <c r="Y413" s="135">
        <f t="shared" ca="1" si="139"/>
        <v>0.10622271574278017</v>
      </c>
      <c r="AE413" s="104"/>
    </row>
    <row r="414" spans="1:31" x14ac:dyDescent="0.2">
      <c r="A414" s="98">
        <v>3</v>
      </c>
      <c r="B414" s="98">
        <v>0</v>
      </c>
      <c r="C414" s="98">
        <f t="shared" si="120"/>
        <v>7</v>
      </c>
      <c r="D414" s="98">
        <f t="shared" si="121"/>
        <v>6</v>
      </c>
      <c r="E414" s="98">
        <f t="shared" si="122"/>
        <v>3</v>
      </c>
      <c r="F414" s="118">
        <f t="shared" ca="1" si="123"/>
        <v>1.6947839999999999E-2</v>
      </c>
      <c r="G414" s="98">
        <v>1</v>
      </c>
      <c r="H414" s="98">
        <v>0</v>
      </c>
      <c r="I414" s="98">
        <v>3</v>
      </c>
      <c r="J414" s="118">
        <f t="shared" ca="1" si="124"/>
        <v>2.0362656250000047E-3</v>
      </c>
      <c r="K414" s="118">
        <f t="shared" ca="1" si="125"/>
        <v>3.4510304010000076E-5</v>
      </c>
      <c r="L414" s="133">
        <f t="shared" ca="1" si="126"/>
        <v>204</v>
      </c>
      <c r="M414" s="130">
        <f t="shared" ca="1" si="127"/>
        <v>796</v>
      </c>
      <c r="N414" s="100">
        <f t="shared" ca="1" si="128"/>
        <v>4</v>
      </c>
      <c r="O414" s="136">
        <f t="shared" ca="1" si="129"/>
        <v>2.6618557453501217</v>
      </c>
      <c r="P414" s="136">
        <f t="shared" ca="1" si="130"/>
        <v>26.618557453501214</v>
      </c>
      <c r="Q414" s="136">
        <f t="shared" ca="1" si="131"/>
        <v>26.618557453501214</v>
      </c>
      <c r="R414" s="136">
        <f t="shared" ca="1" si="132"/>
        <v>2.6618557453501213</v>
      </c>
      <c r="S414" s="136">
        <f t="shared" ca="1" si="133"/>
        <v>2.6618557453501213</v>
      </c>
      <c r="T414" s="104">
        <f t="shared" ca="1" si="134"/>
        <v>9.1861451002798035E-5</v>
      </c>
      <c r="U414" s="87">
        <f t="shared" ca="1" si="135"/>
        <v>1178.4506512506252</v>
      </c>
      <c r="V414" s="104">
        <f t="shared" ca="1" si="136"/>
        <v>4.0668690235441653E-2</v>
      </c>
      <c r="W414" s="133">
        <f t="shared" ca="1" si="137"/>
        <v>8818.0619167872646</v>
      </c>
      <c r="X414" s="104">
        <f t="shared" ca="1" si="138"/>
        <v>0.30431399752733251</v>
      </c>
      <c r="Y414" s="135">
        <f t="shared" ca="1" si="139"/>
        <v>7.0401020180400151E-3</v>
      </c>
      <c r="AE414" s="104"/>
    </row>
    <row r="415" spans="1:31" x14ac:dyDescent="0.2">
      <c r="A415" s="98">
        <v>3</v>
      </c>
      <c r="B415" s="98">
        <v>0</v>
      </c>
      <c r="C415" s="98">
        <f t="shared" si="120"/>
        <v>7</v>
      </c>
      <c r="D415" s="98">
        <f t="shared" si="121"/>
        <v>6</v>
      </c>
      <c r="E415" s="98">
        <f t="shared" si="122"/>
        <v>3</v>
      </c>
      <c r="F415" s="118">
        <f t="shared" ca="1" si="123"/>
        <v>1.6947839999999999E-2</v>
      </c>
      <c r="G415" s="98">
        <v>1</v>
      </c>
      <c r="H415" s="98">
        <v>0</v>
      </c>
      <c r="I415" s="98">
        <v>2</v>
      </c>
      <c r="J415" s="118">
        <f t="shared" ca="1" si="124"/>
        <v>8.0378906250000291E-5</v>
      </c>
      <c r="K415" s="118">
        <f t="shared" ca="1" si="125"/>
        <v>1.3622488425000048E-6</v>
      </c>
      <c r="L415" s="133">
        <f t="shared" ca="1" si="126"/>
        <v>192</v>
      </c>
      <c r="M415" s="130">
        <f t="shared" ca="1" si="127"/>
        <v>808</v>
      </c>
      <c r="N415" s="100">
        <f t="shared" ca="1" si="128"/>
        <v>4</v>
      </c>
      <c r="O415" s="136">
        <f t="shared" ca="1" si="129"/>
        <v>2.6618557453501217</v>
      </c>
      <c r="P415" s="136">
        <f t="shared" ca="1" si="130"/>
        <v>26.618557453501214</v>
      </c>
      <c r="Q415" s="136">
        <f t="shared" ca="1" si="131"/>
        <v>26.618557453501214</v>
      </c>
      <c r="R415" s="136">
        <f t="shared" ca="1" si="132"/>
        <v>2.6618557453501213</v>
      </c>
      <c r="S415" s="136">
        <f t="shared" ca="1" si="133"/>
        <v>2.6618557453501213</v>
      </c>
      <c r="T415" s="104">
        <f t="shared" ca="1" si="134"/>
        <v>3.6261099080051905E-6</v>
      </c>
      <c r="U415" s="87">
        <f t="shared" ca="1" si="135"/>
        <v>1166.4506512506252</v>
      </c>
      <c r="V415" s="104">
        <f t="shared" ca="1" si="136"/>
        <v>1.588996049499541E-3</v>
      </c>
      <c r="W415" s="133">
        <f t="shared" ca="1" si="137"/>
        <v>6682.9379659913157</v>
      </c>
      <c r="X415" s="104">
        <f t="shared" ca="1" si="138"/>
        <v>9.1038245086710063E-3</v>
      </c>
      <c r="Y415" s="135">
        <f t="shared" ca="1" si="139"/>
        <v>2.6155177776000094E-4</v>
      </c>
      <c r="AE415" s="104"/>
    </row>
    <row r="416" spans="1:31" x14ac:dyDescent="0.2">
      <c r="A416" s="98">
        <v>3</v>
      </c>
      <c r="B416" s="98">
        <v>0</v>
      </c>
      <c r="C416" s="98">
        <f t="shared" si="120"/>
        <v>7</v>
      </c>
      <c r="D416" s="98">
        <f t="shared" si="121"/>
        <v>6</v>
      </c>
      <c r="E416" s="98">
        <f t="shared" si="122"/>
        <v>3</v>
      </c>
      <c r="F416" s="118">
        <f t="shared" ca="1" si="123"/>
        <v>1.6947839999999999E-2</v>
      </c>
      <c r="G416" s="98">
        <v>1</v>
      </c>
      <c r="H416" s="98">
        <v>0</v>
      </c>
      <c r="I416" s="98">
        <v>1</v>
      </c>
      <c r="J416" s="118">
        <f t="shared" ca="1" si="124"/>
        <v>1.6921875000000077E-6</v>
      </c>
      <c r="K416" s="118">
        <f t="shared" ca="1" si="125"/>
        <v>2.8678923000000129E-8</v>
      </c>
      <c r="L416" s="133">
        <f t="shared" ca="1" si="126"/>
        <v>180</v>
      </c>
      <c r="M416" s="130">
        <f t="shared" ca="1" si="127"/>
        <v>820</v>
      </c>
      <c r="N416" s="100">
        <f t="shared" ca="1" si="128"/>
        <v>4</v>
      </c>
      <c r="O416" s="136">
        <f t="shared" ca="1" si="129"/>
        <v>2.6618557453501217</v>
      </c>
      <c r="P416" s="136">
        <f t="shared" ca="1" si="130"/>
        <v>26.618557453501214</v>
      </c>
      <c r="Q416" s="136">
        <f t="shared" ca="1" si="131"/>
        <v>26.618557453501214</v>
      </c>
      <c r="R416" s="136">
        <f t="shared" ca="1" si="132"/>
        <v>2.6618557453501213</v>
      </c>
      <c r="S416" s="136">
        <f t="shared" ca="1" si="133"/>
        <v>2.6618557453501213</v>
      </c>
      <c r="T416" s="104">
        <f t="shared" ca="1" si="134"/>
        <v>7.6339155958004083E-8</v>
      </c>
      <c r="U416" s="87">
        <f t="shared" ca="1" si="135"/>
        <v>1154.4506512506252</v>
      </c>
      <c r="V416" s="104">
        <f t="shared" ca="1" si="136"/>
        <v>3.3108401334516681E-5</v>
      </c>
      <c r="W416" s="133">
        <f t="shared" ca="1" si="137"/>
        <v>4547.8140151953685</v>
      </c>
      <c r="X416" s="104">
        <f t="shared" ca="1" si="138"/>
        <v>1.3042640796010938E-4</v>
      </c>
      <c r="Y416" s="135">
        <f t="shared" ca="1" si="139"/>
        <v>5.162206140000023E-6</v>
      </c>
      <c r="AE416" s="104"/>
    </row>
    <row r="417" spans="1:31" x14ac:dyDescent="0.2">
      <c r="A417" s="98">
        <v>3</v>
      </c>
      <c r="B417" s="98">
        <v>0</v>
      </c>
      <c r="C417" s="98">
        <f t="shared" si="120"/>
        <v>7</v>
      </c>
      <c r="D417" s="98">
        <f t="shared" si="121"/>
        <v>6</v>
      </c>
      <c r="E417" s="98">
        <f t="shared" si="122"/>
        <v>3</v>
      </c>
      <c r="F417" s="118">
        <f t="shared" ca="1" si="123"/>
        <v>1.6947839999999999E-2</v>
      </c>
      <c r="G417" s="98">
        <v>1</v>
      </c>
      <c r="H417" s="98">
        <v>0</v>
      </c>
      <c r="I417" s="98">
        <v>0</v>
      </c>
      <c r="J417" s="118">
        <f t="shared" ca="1" si="124"/>
        <v>1.4843750000000078E-8</v>
      </c>
      <c r="K417" s="118">
        <f t="shared" ca="1" si="125"/>
        <v>2.5156950000000128E-10</v>
      </c>
      <c r="L417" s="133">
        <f t="shared" ca="1" si="126"/>
        <v>168</v>
      </c>
      <c r="M417" s="130">
        <f t="shared" ca="1" si="127"/>
        <v>832</v>
      </c>
      <c r="N417" s="100">
        <f t="shared" ca="1" si="128"/>
        <v>5</v>
      </c>
      <c r="O417" s="136">
        <f t="shared" ca="1" si="129"/>
        <v>3.2590583346360766</v>
      </c>
      <c r="P417" s="136">
        <f t="shared" ca="1" si="130"/>
        <v>28.410165221359076</v>
      </c>
      <c r="Q417" s="136">
        <f t="shared" ca="1" si="131"/>
        <v>26.618557453501214</v>
      </c>
      <c r="R417" s="136">
        <f t="shared" ca="1" si="132"/>
        <v>2.7514361337430144</v>
      </c>
      <c r="S417" s="136">
        <f t="shared" ca="1" si="133"/>
        <v>3.091543008341366</v>
      </c>
      <c r="T417" s="104">
        <f t="shared" ca="1" si="134"/>
        <v>7.7773792883693725E-10</v>
      </c>
      <c r="U417" s="87">
        <f t="shared" ca="1" si="135"/>
        <v>1294.1569825567776</v>
      </c>
      <c r="V417" s="104">
        <f t="shared" ca="1" si="136"/>
        <v>3.255704250233189E-7</v>
      </c>
      <c r="W417" s="133">
        <f t="shared" ca="1" si="137"/>
        <v>2412.6900643994204</v>
      </c>
      <c r="X417" s="104">
        <f t="shared" ca="1" si="138"/>
        <v>6.0695923315593305E-7</v>
      </c>
      <c r="Y417" s="135">
        <f t="shared" ca="1" si="139"/>
        <v>4.2263676000000215E-8</v>
      </c>
      <c r="AE417" s="104"/>
    </row>
    <row r="418" spans="1:31" x14ac:dyDescent="0.2">
      <c r="A418" s="98">
        <v>3</v>
      </c>
      <c r="B418" s="98">
        <v>0</v>
      </c>
      <c r="C418" s="98">
        <f t="shared" si="120"/>
        <v>7</v>
      </c>
      <c r="D418" s="98">
        <f t="shared" si="121"/>
        <v>6</v>
      </c>
      <c r="E418" s="98">
        <f t="shared" si="122"/>
        <v>3</v>
      </c>
      <c r="F418" s="118">
        <f t="shared" ca="1" si="123"/>
        <v>1.6947839999999999E-2</v>
      </c>
      <c r="G418" s="98">
        <v>0</v>
      </c>
      <c r="H418" s="98">
        <v>1</v>
      </c>
      <c r="I418" s="98">
        <v>7</v>
      </c>
      <c r="J418" s="118">
        <f t="shared" si="124"/>
        <v>0</v>
      </c>
      <c r="K418" s="118">
        <f t="shared" ca="1" si="125"/>
        <v>0</v>
      </c>
      <c r="L418" s="133">
        <f t="shared" ca="1" si="126"/>
        <v>252</v>
      </c>
      <c r="M418" s="130">
        <f t="shared" ca="1" si="127"/>
        <v>748</v>
      </c>
      <c r="N418" s="100">
        <f t="shared" ca="1" si="128"/>
        <v>4</v>
      </c>
      <c r="O418" s="136">
        <f t="shared" ca="1" si="129"/>
        <v>2.6618557453501217</v>
      </c>
      <c r="P418" s="136">
        <f t="shared" ca="1" si="130"/>
        <v>26.618557453501214</v>
      </c>
      <c r="Q418" s="136">
        <f t="shared" ca="1" si="131"/>
        <v>26.618557453501214</v>
      </c>
      <c r="R418" s="136">
        <f t="shared" ca="1" si="132"/>
        <v>2.6618557453501213</v>
      </c>
      <c r="S418" s="136">
        <f t="shared" ca="1" si="133"/>
        <v>2.6618557453501213</v>
      </c>
      <c r="T418" s="104">
        <f t="shared" ca="1" si="134"/>
        <v>0</v>
      </c>
      <c r="U418" s="87">
        <f t="shared" ca="1" si="135"/>
        <v>1226.4506512506252</v>
      </c>
      <c r="V418" s="104">
        <f t="shared" ca="1" si="136"/>
        <v>0</v>
      </c>
      <c r="W418" s="133">
        <f t="shared" ca="1" si="137"/>
        <v>17080.991606367581</v>
      </c>
      <c r="X418" s="104">
        <f t="shared" ca="1" si="138"/>
        <v>0</v>
      </c>
      <c r="Y418" s="135">
        <f t="shared" ca="1" si="139"/>
        <v>0</v>
      </c>
      <c r="AE418" s="104"/>
    </row>
    <row r="419" spans="1:31" x14ac:dyDescent="0.2">
      <c r="A419" s="98">
        <v>3</v>
      </c>
      <c r="B419" s="98">
        <v>0</v>
      </c>
      <c r="C419" s="98">
        <f t="shared" si="120"/>
        <v>7</v>
      </c>
      <c r="D419" s="98">
        <f t="shared" si="121"/>
        <v>6</v>
      </c>
      <c r="E419" s="98">
        <f t="shared" si="122"/>
        <v>3</v>
      </c>
      <c r="F419" s="118">
        <f t="shared" ca="1" si="123"/>
        <v>1.6947839999999999E-2</v>
      </c>
      <c r="G419" s="98">
        <v>0</v>
      </c>
      <c r="H419" s="98">
        <v>1</v>
      </c>
      <c r="I419" s="98">
        <v>6</v>
      </c>
      <c r="J419" s="118">
        <f t="shared" ca="1" si="124"/>
        <v>0</v>
      </c>
      <c r="K419" s="118">
        <f t="shared" ca="1" si="125"/>
        <v>0</v>
      </c>
      <c r="L419" s="133">
        <f t="shared" ca="1" si="126"/>
        <v>240</v>
      </c>
      <c r="M419" s="130">
        <f t="shared" ca="1" si="127"/>
        <v>760</v>
      </c>
      <c r="N419" s="100">
        <f t="shared" ca="1" si="128"/>
        <v>4</v>
      </c>
      <c r="O419" s="136">
        <f t="shared" ca="1" si="129"/>
        <v>2.6618557453501217</v>
      </c>
      <c r="P419" s="136">
        <f t="shared" ca="1" si="130"/>
        <v>26.618557453501214</v>
      </c>
      <c r="Q419" s="136">
        <f t="shared" ca="1" si="131"/>
        <v>26.618557453501214</v>
      </c>
      <c r="R419" s="136">
        <f t="shared" ca="1" si="132"/>
        <v>2.6618557453501213</v>
      </c>
      <c r="S419" s="136">
        <f t="shared" ca="1" si="133"/>
        <v>2.6618557453501213</v>
      </c>
      <c r="T419" s="104">
        <f t="shared" ca="1" si="134"/>
        <v>0</v>
      </c>
      <c r="U419" s="87">
        <f t="shared" ca="1" si="135"/>
        <v>1214.4506512506252</v>
      </c>
      <c r="V419" s="104">
        <f t="shared" ca="1" si="136"/>
        <v>0</v>
      </c>
      <c r="W419" s="133">
        <f t="shared" ca="1" si="137"/>
        <v>14945.867655571634</v>
      </c>
      <c r="X419" s="104">
        <f t="shared" ca="1" si="138"/>
        <v>0</v>
      </c>
      <c r="Y419" s="135">
        <f t="shared" ca="1" si="139"/>
        <v>0</v>
      </c>
      <c r="AE419" s="104"/>
    </row>
    <row r="420" spans="1:31" x14ac:dyDescent="0.2">
      <c r="A420" s="98">
        <v>3</v>
      </c>
      <c r="B420" s="98">
        <v>0</v>
      </c>
      <c r="C420" s="98">
        <f t="shared" si="120"/>
        <v>7</v>
      </c>
      <c r="D420" s="98">
        <f t="shared" si="121"/>
        <v>6</v>
      </c>
      <c r="E420" s="98">
        <f t="shared" si="122"/>
        <v>3</v>
      </c>
      <c r="F420" s="118">
        <f t="shared" ca="1" si="123"/>
        <v>1.6947839999999999E-2</v>
      </c>
      <c r="G420" s="98">
        <v>0</v>
      </c>
      <c r="H420" s="98">
        <v>1</v>
      </c>
      <c r="I420" s="98">
        <v>5</v>
      </c>
      <c r="J420" s="118">
        <f t="shared" ca="1" si="124"/>
        <v>0</v>
      </c>
      <c r="K420" s="118">
        <f t="shared" ca="1" si="125"/>
        <v>0</v>
      </c>
      <c r="L420" s="133">
        <f t="shared" ca="1" si="126"/>
        <v>228</v>
      </c>
      <c r="M420" s="130">
        <f t="shared" ca="1" si="127"/>
        <v>772</v>
      </c>
      <c r="N420" s="100">
        <f t="shared" ca="1" si="128"/>
        <v>4</v>
      </c>
      <c r="O420" s="136">
        <f t="shared" ca="1" si="129"/>
        <v>2.6618557453501217</v>
      </c>
      <c r="P420" s="136">
        <f t="shared" ca="1" si="130"/>
        <v>26.618557453501214</v>
      </c>
      <c r="Q420" s="136">
        <f t="shared" ca="1" si="131"/>
        <v>26.618557453501214</v>
      </c>
      <c r="R420" s="136">
        <f t="shared" ca="1" si="132"/>
        <v>2.6618557453501213</v>
      </c>
      <c r="S420" s="136">
        <f t="shared" ca="1" si="133"/>
        <v>2.6618557453501213</v>
      </c>
      <c r="T420" s="104">
        <f t="shared" ca="1" si="134"/>
        <v>0</v>
      </c>
      <c r="U420" s="87">
        <f t="shared" ca="1" si="135"/>
        <v>1202.4506512506252</v>
      </c>
      <c r="V420" s="104">
        <f t="shared" ca="1" si="136"/>
        <v>0</v>
      </c>
      <c r="W420" s="133">
        <f t="shared" ca="1" si="137"/>
        <v>12810.743704775685</v>
      </c>
      <c r="X420" s="104">
        <f t="shared" ca="1" si="138"/>
        <v>0</v>
      </c>
      <c r="Y420" s="135">
        <f t="shared" ca="1" si="139"/>
        <v>0</v>
      </c>
      <c r="AE420" s="104"/>
    </row>
    <row r="421" spans="1:31" x14ac:dyDescent="0.2">
      <c r="A421" s="98">
        <v>3</v>
      </c>
      <c r="B421" s="98">
        <v>0</v>
      </c>
      <c r="C421" s="98">
        <f t="shared" si="120"/>
        <v>7</v>
      </c>
      <c r="D421" s="98">
        <f t="shared" si="121"/>
        <v>6</v>
      </c>
      <c r="E421" s="98">
        <f t="shared" si="122"/>
        <v>3</v>
      </c>
      <c r="F421" s="118">
        <f t="shared" ca="1" si="123"/>
        <v>1.6947839999999999E-2</v>
      </c>
      <c r="G421" s="98">
        <v>0</v>
      </c>
      <c r="H421" s="98">
        <v>1</v>
      </c>
      <c r="I421" s="98">
        <v>4</v>
      </c>
      <c r="J421" s="118">
        <f t="shared" ca="1" si="124"/>
        <v>0</v>
      </c>
      <c r="K421" s="118">
        <f t="shared" ca="1" si="125"/>
        <v>0</v>
      </c>
      <c r="L421" s="133">
        <f t="shared" ca="1" si="126"/>
        <v>216</v>
      </c>
      <c r="M421" s="130">
        <f t="shared" ca="1" si="127"/>
        <v>784</v>
      </c>
      <c r="N421" s="100">
        <f t="shared" ca="1" si="128"/>
        <v>4</v>
      </c>
      <c r="O421" s="136">
        <f t="shared" ca="1" si="129"/>
        <v>2.6618557453501217</v>
      </c>
      <c r="P421" s="136">
        <f t="shared" ca="1" si="130"/>
        <v>26.618557453501214</v>
      </c>
      <c r="Q421" s="136">
        <f t="shared" ca="1" si="131"/>
        <v>26.618557453501214</v>
      </c>
      <c r="R421" s="136">
        <f t="shared" ca="1" si="132"/>
        <v>2.6618557453501213</v>
      </c>
      <c r="S421" s="136">
        <f t="shared" ca="1" si="133"/>
        <v>2.6618557453501213</v>
      </c>
      <c r="T421" s="104">
        <f t="shared" ca="1" si="134"/>
        <v>0</v>
      </c>
      <c r="U421" s="87">
        <f t="shared" ca="1" si="135"/>
        <v>1190.4506512506252</v>
      </c>
      <c r="V421" s="104">
        <f t="shared" ca="1" si="136"/>
        <v>0</v>
      </c>
      <c r="W421" s="133">
        <f t="shared" ca="1" si="137"/>
        <v>10675.619753979738</v>
      </c>
      <c r="X421" s="104">
        <f t="shared" ca="1" si="138"/>
        <v>0</v>
      </c>
      <c r="Y421" s="135">
        <f t="shared" ca="1" si="139"/>
        <v>0</v>
      </c>
      <c r="AE421" s="104"/>
    </row>
    <row r="422" spans="1:31" x14ac:dyDescent="0.2">
      <c r="A422" s="98">
        <v>3</v>
      </c>
      <c r="B422" s="98">
        <v>0</v>
      </c>
      <c r="C422" s="98">
        <f t="shared" si="120"/>
        <v>7</v>
      </c>
      <c r="D422" s="98">
        <f t="shared" si="121"/>
        <v>6</v>
      </c>
      <c r="E422" s="98">
        <f t="shared" si="122"/>
        <v>3</v>
      </c>
      <c r="F422" s="118">
        <f t="shared" ca="1" si="123"/>
        <v>1.6947839999999999E-2</v>
      </c>
      <c r="G422" s="98">
        <v>0</v>
      </c>
      <c r="H422" s="98">
        <v>1</v>
      </c>
      <c r="I422" s="98">
        <v>3</v>
      </c>
      <c r="J422" s="118">
        <f t="shared" ca="1" si="124"/>
        <v>0</v>
      </c>
      <c r="K422" s="118">
        <f t="shared" ca="1" si="125"/>
        <v>0</v>
      </c>
      <c r="L422" s="133">
        <f t="shared" ca="1" si="126"/>
        <v>204</v>
      </c>
      <c r="M422" s="130">
        <f t="shared" ca="1" si="127"/>
        <v>796</v>
      </c>
      <c r="N422" s="100">
        <f t="shared" ca="1" si="128"/>
        <v>4</v>
      </c>
      <c r="O422" s="136">
        <f t="shared" ca="1" si="129"/>
        <v>2.6618557453501217</v>
      </c>
      <c r="P422" s="136">
        <f t="shared" ca="1" si="130"/>
        <v>26.618557453501214</v>
      </c>
      <c r="Q422" s="136">
        <f t="shared" ca="1" si="131"/>
        <v>26.618557453501214</v>
      </c>
      <c r="R422" s="136">
        <f t="shared" ca="1" si="132"/>
        <v>2.6618557453501213</v>
      </c>
      <c r="S422" s="136">
        <f t="shared" ca="1" si="133"/>
        <v>2.6618557453501213</v>
      </c>
      <c r="T422" s="104">
        <f t="shared" ca="1" si="134"/>
        <v>0</v>
      </c>
      <c r="U422" s="87">
        <f t="shared" ca="1" si="135"/>
        <v>1178.4506512506252</v>
      </c>
      <c r="V422" s="104">
        <f t="shared" ca="1" si="136"/>
        <v>0</v>
      </c>
      <c r="W422" s="133">
        <f t="shared" ca="1" si="137"/>
        <v>8540.4958031837905</v>
      </c>
      <c r="X422" s="104">
        <f t="shared" ca="1" si="138"/>
        <v>0</v>
      </c>
      <c r="Y422" s="135">
        <f t="shared" ca="1" si="139"/>
        <v>0</v>
      </c>
      <c r="AE422" s="104"/>
    </row>
    <row r="423" spans="1:31" x14ac:dyDescent="0.2">
      <c r="A423" s="98">
        <v>3</v>
      </c>
      <c r="B423" s="98">
        <v>0</v>
      </c>
      <c r="C423" s="98">
        <f t="shared" si="120"/>
        <v>7</v>
      </c>
      <c r="D423" s="98">
        <f t="shared" si="121"/>
        <v>6</v>
      </c>
      <c r="E423" s="98">
        <f t="shared" si="122"/>
        <v>3</v>
      </c>
      <c r="F423" s="118">
        <f t="shared" ca="1" si="123"/>
        <v>1.6947839999999999E-2</v>
      </c>
      <c r="G423" s="98">
        <v>0</v>
      </c>
      <c r="H423" s="98">
        <v>1</v>
      </c>
      <c r="I423" s="98">
        <v>2</v>
      </c>
      <c r="J423" s="118">
        <f t="shared" ca="1" si="124"/>
        <v>0</v>
      </c>
      <c r="K423" s="118">
        <f t="shared" ca="1" si="125"/>
        <v>0</v>
      </c>
      <c r="L423" s="133">
        <f t="shared" ca="1" si="126"/>
        <v>192</v>
      </c>
      <c r="M423" s="130">
        <f t="shared" ca="1" si="127"/>
        <v>808</v>
      </c>
      <c r="N423" s="100">
        <f t="shared" ca="1" si="128"/>
        <v>4</v>
      </c>
      <c r="O423" s="136">
        <f t="shared" ca="1" si="129"/>
        <v>2.6618557453501217</v>
      </c>
      <c r="P423" s="136">
        <f t="shared" ca="1" si="130"/>
        <v>26.618557453501214</v>
      </c>
      <c r="Q423" s="136">
        <f t="shared" ca="1" si="131"/>
        <v>26.618557453501214</v>
      </c>
      <c r="R423" s="136">
        <f t="shared" ca="1" si="132"/>
        <v>2.6618557453501213</v>
      </c>
      <c r="S423" s="136">
        <f t="shared" ca="1" si="133"/>
        <v>2.6618557453501213</v>
      </c>
      <c r="T423" s="104">
        <f t="shared" ca="1" si="134"/>
        <v>0</v>
      </c>
      <c r="U423" s="87">
        <f t="shared" ca="1" si="135"/>
        <v>1166.4506512506252</v>
      </c>
      <c r="V423" s="104">
        <f t="shared" ca="1" si="136"/>
        <v>0</v>
      </c>
      <c r="W423" s="133">
        <f t="shared" ca="1" si="137"/>
        <v>6405.3718523878433</v>
      </c>
      <c r="X423" s="104">
        <f t="shared" ca="1" si="138"/>
        <v>0</v>
      </c>
      <c r="Y423" s="135">
        <f t="shared" ca="1" si="139"/>
        <v>0</v>
      </c>
      <c r="AE423" s="104"/>
    </row>
    <row r="424" spans="1:31" x14ac:dyDescent="0.2">
      <c r="A424" s="98">
        <v>3</v>
      </c>
      <c r="B424" s="98">
        <v>0</v>
      </c>
      <c r="C424" s="98">
        <f t="shared" si="120"/>
        <v>7</v>
      </c>
      <c r="D424" s="98">
        <f t="shared" si="121"/>
        <v>6</v>
      </c>
      <c r="E424" s="98">
        <f t="shared" si="122"/>
        <v>3</v>
      </c>
      <c r="F424" s="118">
        <f t="shared" ca="1" si="123"/>
        <v>1.6947839999999999E-2</v>
      </c>
      <c r="G424" s="98">
        <v>0</v>
      </c>
      <c r="H424" s="98">
        <v>1</v>
      </c>
      <c r="I424" s="98">
        <v>1</v>
      </c>
      <c r="J424" s="118">
        <f t="shared" ca="1" si="124"/>
        <v>0</v>
      </c>
      <c r="K424" s="118">
        <f t="shared" ca="1" si="125"/>
        <v>0</v>
      </c>
      <c r="L424" s="133">
        <f t="shared" ca="1" si="126"/>
        <v>180</v>
      </c>
      <c r="M424" s="130">
        <f t="shared" ca="1" si="127"/>
        <v>820</v>
      </c>
      <c r="N424" s="100">
        <f t="shared" ca="1" si="128"/>
        <v>4</v>
      </c>
      <c r="O424" s="136">
        <f t="shared" ca="1" si="129"/>
        <v>2.6618557453501217</v>
      </c>
      <c r="P424" s="136">
        <f t="shared" ca="1" si="130"/>
        <v>26.618557453501214</v>
      </c>
      <c r="Q424" s="136">
        <f t="shared" ca="1" si="131"/>
        <v>26.618557453501214</v>
      </c>
      <c r="R424" s="136">
        <f t="shared" ca="1" si="132"/>
        <v>2.6618557453501213</v>
      </c>
      <c r="S424" s="136">
        <f t="shared" ca="1" si="133"/>
        <v>2.6618557453501213</v>
      </c>
      <c r="T424" s="104">
        <f t="shared" ca="1" si="134"/>
        <v>0</v>
      </c>
      <c r="U424" s="87">
        <f t="shared" ca="1" si="135"/>
        <v>1154.4506512506252</v>
      </c>
      <c r="V424" s="104">
        <f t="shared" ca="1" si="136"/>
        <v>0</v>
      </c>
      <c r="W424" s="133">
        <f t="shared" ca="1" si="137"/>
        <v>4270.2479015918952</v>
      </c>
      <c r="X424" s="104">
        <f t="shared" ca="1" si="138"/>
        <v>0</v>
      </c>
      <c r="Y424" s="135">
        <f t="shared" ca="1" si="139"/>
        <v>0</v>
      </c>
      <c r="AE424" s="104"/>
    </row>
    <row r="425" spans="1:31" x14ac:dyDescent="0.2">
      <c r="A425" s="98">
        <v>3</v>
      </c>
      <c r="B425" s="98">
        <v>0</v>
      </c>
      <c r="C425" s="98">
        <f t="shared" si="120"/>
        <v>7</v>
      </c>
      <c r="D425" s="98">
        <f t="shared" si="121"/>
        <v>6</v>
      </c>
      <c r="E425" s="98">
        <f t="shared" si="122"/>
        <v>3</v>
      </c>
      <c r="F425" s="118">
        <f t="shared" ca="1" si="123"/>
        <v>1.6947839999999999E-2</v>
      </c>
      <c r="G425" s="98">
        <v>0</v>
      </c>
      <c r="H425" s="98">
        <v>1</v>
      </c>
      <c r="I425" s="98">
        <v>0</v>
      </c>
      <c r="J425" s="118">
        <f t="shared" ca="1" si="124"/>
        <v>0</v>
      </c>
      <c r="K425" s="118">
        <f t="shared" ca="1" si="125"/>
        <v>0</v>
      </c>
      <c r="L425" s="133">
        <f t="shared" ca="1" si="126"/>
        <v>168</v>
      </c>
      <c r="M425" s="130">
        <f t="shared" ca="1" si="127"/>
        <v>832</v>
      </c>
      <c r="N425" s="100">
        <f t="shared" ca="1" si="128"/>
        <v>5</v>
      </c>
      <c r="O425" s="136">
        <f t="shared" ca="1" si="129"/>
        <v>3.2590583346360766</v>
      </c>
      <c r="P425" s="136">
        <f t="shared" ca="1" si="130"/>
        <v>28.410165221359076</v>
      </c>
      <c r="Q425" s="136">
        <f t="shared" ca="1" si="131"/>
        <v>26.618557453501214</v>
      </c>
      <c r="R425" s="136">
        <f t="shared" ca="1" si="132"/>
        <v>2.7514361337430144</v>
      </c>
      <c r="S425" s="136">
        <f t="shared" ca="1" si="133"/>
        <v>3.091543008341366</v>
      </c>
      <c r="T425" s="104">
        <f t="shared" ca="1" si="134"/>
        <v>0</v>
      </c>
      <c r="U425" s="87">
        <f t="shared" ca="1" si="135"/>
        <v>1294.1569825567776</v>
      </c>
      <c r="V425" s="104">
        <f t="shared" ca="1" si="136"/>
        <v>0</v>
      </c>
      <c r="W425" s="133">
        <f t="shared" ca="1" si="137"/>
        <v>2135.1239507959476</v>
      </c>
      <c r="X425" s="104">
        <f t="shared" ca="1" si="138"/>
        <v>0</v>
      </c>
      <c r="Y425" s="135">
        <f t="shared" ca="1" si="139"/>
        <v>0</v>
      </c>
      <c r="AE425" s="104"/>
    </row>
    <row r="426" spans="1:31" x14ac:dyDescent="0.2">
      <c r="A426" s="98">
        <v>3</v>
      </c>
      <c r="B426" s="98">
        <v>0</v>
      </c>
      <c r="C426" s="98">
        <f t="shared" si="120"/>
        <v>7</v>
      </c>
      <c r="D426" s="98">
        <f t="shared" si="121"/>
        <v>6</v>
      </c>
      <c r="E426" s="98">
        <f t="shared" si="122"/>
        <v>3</v>
      </c>
      <c r="F426" s="118">
        <f t="shared" ca="1" si="123"/>
        <v>1.6947839999999999E-2</v>
      </c>
      <c r="G426" s="98">
        <v>0</v>
      </c>
      <c r="H426" s="98">
        <v>0</v>
      </c>
      <c r="I426" s="98">
        <v>7</v>
      </c>
      <c r="J426" s="118">
        <f t="shared" si="124"/>
        <v>0</v>
      </c>
      <c r="K426" s="118">
        <f t="shared" ca="1" si="125"/>
        <v>0</v>
      </c>
      <c r="L426" s="133">
        <f t="shared" ca="1" si="126"/>
        <v>84</v>
      </c>
      <c r="M426" s="130">
        <f t="shared" ca="1" si="127"/>
        <v>916</v>
      </c>
      <c r="N426" s="100">
        <f t="shared" ca="1" si="128"/>
        <v>5</v>
      </c>
      <c r="O426" s="136">
        <f t="shared" ca="1" si="129"/>
        <v>3.2590583346360766</v>
      </c>
      <c r="P426" s="136">
        <f t="shared" ca="1" si="130"/>
        <v>32.590583346360766</v>
      </c>
      <c r="Q426" s="136">
        <f t="shared" ca="1" si="131"/>
        <v>32.590583346360766</v>
      </c>
      <c r="R426" s="136">
        <f t="shared" ca="1" si="132"/>
        <v>3.2590583346360766</v>
      </c>
      <c r="S426" s="136">
        <f t="shared" ca="1" si="133"/>
        <v>3.2590583346360766</v>
      </c>
      <c r="T426" s="104">
        <f t="shared" ca="1" si="134"/>
        <v>0</v>
      </c>
      <c r="U426" s="87">
        <f t="shared" ca="1" si="135"/>
        <v>1269.3003125517403</v>
      </c>
      <c r="V426" s="104">
        <f t="shared" ca="1" si="136"/>
        <v>0</v>
      </c>
      <c r="W426" s="133">
        <f t="shared" ca="1" si="137"/>
        <v>14945.867655571634</v>
      </c>
      <c r="X426" s="104">
        <f t="shared" ca="1" si="138"/>
        <v>0</v>
      </c>
      <c r="Y426" s="135">
        <f t="shared" ca="1" si="139"/>
        <v>0</v>
      </c>
      <c r="AE426" s="104"/>
    </row>
    <row r="427" spans="1:31" x14ac:dyDescent="0.2">
      <c r="A427" s="98">
        <v>3</v>
      </c>
      <c r="B427" s="98">
        <v>0</v>
      </c>
      <c r="C427" s="98">
        <f t="shared" si="120"/>
        <v>7</v>
      </c>
      <c r="D427" s="98">
        <f t="shared" si="121"/>
        <v>6</v>
      </c>
      <c r="E427" s="98">
        <f t="shared" si="122"/>
        <v>3</v>
      </c>
      <c r="F427" s="118">
        <f t="shared" ca="1" si="123"/>
        <v>1.6947839999999999E-2</v>
      </c>
      <c r="G427" s="98">
        <v>0</v>
      </c>
      <c r="H427" s="98">
        <v>0</v>
      </c>
      <c r="I427" s="98">
        <v>6</v>
      </c>
      <c r="J427" s="118">
        <f t="shared" ca="1" si="124"/>
        <v>3.6754594531249997E-2</v>
      </c>
      <c r="K427" s="118">
        <f t="shared" ca="1" si="125"/>
        <v>6.2291098738049991E-4</v>
      </c>
      <c r="L427" s="133">
        <f t="shared" ca="1" si="126"/>
        <v>72</v>
      </c>
      <c r="M427" s="130">
        <f t="shared" ca="1" si="127"/>
        <v>928</v>
      </c>
      <c r="N427" s="100">
        <f t="shared" ca="1" si="128"/>
        <v>5</v>
      </c>
      <c r="O427" s="136">
        <f t="shared" ca="1" si="129"/>
        <v>3.2590583346360766</v>
      </c>
      <c r="P427" s="136">
        <f t="shared" ca="1" si="130"/>
        <v>32.590583346360766</v>
      </c>
      <c r="Q427" s="136">
        <f t="shared" ca="1" si="131"/>
        <v>32.590583346360766</v>
      </c>
      <c r="R427" s="136">
        <f t="shared" ca="1" si="132"/>
        <v>3.2590583346360766</v>
      </c>
      <c r="S427" s="136">
        <f t="shared" ca="1" si="133"/>
        <v>3.2590583346360766</v>
      </c>
      <c r="T427" s="104">
        <f t="shared" ca="1" si="134"/>
        <v>2.0301032451588061E-3</v>
      </c>
      <c r="U427" s="87">
        <f t="shared" ca="1" si="135"/>
        <v>1257.3003125517403</v>
      </c>
      <c r="V427" s="104">
        <f t="shared" ca="1" si="136"/>
        <v>0.78318617912541566</v>
      </c>
      <c r="W427" s="133">
        <f t="shared" ca="1" si="137"/>
        <v>12810.743704775687</v>
      </c>
      <c r="X427" s="104">
        <f t="shared" ca="1" si="138"/>
        <v>7.9799530102203464</v>
      </c>
      <c r="Y427" s="135">
        <f t="shared" ca="1" si="139"/>
        <v>4.4849591091395996E-2</v>
      </c>
      <c r="AE427" s="104"/>
    </row>
    <row r="428" spans="1:31" x14ac:dyDescent="0.2">
      <c r="A428" s="98">
        <v>3</v>
      </c>
      <c r="B428" s="98">
        <v>0</v>
      </c>
      <c r="C428" s="98">
        <f t="shared" si="120"/>
        <v>7</v>
      </c>
      <c r="D428" s="98">
        <f t="shared" si="121"/>
        <v>6</v>
      </c>
      <c r="E428" s="98">
        <f t="shared" si="122"/>
        <v>3</v>
      </c>
      <c r="F428" s="118">
        <f t="shared" ca="1" si="123"/>
        <v>1.6947839999999999E-2</v>
      </c>
      <c r="G428" s="98">
        <v>0</v>
      </c>
      <c r="H428" s="98">
        <v>0</v>
      </c>
      <c r="I428" s="98">
        <v>5</v>
      </c>
      <c r="J428" s="118">
        <f t="shared" ca="1" si="124"/>
        <v>1.1606714062500011E-2</v>
      </c>
      <c r="K428" s="118">
        <f t="shared" ca="1" si="125"/>
        <v>1.9670873285700018E-4</v>
      </c>
      <c r="L428" s="133">
        <f t="shared" ca="1" si="126"/>
        <v>60</v>
      </c>
      <c r="M428" s="130">
        <f t="shared" ca="1" si="127"/>
        <v>940</v>
      </c>
      <c r="N428" s="100">
        <f t="shared" ca="1" si="128"/>
        <v>5</v>
      </c>
      <c r="O428" s="136">
        <f t="shared" ca="1" si="129"/>
        <v>3.2590583346360766</v>
      </c>
      <c r="P428" s="136">
        <f t="shared" ca="1" si="130"/>
        <v>32.590583346360766</v>
      </c>
      <c r="Q428" s="136">
        <f t="shared" ca="1" si="131"/>
        <v>32.590583346360766</v>
      </c>
      <c r="R428" s="136">
        <f t="shared" ca="1" si="132"/>
        <v>3.2590583346360766</v>
      </c>
      <c r="S428" s="136">
        <f t="shared" ca="1" si="133"/>
        <v>3.2590583346360766</v>
      </c>
      <c r="T428" s="104">
        <f t="shared" ca="1" si="134"/>
        <v>6.4108523531330791E-4</v>
      </c>
      <c r="U428" s="87">
        <f t="shared" ca="1" si="135"/>
        <v>1245.3003125517403</v>
      </c>
      <c r="V428" s="104">
        <f t="shared" ca="1" si="136"/>
        <v>0.24496144650847912</v>
      </c>
      <c r="W428" s="133">
        <f t="shared" ca="1" si="137"/>
        <v>10675.619753979738</v>
      </c>
      <c r="X428" s="104">
        <f t="shared" ca="1" si="138"/>
        <v>2.0999876342685142</v>
      </c>
      <c r="Y428" s="135">
        <f t="shared" ca="1" si="139"/>
        <v>1.1802523971420011E-2</v>
      </c>
      <c r="AE428" s="104"/>
    </row>
    <row r="429" spans="1:31" x14ac:dyDescent="0.2">
      <c r="A429" s="98">
        <v>3</v>
      </c>
      <c r="B429" s="98">
        <v>0</v>
      </c>
      <c r="C429" s="98">
        <f t="shared" si="120"/>
        <v>7</v>
      </c>
      <c r="D429" s="98">
        <f t="shared" si="121"/>
        <v>6</v>
      </c>
      <c r="E429" s="98">
        <f t="shared" si="122"/>
        <v>3</v>
      </c>
      <c r="F429" s="118">
        <f t="shared" ca="1" si="123"/>
        <v>1.6947839999999999E-2</v>
      </c>
      <c r="G429" s="98">
        <v>0</v>
      </c>
      <c r="H429" s="98">
        <v>0</v>
      </c>
      <c r="I429" s="98">
        <v>4</v>
      </c>
      <c r="J429" s="118">
        <f t="shared" ca="1" si="124"/>
        <v>1.5271992187500026E-3</v>
      </c>
      <c r="K429" s="118">
        <f t="shared" ca="1" si="125"/>
        <v>2.5882728007500042E-5</v>
      </c>
      <c r="L429" s="133">
        <f t="shared" ca="1" si="126"/>
        <v>48</v>
      </c>
      <c r="M429" s="130">
        <f t="shared" ca="1" si="127"/>
        <v>952</v>
      </c>
      <c r="N429" s="100">
        <f t="shared" ca="1" si="128"/>
        <v>5</v>
      </c>
      <c r="O429" s="136">
        <f t="shared" ca="1" si="129"/>
        <v>3.2590583346360766</v>
      </c>
      <c r="P429" s="136">
        <f t="shared" ca="1" si="130"/>
        <v>32.590583346360766</v>
      </c>
      <c r="Q429" s="136">
        <f t="shared" ca="1" si="131"/>
        <v>32.590583346360766</v>
      </c>
      <c r="R429" s="136">
        <f t="shared" ca="1" si="132"/>
        <v>3.2590583346360766</v>
      </c>
      <c r="S429" s="136">
        <f t="shared" ca="1" si="133"/>
        <v>3.2590583346360766</v>
      </c>
      <c r="T429" s="104">
        <f t="shared" ca="1" si="134"/>
        <v>8.435332043596163E-5</v>
      </c>
      <c r="U429" s="87">
        <f t="shared" ca="1" si="135"/>
        <v>1233.3003125517403</v>
      </c>
      <c r="V429" s="104">
        <f t="shared" ca="1" si="136"/>
        <v>3.1921176541341481E-2</v>
      </c>
      <c r="W429" s="133">
        <f t="shared" ca="1" si="137"/>
        <v>8540.4958031837905</v>
      </c>
      <c r="X429" s="104">
        <f t="shared" ca="1" si="138"/>
        <v>0.22105132992300167</v>
      </c>
      <c r="Y429" s="135">
        <f t="shared" ca="1" si="139"/>
        <v>1.2423709443600021E-3</v>
      </c>
      <c r="AE429" s="104"/>
    </row>
    <row r="430" spans="1:31" x14ac:dyDescent="0.2">
      <c r="A430" s="98">
        <v>3</v>
      </c>
      <c r="B430" s="98">
        <v>0</v>
      </c>
      <c r="C430" s="98">
        <f t="shared" si="120"/>
        <v>7</v>
      </c>
      <c r="D430" s="98">
        <f t="shared" si="121"/>
        <v>6</v>
      </c>
      <c r="E430" s="98">
        <f t="shared" si="122"/>
        <v>3</v>
      </c>
      <c r="F430" s="118">
        <f t="shared" ca="1" si="123"/>
        <v>1.6947839999999999E-2</v>
      </c>
      <c r="G430" s="98">
        <v>0</v>
      </c>
      <c r="H430" s="98">
        <v>0</v>
      </c>
      <c r="I430" s="98">
        <v>3</v>
      </c>
      <c r="J430" s="118">
        <f t="shared" ca="1" si="124"/>
        <v>1.0717187500000027E-4</v>
      </c>
      <c r="K430" s="118">
        <f t="shared" ca="1" si="125"/>
        <v>1.8163317900000044E-6</v>
      </c>
      <c r="L430" s="133">
        <f t="shared" ca="1" si="126"/>
        <v>36</v>
      </c>
      <c r="M430" s="130">
        <f t="shared" ca="1" si="127"/>
        <v>964</v>
      </c>
      <c r="N430" s="100">
        <f t="shared" ca="1" si="128"/>
        <v>5</v>
      </c>
      <c r="O430" s="136">
        <f t="shared" ca="1" si="129"/>
        <v>3.2590583346360766</v>
      </c>
      <c r="P430" s="136">
        <f t="shared" ca="1" si="130"/>
        <v>32.590583346360766</v>
      </c>
      <c r="Q430" s="136">
        <f t="shared" ca="1" si="131"/>
        <v>32.590583346360766</v>
      </c>
      <c r="R430" s="136">
        <f t="shared" ca="1" si="132"/>
        <v>3.2590583346360766</v>
      </c>
      <c r="S430" s="136">
        <f t="shared" ca="1" si="133"/>
        <v>3.2590583346360766</v>
      </c>
      <c r="T430" s="104">
        <f t="shared" ca="1" si="134"/>
        <v>5.9195312586639785E-6</v>
      </c>
      <c r="U430" s="87">
        <f t="shared" ca="1" si="135"/>
        <v>1221.3003125517403</v>
      </c>
      <c r="V430" s="104">
        <f t="shared" ca="1" si="136"/>
        <v>2.2182865828246673E-3</v>
      </c>
      <c r="W430" s="133">
        <f t="shared" ca="1" si="137"/>
        <v>6405.3718523878433</v>
      </c>
      <c r="X430" s="104">
        <f t="shared" ca="1" si="138"/>
        <v>1.1634280522263256E-2</v>
      </c>
      <c r="Y430" s="135">
        <f t="shared" ca="1" si="139"/>
        <v>6.5387944440000167E-5</v>
      </c>
      <c r="AE430" s="104"/>
    </row>
    <row r="431" spans="1:31" x14ac:dyDescent="0.2">
      <c r="A431" s="98">
        <v>3</v>
      </c>
      <c r="B431" s="98">
        <v>0</v>
      </c>
      <c r="C431" s="98">
        <f t="shared" si="120"/>
        <v>7</v>
      </c>
      <c r="D431" s="98">
        <f t="shared" si="121"/>
        <v>6</v>
      </c>
      <c r="E431" s="98">
        <f t="shared" si="122"/>
        <v>3</v>
      </c>
      <c r="F431" s="118">
        <f t="shared" ca="1" si="123"/>
        <v>1.6947839999999999E-2</v>
      </c>
      <c r="G431" s="98">
        <v>0</v>
      </c>
      <c r="H431" s="98">
        <v>0</v>
      </c>
      <c r="I431" s="98">
        <v>2</v>
      </c>
      <c r="J431" s="118">
        <f t="shared" ca="1" si="124"/>
        <v>4.2304687500000152E-6</v>
      </c>
      <c r="K431" s="118">
        <f t="shared" ca="1" si="125"/>
        <v>7.1697307500000252E-8</v>
      </c>
      <c r="L431" s="133">
        <f t="shared" ca="1" si="126"/>
        <v>24</v>
      </c>
      <c r="M431" s="130">
        <f t="shared" ca="1" si="127"/>
        <v>976</v>
      </c>
      <c r="N431" s="100">
        <f t="shared" ca="1" si="128"/>
        <v>5</v>
      </c>
      <c r="O431" s="136">
        <f t="shared" ca="1" si="129"/>
        <v>3.2590583346360766</v>
      </c>
      <c r="P431" s="136">
        <f t="shared" ca="1" si="130"/>
        <v>32.590583346360766</v>
      </c>
      <c r="Q431" s="136">
        <f t="shared" ca="1" si="131"/>
        <v>32.590583346360766</v>
      </c>
      <c r="R431" s="136">
        <f t="shared" ca="1" si="132"/>
        <v>3.2590583346360766</v>
      </c>
      <c r="S431" s="136">
        <f t="shared" ca="1" si="133"/>
        <v>3.2590583346360766</v>
      </c>
      <c r="T431" s="104">
        <f t="shared" ca="1" si="134"/>
        <v>2.336657075788415E-7</v>
      </c>
      <c r="U431" s="87">
        <f t="shared" ca="1" si="135"/>
        <v>1209.3003125517403</v>
      </c>
      <c r="V431" s="104">
        <f t="shared" ca="1" si="136"/>
        <v>8.6703576368868539E-5</v>
      </c>
      <c r="W431" s="133">
        <f t="shared" ca="1" si="137"/>
        <v>4270.2479015918952</v>
      </c>
      <c r="X431" s="104">
        <f t="shared" ca="1" si="138"/>
        <v>3.0616527690166491E-4</v>
      </c>
      <c r="Y431" s="135">
        <f t="shared" ca="1" si="139"/>
        <v>1.720735380000006E-6</v>
      </c>
      <c r="AE431" s="104"/>
    </row>
    <row r="432" spans="1:31" x14ac:dyDescent="0.2">
      <c r="A432" s="98">
        <v>3</v>
      </c>
      <c r="B432" s="98">
        <v>0</v>
      </c>
      <c r="C432" s="98">
        <f t="shared" si="120"/>
        <v>7</v>
      </c>
      <c r="D432" s="98">
        <f t="shared" si="121"/>
        <v>6</v>
      </c>
      <c r="E432" s="98">
        <f t="shared" si="122"/>
        <v>3</v>
      </c>
      <c r="F432" s="118">
        <f t="shared" ca="1" si="123"/>
        <v>1.6947839999999999E-2</v>
      </c>
      <c r="G432" s="98">
        <v>0</v>
      </c>
      <c r="H432" s="98">
        <v>0</v>
      </c>
      <c r="I432" s="98">
        <v>1</v>
      </c>
      <c r="J432" s="118">
        <f t="shared" ca="1" si="124"/>
        <v>8.9062500000000418E-8</v>
      </c>
      <c r="K432" s="118">
        <f t="shared" ca="1" si="125"/>
        <v>1.5094170000000071E-9</v>
      </c>
      <c r="L432" s="133">
        <f t="shared" ca="1" si="126"/>
        <v>12</v>
      </c>
      <c r="M432" s="130">
        <f t="shared" ca="1" si="127"/>
        <v>988</v>
      </c>
      <c r="N432" s="100">
        <f t="shared" ca="1" si="128"/>
        <v>5</v>
      </c>
      <c r="O432" s="136">
        <f t="shared" ca="1" si="129"/>
        <v>3.2590583346360766</v>
      </c>
      <c r="P432" s="136">
        <f t="shared" ca="1" si="130"/>
        <v>32.590583346360766</v>
      </c>
      <c r="Q432" s="136">
        <f t="shared" ca="1" si="131"/>
        <v>32.590583346360766</v>
      </c>
      <c r="R432" s="136">
        <f t="shared" ca="1" si="132"/>
        <v>3.2590583346360766</v>
      </c>
      <c r="S432" s="136">
        <f t="shared" ca="1" si="133"/>
        <v>3.2590583346360766</v>
      </c>
      <c r="T432" s="104">
        <f t="shared" ca="1" si="134"/>
        <v>4.9192780542914058E-9</v>
      </c>
      <c r="U432" s="87">
        <f t="shared" ca="1" si="135"/>
        <v>1197.3003125517403</v>
      </c>
      <c r="V432" s="104">
        <f t="shared" ca="1" si="136"/>
        <v>1.8072254458709185E-6</v>
      </c>
      <c r="W432" s="133">
        <f t="shared" ca="1" si="137"/>
        <v>2135.1239507959476</v>
      </c>
      <c r="X432" s="104">
        <f t="shared" ca="1" si="138"/>
        <v>3.222792388438582E-6</v>
      </c>
      <c r="Y432" s="135">
        <f t="shared" ca="1" si="139"/>
        <v>1.8113004000000085E-8</v>
      </c>
      <c r="AE432" s="104"/>
    </row>
    <row r="433" spans="1:31" x14ac:dyDescent="0.2">
      <c r="A433" s="98">
        <v>3</v>
      </c>
      <c r="B433" s="98">
        <v>0</v>
      </c>
      <c r="C433" s="98">
        <f t="shared" si="120"/>
        <v>7</v>
      </c>
      <c r="D433" s="98">
        <f t="shared" si="121"/>
        <v>6</v>
      </c>
      <c r="E433" s="98">
        <f t="shared" si="122"/>
        <v>3</v>
      </c>
      <c r="F433" s="118">
        <f t="shared" ca="1" si="123"/>
        <v>1.6947839999999999E-2</v>
      </c>
      <c r="G433" s="98">
        <v>0</v>
      </c>
      <c r="H433" s="98">
        <v>0</v>
      </c>
      <c r="I433" s="98">
        <v>0</v>
      </c>
      <c r="J433" s="118">
        <f t="shared" ca="1" si="124"/>
        <v>7.812500000000041E-10</v>
      </c>
      <c r="K433" s="118">
        <f t="shared" ca="1" si="125"/>
        <v>1.3240500000000068E-11</v>
      </c>
      <c r="L433" s="133">
        <f t="shared" ca="1" si="126"/>
        <v>0</v>
      </c>
      <c r="M433" s="130">
        <f t="shared" ca="1" si="127"/>
        <v>1000</v>
      </c>
      <c r="N433" s="100">
        <f t="shared" ca="1" si="128"/>
        <v>5</v>
      </c>
      <c r="O433" s="136">
        <f t="shared" ca="1" si="129"/>
        <v>3.2590583346360766</v>
      </c>
      <c r="P433" s="136">
        <f t="shared" ca="1" si="130"/>
        <v>32.590583346360766</v>
      </c>
      <c r="Q433" s="136">
        <f t="shared" ca="1" si="131"/>
        <v>32.590583346360766</v>
      </c>
      <c r="R433" s="136">
        <f t="shared" ca="1" si="132"/>
        <v>3.2590583346360766</v>
      </c>
      <c r="S433" s="136">
        <f t="shared" ca="1" si="133"/>
        <v>3.2590583346360766</v>
      </c>
      <c r="T433" s="104">
        <f t="shared" ca="1" si="134"/>
        <v>4.3151561879749198E-11</v>
      </c>
      <c r="U433" s="87">
        <f t="shared" ca="1" si="135"/>
        <v>1185.3003125517403</v>
      </c>
      <c r="V433" s="104">
        <f t="shared" ca="1" si="136"/>
        <v>1.5693968788341397E-8</v>
      </c>
      <c r="W433" s="133">
        <f t="shared" ca="1" si="137"/>
        <v>0</v>
      </c>
      <c r="X433" s="104">
        <f t="shared" ca="1" si="138"/>
        <v>0</v>
      </c>
      <c r="Y433" s="135">
        <f t="shared" ca="1" si="139"/>
        <v>0</v>
      </c>
      <c r="AE433" s="104"/>
    </row>
    <row r="434" spans="1:31" x14ac:dyDescent="0.2">
      <c r="A434" s="98">
        <v>3</v>
      </c>
      <c r="B434" s="98">
        <v>1</v>
      </c>
      <c r="C434" s="98">
        <f t="shared" si="120"/>
        <v>8</v>
      </c>
      <c r="D434" s="98">
        <f t="shared" si="121"/>
        <v>7</v>
      </c>
      <c r="E434" s="98">
        <f t="shared" si="122"/>
        <v>3</v>
      </c>
      <c r="F434" s="118">
        <f t="shared" ca="1" si="123"/>
        <v>9.5331599999999989E-3</v>
      </c>
      <c r="G434" s="98">
        <v>1</v>
      </c>
      <c r="H434" s="98">
        <v>1</v>
      </c>
      <c r="I434" s="98">
        <v>7</v>
      </c>
      <c r="J434" s="118">
        <f t="shared" ca="1" si="124"/>
        <v>0</v>
      </c>
      <c r="K434" s="118">
        <f t="shared" ca="1" si="125"/>
        <v>0</v>
      </c>
      <c r="L434" s="133">
        <f t="shared" ca="1" si="126"/>
        <v>420</v>
      </c>
      <c r="M434" s="130">
        <f t="shared" ca="1" si="127"/>
        <v>580</v>
      </c>
      <c r="N434" s="100">
        <f t="shared" ca="1" si="128"/>
        <v>3</v>
      </c>
      <c r="O434" s="136">
        <f t="shared" ca="1" si="129"/>
        <v>2.0946097612518035</v>
      </c>
      <c r="P434" s="136">
        <f t="shared" ca="1" si="130"/>
        <v>20.946097612518034</v>
      </c>
      <c r="Q434" s="136">
        <f t="shared" ca="1" si="131"/>
        <v>20.946097612518034</v>
      </c>
      <c r="R434" s="136">
        <f t="shared" ca="1" si="132"/>
        <v>2.0946097612518035</v>
      </c>
      <c r="S434" s="136">
        <f t="shared" ca="1" si="133"/>
        <v>2.0946097612518035</v>
      </c>
      <c r="T434" s="104">
        <f t="shared" ca="1" si="134"/>
        <v>0</v>
      </c>
      <c r="U434" s="87">
        <f t="shared" ca="1" si="135"/>
        <v>1194.1775349459019</v>
      </c>
      <c r="V434" s="104">
        <f t="shared" ca="1" si="136"/>
        <v>0</v>
      </c>
      <c r="W434" s="133">
        <f t="shared" ca="1" si="137"/>
        <v>19493.681670767</v>
      </c>
      <c r="X434" s="104">
        <f t="shared" ca="1" si="138"/>
        <v>0</v>
      </c>
      <c r="Y434" s="135">
        <f t="shared" ca="1" si="139"/>
        <v>0</v>
      </c>
      <c r="AE434" s="104"/>
    </row>
    <row r="435" spans="1:31" x14ac:dyDescent="0.2">
      <c r="A435" s="98">
        <v>3</v>
      </c>
      <c r="B435" s="98">
        <v>1</v>
      </c>
      <c r="C435" s="98">
        <f t="shared" si="120"/>
        <v>8</v>
      </c>
      <c r="D435" s="98">
        <f t="shared" si="121"/>
        <v>7</v>
      </c>
      <c r="E435" s="98">
        <f t="shared" si="122"/>
        <v>3</v>
      </c>
      <c r="F435" s="118">
        <f t="shared" ca="1" si="123"/>
        <v>9.5331599999999989E-3</v>
      </c>
      <c r="G435" s="98">
        <v>1</v>
      </c>
      <c r="H435" s="98">
        <v>1</v>
      </c>
      <c r="I435" s="98">
        <v>6</v>
      </c>
      <c r="J435" s="118">
        <f t="shared" ca="1" si="124"/>
        <v>0</v>
      </c>
      <c r="K435" s="118">
        <f t="shared" ca="1" si="125"/>
        <v>0</v>
      </c>
      <c r="L435" s="133">
        <f t="shared" ca="1" si="126"/>
        <v>408</v>
      </c>
      <c r="M435" s="130">
        <f t="shared" ca="1" si="127"/>
        <v>592</v>
      </c>
      <c r="N435" s="100">
        <f t="shared" ca="1" si="128"/>
        <v>3</v>
      </c>
      <c r="O435" s="136">
        <f t="shared" ca="1" si="129"/>
        <v>2.0946097612518035</v>
      </c>
      <c r="P435" s="136">
        <f t="shared" ca="1" si="130"/>
        <v>20.946097612518034</v>
      </c>
      <c r="Q435" s="136">
        <f t="shared" ca="1" si="131"/>
        <v>20.946097612518034</v>
      </c>
      <c r="R435" s="136">
        <f t="shared" ca="1" si="132"/>
        <v>2.0946097612518035</v>
      </c>
      <c r="S435" s="136">
        <f t="shared" ca="1" si="133"/>
        <v>2.0946097612518035</v>
      </c>
      <c r="T435" s="104">
        <f t="shared" ca="1" si="134"/>
        <v>0</v>
      </c>
      <c r="U435" s="87">
        <f t="shared" ca="1" si="135"/>
        <v>1182.1775349459019</v>
      </c>
      <c r="V435" s="104">
        <f t="shared" ca="1" si="136"/>
        <v>0</v>
      </c>
      <c r="W435" s="133">
        <f t="shared" ca="1" si="137"/>
        <v>17358.557719971053</v>
      </c>
      <c r="X435" s="104">
        <f t="shared" ca="1" si="138"/>
        <v>0</v>
      </c>
      <c r="Y435" s="135">
        <f t="shared" ca="1" si="139"/>
        <v>0</v>
      </c>
      <c r="AE435" s="104"/>
    </row>
    <row r="436" spans="1:31" x14ac:dyDescent="0.2">
      <c r="A436" s="98">
        <v>3</v>
      </c>
      <c r="B436" s="98">
        <v>1</v>
      </c>
      <c r="C436" s="98">
        <f t="shared" si="120"/>
        <v>8</v>
      </c>
      <c r="D436" s="98">
        <f t="shared" si="121"/>
        <v>7</v>
      </c>
      <c r="E436" s="98">
        <f t="shared" si="122"/>
        <v>3</v>
      </c>
      <c r="F436" s="118">
        <f t="shared" ca="1" si="123"/>
        <v>9.5331599999999989E-3</v>
      </c>
      <c r="G436" s="98">
        <v>1</v>
      </c>
      <c r="H436" s="98">
        <v>1</v>
      </c>
      <c r="I436" s="98">
        <v>5</v>
      </c>
      <c r="J436" s="118">
        <f t="shared" ca="1" si="124"/>
        <v>0</v>
      </c>
      <c r="K436" s="118">
        <f t="shared" ca="1" si="125"/>
        <v>0</v>
      </c>
      <c r="L436" s="133">
        <f t="shared" ca="1" si="126"/>
        <v>396</v>
      </c>
      <c r="M436" s="130">
        <f t="shared" ca="1" si="127"/>
        <v>604</v>
      </c>
      <c r="N436" s="100">
        <f t="shared" ca="1" si="128"/>
        <v>3</v>
      </c>
      <c r="O436" s="136">
        <f t="shared" ca="1" si="129"/>
        <v>2.0946097612518035</v>
      </c>
      <c r="P436" s="136">
        <f t="shared" ca="1" si="130"/>
        <v>20.946097612518034</v>
      </c>
      <c r="Q436" s="136">
        <f t="shared" ca="1" si="131"/>
        <v>20.946097612518034</v>
      </c>
      <c r="R436" s="136">
        <f t="shared" ca="1" si="132"/>
        <v>2.0946097612518035</v>
      </c>
      <c r="S436" s="136">
        <f t="shared" ca="1" si="133"/>
        <v>2.0946097612518035</v>
      </c>
      <c r="T436" s="104">
        <f t="shared" ca="1" si="134"/>
        <v>0</v>
      </c>
      <c r="U436" s="87">
        <f t="shared" ca="1" si="135"/>
        <v>1170.1775349459019</v>
      </c>
      <c r="V436" s="104">
        <f t="shared" ca="1" si="136"/>
        <v>0</v>
      </c>
      <c r="W436" s="133">
        <f t="shared" ca="1" si="137"/>
        <v>15223.433769175106</v>
      </c>
      <c r="X436" s="104">
        <f t="shared" ca="1" si="138"/>
        <v>0</v>
      </c>
      <c r="Y436" s="135">
        <f t="shared" ca="1" si="139"/>
        <v>0</v>
      </c>
      <c r="AE436" s="104"/>
    </row>
    <row r="437" spans="1:31" x14ac:dyDescent="0.2">
      <c r="A437" s="98">
        <v>3</v>
      </c>
      <c r="B437" s="98">
        <v>1</v>
      </c>
      <c r="C437" s="98">
        <f t="shared" si="120"/>
        <v>8</v>
      </c>
      <c r="D437" s="98">
        <f t="shared" si="121"/>
        <v>7</v>
      </c>
      <c r="E437" s="98">
        <f t="shared" si="122"/>
        <v>3</v>
      </c>
      <c r="F437" s="118">
        <f t="shared" ca="1" si="123"/>
        <v>9.5331599999999989E-3</v>
      </c>
      <c r="G437" s="98">
        <v>1</v>
      </c>
      <c r="H437" s="98">
        <v>1</v>
      </c>
      <c r="I437" s="98">
        <v>4</v>
      </c>
      <c r="J437" s="118">
        <f t="shared" ca="1" si="124"/>
        <v>0</v>
      </c>
      <c r="K437" s="118">
        <f t="shared" ca="1" si="125"/>
        <v>0</v>
      </c>
      <c r="L437" s="133">
        <f t="shared" ca="1" si="126"/>
        <v>384</v>
      </c>
      <c r="M437" s="130">
        <f t="shared" ca="1" si="127"/>
        <v>616</v>
      </c>
      <c r="N437" s="100">
        <f t="shared" ca="1" si="128"/>
        <v>3</v>
      </c>
      <c r="O437" s="136">
        <f t="shared" ca="1" si="129"/>
        <v>2.0946097612518035</v>
      </c>
      <c r="P437" s="136">
        <f t="shared" ca="1" si="130"/>
        <v>20.946097612518034</v>
      </c>
      <c r="Q437" s="136">
        <f t="shared" ca="1" si="131"/>
        <v>20.946097612518034</v>
      </c>
      <c r="R437" s="136">
        <f t="shared" ca="1" si="132"/>
        <v>2.0946097612518035</v>
      </c>
      <c r="S437" s="136">
        <f t="shared" ca="1" si="133"/>
        <v>2.0946097612518035</v>
      </c>
      <c r="T437" s="104">
        <f t="shared" ca="1" si="134"/>
        <v>0</v>
      </c>
      <c r="U437" s="87">
        <f t="shared" ca="1" si="135"/>
        <v>1158.1775349459019</v>
      </c>
      <c r="V437" s="104">
        <f t="shared" ca="1" si="136"/>
        <v>0</v>
      </c>
      <c r="W437" s="133">
        <f t="shared" ca="1" si="137"/>
        <v>13088.309818379159</v>
      </c>
      <c r="X437" s="104">
        <f t="shared" ca="1" si="138"/>
        <v>0</v>
      </c>
      <c r="Y437" s="135">
        <f t="shared" ca="1" si="139"/>
        <v>0</v>
      </c>
      <c r="AE437" s="104"/>
    </row>
    <row r="438" spans="1:31" x14ac:dyDescent="0.2">
      <c r="A438" s="98">
        <v>3</v>
      </c>
      <c r="B438" s="98">
        <v>1</v>
      </c>
      <c r="C438" s="98">
        <f t="shared" si="120"/>
        <v>8</v>
      </c>
      <c r="D438" s="98">
        <f t="shared" si="121"/>
        <v>7</v>
      </c>
      <c r="E438" s="98">
        <f t="shared" si="122"/>
        <v>3</v>
      </c>
      <c r="F438" s="118">
        <f t="shared" ca="1" si="123"/>
        <v>9.5331599999999989E-3</v>
      </c>
      <c r="G438" s="98">
        <v>1</v>
      </c>
      <c r="H438" s="98">
        <v>1</v>
      </c>
      <c r="I438" s="98">
        <v>3</v>
      </c>
      <c r="J438" s="118">
        <f t="shared" ca="1" si="124"/>
        <v>0</v>
      </c>
      <c r="K438" s="118">
        <f t="shared" ca="1" si="125"/>
        <v>0</v>
      </c>
      <c r="L438" s="133">
        <f t="shared" ca="1" si="126"/>
        <v>372</v>
      </c>
      <c r="M438" s="130">
        <f t="shared" ca="1" si="127"/>
        <v>628</v>
      </c>
      <c r="N438" s="100">
        <f t="shared" ca="1" si="128"/>
        <v>4</v>
      </c>
      <c r="O438" s="136">
        <f t="shared" ca="1" si="129"/>
        <v>2.6618557453501217</v>
      </c>
      <c r="P438" s="136">
        <f t="shared" ca="1" si="130"/>
        <v>24.349573517107945</v>
      </c>
      <c r="Q438" s="136">
        <f t="shared" ca="1" si="131"/>
        <v>20.946097612518034</v>
      </c>
      <c r="R438" s="136">
        <f t="shared" ca="1" si="132"/>
        <v>2.2647835564812988</v>
      </c>
      <c r="S438" s="136">
        <f t="shared" ca="1" si="133"/>
        <v>2.5308219230234101</v>
      </c>
      <c r="T438" s="104">
        <f t="shared" ca="1" si="134"/>
        <v>0</v>
      </c>
      <c r="U438" s="87">
        <f t="shared" ca="1" si="135"/>
        <v>1300.1875613842344</v>
      </c>
      <c r="V438" s="104">
        <f t="shared" ca="1" si="136"/>
        <v>0</v>
      </c>
      <c r="W438" s="133">
        <f t="shared" ca="1" si="137"/>
        <v>10953.185867583212</v>
      </c>
      <c r="X438" s="104">
        <f t="shared" ca="1" si="138"/>
        <v>0</v>
      </c>
      <c r="Y438" s="135">
        <f t="shared" ca="1" si="139"/>
        <v>0</v>
      </c>
      <c r="AE438" s="104"/>
    </row>
    <row r="439" spans="1:31" x14ac:dyDescent="0.2">
      <c r="A439" s="98">
        <v>3</v>
      </c>
      <c r="B439" s="98">
        <v>1</v>
      </c>
      <c r="C439" s="98">
        <f t="shared" si="120"/>
        <v>8</v>
      </c>
      <c r="D439" s="98">
        <f t="shared" si="121"/>
        <v>7</v>
      </c>
      <c r="E439" s="98">
        <f t="shared" si="122"/>
        <v>3</v>
      </c>
      <c r="F439" s="118">
        <f t="shared" ca="1" si="123"/>
        <v>9.5331599999999989E-3</v>
      </c>
      <c r="G439" s="98">
        <v>1</v>
      </c>
      <c r="H439" s="98">
        <v>1</v>
      </c>
      <c r="I439" s="98">
        <v>2</v>
      </c>
      <c r="J439" s="118">
        <f t="shared" ca="1" si="124"/>
        <v>0</v>
      </c>
      <c r="K439" s="118">
        <f t="shared" ca="1" si="125"/>
        <v>0</v>
      </c>
      <c r="L439" s="133">
        <f t="shared" ca="1" si="126"/>
        <v>360</v>
      </c>
      <c r="M439" s="130">
        <f t="shared" ca="1" si="127"/>
        <v>640</v>
      </c>
      <c r="N439" s="100">
        <f t="shared" ca="1" si="128"/>
        <v>4</v>
      </c>
      <c r="O439" s="136">
        <f t="shared" ca="1" si="129"/>
        <v>2.6618557453501217</v>
      </c>
      <c r="P439" s="136">
        <f t="shared" ca="1" si="130"/>
        <v>26.618557453501214</v>
      </c>
      <c r="Q439" s="136">
        <f t="shared" ca="1" si="131"/>
        <v>25.48406548530458</v>
      </c>
      <c r="R439" s="136">
        <f t="shared" ca="1" si="132"/>
        <v>2.6051311469402898</v>
      </c>
      <c r="S439" s="136">
        <f t="shared" ca="1" si="133"/>
        <v>2.6431366278748771</v>
      </c>
      <c r="T439" s="104">
        <f t="shared" ca="1" si="134"/>
        <v>0</v>
      </c>
      <c r="U439" s="87">
        <f t="shared" ca="1" si="135"/>
        <v>1327.8416384125694</v>
      </c>
      <c r="V439" s="104">
        <f t="shared" ca="1" si="136"/>
        <v>0</v>
      </c>
      <c r="W439" s="133">
        <f t="shared" ca="1" si="137"/>
        <v>8818.0619167872646</v>
      </c>
      <c r="X439" s="104">
        <f t="shared" ca="1" si="138"/>
        <v>0</v>
      </c>
      <c r="Y439" s="135">
        <f t="shared" ca="1" si="139"/>
        <v>0</v>
      </c>
      <c r="AE439" s="104"/>
    </row>
    <row r="440" spans="1:31" x14ac:dyDescent="0.2">
      <c r="A440" s="98">
        <v>3</v>
      </c>
      <c r="B440" s="98">
        <v>1</v>
      </c>
      <c r="C440" s="98">
        <f t="shared" si="120"/>
        <v>8</v>
      </c>
      <c r="D440" s="98">
        <f t="shared" si="121"/>
        <v>7</v>
      </c>
      <c r="E440" s="98">
        <f t="shared" si="122"/>
        <v>3</v>
      </c>
      <c r="F440" s="118">
        <f t="shared" ca="1" si="123"/>
        <v>9.5331599999999989E-3</v>
      </c>
      <c r="G440" s="98">
        <v>1</v>
      </c>
      <c r="H440" s="98">
        <v>1</v>
      </c>
      <c r="I440" s="98">
        <v>1</v>
      </c>
      <c r="J440" s="118">
        <f t="shared" ca="1" si="124"/>
        <v>0</v>
      </c>
      <c r="K440" s="118">
        <f t="shared" ca="1" si="125"/>
        <v>0</v>
      </c>
      <c r="L440" s="133">
        <f t="shared" ca="1" si="126"/>
        <v>348</v>
      </c>
      <c r="M440" s="130">
        <f t="shared" ca="1" si="127"/>
        <v>652</v>
      </c>
      <c r="N440" s="100">
        <f t="shared" ca="1" si="128"/>
        <v>4</v>
      </c>
      <c r="O440" s="136">
        <f t="shared" ca="1" si="129"/>
        <v>2.6618557453501217</v>
      </c>
      <c r="P440" s="136">
        <f t="shared" ca="1" si="130"/>
        <v>26.618557453501214</v>
      </c>
      <c r="Q440" s="136">
        <f t="shared" ca="1" si="131"/>
        <v>26.618557453501214</v>
      </c>
      <c r="R440" s="136">
        <f t="shared" ca="1" si="132"/>
        <v>2.6618557453501213</v>
      </c>
      <c r="S440" s="136">
        <f t="shared" ca="1" si="133"/>
        <v>2.6618557453501213</v>
      </c>
      <c r="T440" s="104">
        <f t="shared" ca="1" si="134"/>
        <v>0</v>
      </c>
      <c r="U440" s="87">
        <f t="shared" ca="1" si="135"/>
        <v>1322.4506512506252</v>
      </c>
      <c r="V440" s="104">
        <f t="shared" ca="1" si="136"/>
        <v>0</v>
      </c>
      <c r="W440" s="133">
        <f t="shared" ca="1" si="137"/>
        <v>6682.9379659913157</v>
      </c>
      <c r="X440" s="104">
        <f t="shared" ca="1" si="138"/>
        <v>0</v>
      </c>
      <c r="Y440" s="135">
        <f t="shared" ca="1" si="139"/>
        <v>0</v>
      </c>
      <c r="AE440" s="104"/>
    </row>
    <row r="441" spans="1:31" x14ac:dyDescent="0.2">
      <c r="A441" s="98">
        <v>3</v>
      </c>
      <c r="B441" s="98">
        <v>1</v>
      </c>
      <c r="C441" s="98">
        <f t="shared" si="120"/>
        <v>8</v>
      </c>
      <c r="D441" s="98">
        <f t="shared" si="121"/>
        <v>7</v>
      </c>
      <c r="E441" s="98">
        <f t="shared" si="122"/>
        <v>3</v>
      </c>
      <c r="F441" s="118">
        <f t="shared" ca="1" si="123"/>
        <v>9.5331599999999989E-3</v>
      </c>
      <c r="G441" s="98">
        <v>1</v>
      </c>
      <c r="H441" s="98">
        <v>1</v>
      </c>
      <c r="I441" s="98">
        <v>0</v>
      </c>
      <c r="J441" s="118">
        <f t="shared" ca="1" si="124"/>
        <v>0</v>
      </c>
      <c r="K441" s="118">
        <f t="shared" ca="1" si="125"/>
        <v>0</v>
      </c>
      <c r="L441" s="133">
        <f t="shared" ca="1" si="126"/>
        <v>336</v>
      </c>
      <c r="M441" s="130">
        <f t="shared" ca="1" si="127"/>
        <v>664</v>
      </c>
      <c r="N441" s="100">
        <f t="shared" ca="1" si="128"/>
        <v>4</v>
      </c>
      <c r="O441" s="136">
        <f t="shared" ca="1" si="129"/>
        <v>2.6618557453501217</v>
      </c>
      <c r="P441" s="136">
        <f t="shared" ca="1" si="130"/>
        <v>26.618557453501214</v>
      </c>
      <c r="Q441" s="136">
        <f t="shared" ca="1" si="131"/>
        <v>26.618557453501214</v>
      </c>
      <c r="R441" s="136">
        <f t="shared" ca="1" si="132"/>
        <v>2.6618557453501213</v>
      </c>
      <c r="S441" s="136">
        <f t="shared" ca="1" si="133"/>
        <v>2.6618557453501213</v>
      </c>
      <c r="T441" s="104">
        <f t="shared" ca="1" si="134"/>
        <v>0</v>
      </c>
      <c r="U441" s="87">
        <f t="shared" ca="1" si="135"/>
        <v>1310.4506512506252</v>
      </c>
      <c r="V441" s="104">
        <f t="shared" ca="1" si="136"/>
        <v>0</v>
      </c>
      <c r="W441" s="133">
        <f t="shared" ca="1" si="137"/>
        <v>4547.8140151953685</v>
      </c>
      <c r="X441" s="104">
        <f t="shared" ca="1" si="138"/>
        <v>0</v>
      </c>
      <c r="Y441" s="135">
        <f t="shared" ca="1" si="139"/>
        <v>0</v>
      </c>
      <c r="AE441" s="104"/>
    </row>
    <row r="442" spans="1:31" x14ac:dyDescent="0.2">
      <c r="A442" s="98">
        <v>3</v>
      </c>
      <c r="B442" s="98">
        <v>1</v>
      </c>
      <c r="C442" s="98">
        <f t="shared" si="120"/>
        <v>8</v>
      </c>
      <c r="D442" s="98">
        <f t="shared" si="121"/>
        <v>7</v>
      </c>
      <c r="E442" s="98">
        <f t="shared" si="122"/>
        <v>3</v>
      </c>
      <c r="F442" s="118">
        <f t="shared" ca="1" si="123"/>
        <v>9.5331599999999989E-3</v>
      </c>
      <c r="G442" s="98">
        <v>1</v>
      </c>
      <c r="H442" s="98">
        <v>0</v>
      </c>
      <c r="I442" s="98">
        <v>7</v>
      </c>
      <c r="J442" s="118">
        <f t="shared" ca="1" si="124"/>
        <v>0.66342043128906247</v>
      </c>
      <c r="K442" s="118">
        <f t="shared" ca="1" si="125"/>
        <v>6.3244931187476381E-3</v>
      </c>
      <c r="L442" s="133">
        <f t="shared" ca="1" si="126"/>
        <v>252</v>
      </c>
      <c r="M442" s="130">
        <f t="shared" ca="1" si="127"/>
        <v>748</v>
      </c>
      <c r="N442" s="100">
        <f t="shared" ca="1" si="128"/>
        <v>4</v>
      </c>
      <c r="O442" s="136">
        <f t="shared" ca="1" si="129"/>
        <v>2.6618557453501217</v>
      </c>
      <c r="P442" s="136">
        <f t="shared" ca="1" si="130"/>
        <v>26.618557453501214</v>
      </c>
      <c r="Q442" s="136">
        <f t="shared" ca="1" si="131"/>
        <v>26.618557453501214</v>
      </c>
      <c r="R442" s="136">
        <f t="shared" ca="1" si="132"/>
        <v>2.6618557453501213</v>
      </c>
      <c r="S442" s="136">
        <f t="shared" ca="1" si="133"/>
        <v>2.6618557453501213</v>
      </c>
      <c r="T442" s="104">
        <f t="shared" ca="1" si="134"/>
        <v>1.6834888344565709E-2</v>
      </c>
      <c r="U442" s="87">
        <f t="shared" ca="1" si="135"/>
        <v>1226.4506512506252</v>
      </c>
      <c r="V442" s="104">
        <f t="shared" ca="1" si="136"/>
        <v>7.7566787043181389</v>
      </c>
      <c r="W442" s="133">
        <f t="shared" ca="1" si="137"/>
        <v>17358.557719971053</v>
      </c>
      <c r="X442" s="104">
        <f t="shared" ca="1" si="138"/>
        <v>109.78407885134061</v>
      </c>
      <c r="Y442" s="135">
        <f t="shared" ca="1" si="139"/>
        <v>1.5937722659244047</v>
      </c>
      <c r="AE442" s="104"/>
    </row>
    <row r="443" spans="1:31" x14ac:dyDescent="0.2">
      <c r="A443" s="98">
        <v>3</v>
      </c>
      <c r="B443" s="98">
        <v>1</v>
      </c>
      <c r="C443" s="98">
        <f t="shared" si="120"/>
        <v>8</v>
      </c>
      <c r="D443" s="98">
        <f t="shared" si="121"/>
        <v>7</v>
      </c>
      <c r="E443" s="98">
        <f t="shared" si="122"/>
        <v>3</v>
      </c>
      <c r="F443" s="118">
        <f t="shared" ca="1" si="123"/>
        <v>9.5331599999999989E-3</v>
      </c>
      <c r="G443" s="98">
        <v>1</v>
      </c>
      <c r="H443" s="98">
        <v>0</v>
      </c>
      <c r="I443" s="98">
        <v>6</v>
      </c>
      <c r="J443" s="118">
        <f t="shared" ca="1" si="124"/>
        <v>0.24441805363281272</v>
      </c>
      <c r="K443" s="118">
        <f t="shared" ca="1" si="125"/>
        <v>2.3300764121701846E-3</v>
      </c>
      <c r="L443" s="133">
        <f t="shared" ca="1" si="126"/>
        <v>240</v>
      </c>
      <c r="M443" s="130">
        <f t="shared" ca="1" si="127"/>
        <v>760</v>
      </c>
      <c r="N443" s="100">
        <f t="shared" ca="1" si="128"/>
        <v>4</v>
      </c>
      <c r="O443" s="136">
        <f t="shared" ca="1" si="129"/>
        <v>2.6618557453501217</v>
      </c>
      <c r="P443" s="136">
        <f t="shared" ca="1" si="130"/>
        <v>26.618557453501214</v>
      </c>
      <c r="Q443" s="136">
        <f t="shared" ca="1" si="131"/>
        <v>26.618557453501214</v>
      </c>
      <c r="R443" s="136">
        <f t="shared" ca="1" si="132"/>
        <v>2.6618557453501213</v>
      </c>
      <c r="S443" s="136">
        <f t="shared" ca="1" si="133"/>
        <v>2.6618557453501213</v>
      </c>
      <c r="T443" s="104">
        <f t="shared" ca="1" si="134"/>
        <v>6.2023272848400028E-3</v>
      </c>
      <c r="U443" s="87">
        <f t="shared" ca="1" si="135"/>
        <v>1214.4506512506252</v>
      </c>
      <c r="V443" s="104">
        <f t="shared" ca="1" si="136"/>
        <v>2.8297628162238011</v>
      </c>
      <c r="W443" s="133">
        <f t="shared" ca="1" si="137"/>
        <v>15223.433769175106</v>
      </c>
      <c r="X443" s="104">
        <f t="shared" ca="1" si="138"/>
        <v>35.471763937789959</v>
      </c>
      <c r="Y443" s="135">
        <f t="shared" ca="1" si="139"/>
        <v>0.55921833892084427</v>
      </c>
      <c r="AE443" s="104"/>
    </row>
    <row r="444" spans="1:31" x14ac:dyDescent="0.2">
      <c r="A444" s="98">
        <v>3</v>
      </c>
      <c r="B444" s="98">
        <v>1</v>
      </c>
      <c r="C444" s="98">
        <f t="shared" si="120"/>
        <v>8</v>
      </c>
      <c r="D444" s="98">
        <f t="shared" si="121"/>
        <v>7</v>
      </c>
      <c r="E444" s="98">
        <f t="shared" si="122"/>
        <v>3</v>
      </c>
      <c r="F444" s="118">
        <f t="shared" ca="1" si="123"/>
        <v>9.5331599999999989E-3</v>
      </c>
      <c r="G444" s="98">
        <v>1</v>
      </c>
      <c r="H444" s="98">
        <v>0</v>
      </c>
      <c r="I444" s="98">
        <v>5</v>
      </c>
      <c r="J444" s="118">
        <f t="shared" ca="1" si="124"/>
        <v>3.8592324257812567E-2</v>
      </c>
      <c r="K444" s="118">
        <f t="shared" ca="1" si="125"/>
        <v>3.6790680192160842E-4</v>
      </c>
      <c r="L444" s="133">
        <f t="shared" ca="1" si="126"/>
        <v>228</v>
      </c>
      <c r="M444" s="130">
        <f t="shared" ca="1" si="127"/>
        <v>772</v>
      </c>
      <c r="N444" s="100">
        <f t="shared" ca="1" si="128"/>
        <v>4</v>
      </c>
      <c r="O444" s="136">
        <f t="shared" ca="1" si="129"/>
        <v>2.6618557453501217</v>
      </c>
      <c r="P444" s="136">
        <f t="shared" ca="1" si="130"/>
        <v>26.618557453501214</v>
      </c>
      <c r="Q444" s="136">
        <f t="shared" ca="1" si="131"/>
        <v>26.618557453501214</v>
      </c>
      <c r="R444" s="136">
        <f t="shared" ca="1" si="132"/>
        <v>2.6618557453501213</v>
      </c>
      <c r="S444" s="136">
        <f t="shared" ca="1" si="133"/>
        <v>2.6618557453501213</v>
      </c>
      <c r="T444" s="104">
        <f t="shared" ca="1" si="134"/>
        <v>9.7931483444842248E-4</v>
      </c>
      <c r="U444" s="87">
        <f t="shared" ca="1" si="135"/>
        <v>1202.4506512506252</v>
      </c>
      <c r="V444" s="104">
        <f t="shared" ca="1" si="136"/>
        <v>0.44238977357017284</v>
      </c>
      <c r="W444" s="133">
        <f t="shared" ca="1" si="137"/>
        <v>13088.309818379159</v>
      </c>
      <c r="X444" s="104">
        <f t="shared" ca="1" si="138"/>
        <v>4.8152782078390644</v>
      </c>
      <c r="Y444" s="135">
        <f t="shared" ca="1" si="139"/>
        <v>8.3882750838126713E-2</v>
      </c>
      <c r="AE444" s="104"/>
    </row>
    <row r="445" spans="1:31" x14ac:dyDescent="0.2">
      <c r="A445" s="98">
        <v>3</v>
      </c>
      <c r="B445" s="98">
        <v>1</v>
      </c>
      <c r="C445" s="98">
        <f t="shared" si="120"/>
        <v>8</v>
      </c>
      <c r="D445" s="98">
        <f t="shared" si="121"/>
        <v>7</v>
      </c>
      <c r="E445" s="98">
        <f t="shared" si="122"/>
        <v>3</v>
      </c>
      <c r="F445" s="118">
        <f t="shared" ca="1" si="123"/>
        <v>9.5331599999999989E-3</v>
      </c>
      <c r="G445" s="98">
        <v>1</v>
      </c>
      <c r="H445" s="98">
        <v>0</v>
      </c>
      <c r="I445" s="98">
        <v>4</v>
      </c>
      <c r="J445" s="118">
        <f t="shared" ca="1" si="124"/>
        <v>3.3852916015625085E-3</v>
      </c>
      <c r="K445" s="118">
        <f t="shared" ca="1" si="125"/>
        <v>3.2272526484351638E-5</v>
      </c>
      <c r="L445" s="133">
        <f t="shared" ca="1" si="126"/>
        <v>216</v>
      </c>
      <c r="M445" s="130">
        <f t="shared" ca="1" si="127"/>
        <v>784</v>
      </c>
      <c r="N445" s="100">
        <f t="shared" ca="1" si="128"/>
        <v>4</v>
      </c>
      <c r="O445" s="136">
        <f t="shared" ca="1" si="129"/>
        <v>2.6618557453501217</v>
      </c>
      <c r="P445" s="136">
        <f t="shared" ca="1" si="130"/>
        <v>26.618557453501214</v>
      </c>
      <c r="Q445" s="136">
        <f t="shared" ca="1" si="131"/>
        <v>26.618557453501214</v>
      </c>
      <c r="R445" s="136">
        <f t="shared" ca="1" si="132"/>
        <v>2.6618557453501213</v>
      </c>
      <c r="S445" s="136">
        <f t="shared" ca="1" si="133"/>
        <v>2.6618557453501213</v>
      </c>
      <c r="T445" s="104">
        <f t="shared" ca="1" si="134"/>
        <v>8.5904810039335355E-5</v>
      </c>
      <c r="U445" s="87">
        <f t="shared" ca="1" si="135"/>
        <v>1190.4506512506252</v>
      </c>
      <c r="V445" s="104">
        <f t="shared" ca="1" si="136"/>
        <v>3.8418850170799455E-2</v>
      </c>
      <c r="W445" s="133">
        <f t="shared" ca="1" si="137"/>
        <v>10953.185867583212</v>
      </c>
      <c r="X445" s="104">
        <f t="shared" ca="1" si="138"/>
        <v>0.35348698099960529</v>
      </c>
      <c r="Y445" s="135">
        <f t="shared" ca="1" si="139"/>
        <v>6.970865720619954E-3</v>
      </c>
      <c r="AE445" s="104"/>
    </row>
    <row r="446" spans="1:31" x14ac:dyDescent="0.2">
      <c r="A446" s="98">
        <v>3</v>
      </c>
      <c r="B446" s="98">
        <v>1</v>
      </c>
      <c r="C446" s="98">
        <f t="shared" si="120"/>
        <v>8</v>
      </c>
      <c r="D446" s="98">
        <f t="shared" si="121"/>
        <v>7</v>
      </c>
      <c r="E446" s="98">
        <f t="shared" si="122"/>
        <v>3</v>
      </c>
      <c r="F446" s="118">
        <f t="shared" ca="1" si="123"/>
        <v>9.5331599999999989E-3</v>
      </c>
      <c r="G446" s="98">
        <v>1</v>
      </c>
      <c r="H446" s="98">
        <v>0</v>
      </c>
      <c r="I446" s="98">
        <v>3</v>
      </c>
      <c r="J446" s="118">
        <f t="shared" ca="1" si="124"/>
        <v>1.7817324218750058E-4</v>
      </c>
      <c r="K446" s="118">
        <f t="shared" ca="1" si="125"/>
        <v>1.6985540254921928E-6</v>
      </c>
      <c r="L446" s="133">
        <f t="shared" ca="1" si="126"/>
        <v>204</v>
      </c>
      <c r="M446" s="130">
        <f t="shared" ca="1" si="127"/>
        <v>796</v>
      </c>
      <c r="N446" s="100">
        <f t="shared" ca="1" si="128"/>
        <v>4</v>
      </c>
      <c r="O446" s="136">
        <f t="shared" ca="1" si="129"/>
        <v>2.6618557453501217</v>
      </c>
      <c r="P446" s="136">
        <f t="shared" ca="1" si="130"/>
        <v>26.618557453501214</v>
      </c>
      <c r="Q446" s="136">
        <f t="shared" ca="1" si="131"/>
        <v>26.618557453501214</v>
      </c>
      <c r="R446" s="136">
        <f t="shared" ca="1" si="132"/>
        <v>2.6618557453501213</v>
      </c>
      <c r="S446" s="136">
        <f t="shared" ca="1" si="133"/>
        <v>2.6618557453501213</v>
      </c>
      <c r="T446" s="104">
        <f t="shared" ca="1" si="134"/>
        <v>4.5213057915439694E-6</v>
      </c>
      <c r="U446" s="87">
        <f t="shared" ca="1" si="135"/>
        <v>1178.4506512506252</v>
      </c>
      <c r="V446" s="104">
        <f t="shared" ca="1" si="136"/>
        <v>2.0016620975256455E-3</v>
      </c>
      <c r="W446" s="133">
        <f t="shared" ca="1" si="137"/>
        <v>8818.0619167872646</v>
      </c>
      <c r="X446" s="104">
        <f t="shared" ca="1" si="138"/>
        <v>1.497795456579841E-2</v>
      </c>
      <c r="Y446" s="135">
        <f t="shared" ca="1" si="139"/>
        <v>3.4650502120040731E-4</v>
      </c>
      <c r="AE446" s="104"/>
    </row>
    <row r="447" spans="1:31" x14ac:dyDescent="0.2">
      <c r="A447" s="98">
        <v>3</v>
      </c>
      <c r="B447" s="98">
        <v>1</v>
      </c>
      <c r="C447" s="98">
        <f t="shared" si="120"/>
        <v>8</v>
      </c>
      <c r="D447" s="98">
        <f t="shared" si="121"/>
        <v>7</v>
      </c>
      <c r="E447" s="98">
        <f t="shared" si="122"/>
        <v>3</v>
      </c>
      <c r="F447" s="118">
        <f t="shared" ca="1" si="123"/>
        <v>9.5331599999999989E-3</v>
      </c>
      <c r="G447" s="98">
        <v>1</v>
      </c>
      <c r="H447" s="98">
        <v>0</v>
      </c>
      <c r="I447" s="98">
        <v>2</v>
      </c>
      <c r="J447" s="118">
        <f t="shared" ca="1" si="124"/>
        <v>5.6265234375000243E-6</v>
      </c>
      <c r="K447" s="118">
        <f t="shared" ca="1" si="125"/>
        <v>5.3638548173437728E-8</v>
      </c>
      <c r="L447" s="133">
        <f t="shared" ca="1" si="126"/>
        <v>192</v>
      </c>
      <c r="M447" s="130">
        <f t="shared" ca="1" si="127"/>
        <v>808</v>
      </c>
      <c r="N447" s="100">
        <f t="shared" ca="1" si="128"/>
        <v>4</v>
      </c>
      <c r="O447" s="136">
        <f t="shared" ca="1" si="129"/>
        <v>2.6618557453501217</v>
      </c>
      <c r="P447" s="136">
        <f t="shared" ca="1" si="130"/>
        <v>26.618557453501214</v>
      </c>
      <c r="Q447" s="136">
        <f t="shared" ca="1" si="131"/>
        <v>26.618557453501214</v>
      </c>
      <c r="R447" s="136">
        <f t="shared" ca="1" si="132"/>
        <v>2.6618557453501213</v>
      </c>
      <c r="S447" s="136">
        <f t="shared" ca="1" si="133"/>
        <v>2.6618557453501213</v>
      </c>
      <c r="T447" s="104">
        <f t="shared" ca="1" si="134"/>
        <v>1.4277807762770446E-7</v>
      </c>
      <c r="U447" s="87">
        <f t="shared" ca="1" si="135"/>
        <v>1166.4506512506252</v>
      </c>
      <c r="V447" s="104">
        <f t="shared" ca="1" si="136"/>
        <v>6.2566719449044472E-5</v>
      </c>
      <c r="W447" s="133">
        <f t="shared" ca="1" si="137"/>
        <v>6682.9379659913157</v>
      </c>
      <c r="X447" s="104">
        <f t="shared" ca="1" si="138"/>
        <v>3.5846309002892111E-4</v>
      </c>
      <c r="Y447" s="135">
        <f t="shared" ca="1" si="139"/>
        <v>1.0298601249300044E-5</v>
      </c>
      <c r="AE447" s="104"/>
    </row>
    <row r="448" spans="1:31" x14ac:dyDescent="0.2">
      <c r="A448" s="98">
        <v>3</v>
      </c>
      <c r="B448" s="98">
        <v>1</v>
      </c>
      <c r="C448" s="98">
        <f t="shared" si="120"/>
        <v>8</v>
      </c>
      <c r="D448" s="98">
        <f t="shared" si="121"/>
        <v>7</v>
      </c>
      <c r="E448" s="98">
        <f t="shared" si="122"/>
        <v>3</v>
      </c>
      <c r="F448" s="118">
        <f t="shared" ca="1" si="123"/>
        <v>9.5331599999999989E-3</v>
      </c>
      <c r="G448" s="98">
        <v>1</v>
      </c>
      <c r="H448" s="98">
        <v>0</v>
      </c>
      <c r="I448" s="98">
        <v>1</v>
      </c>
      <c r="J448" s="118">
        <f t="shared" ca="1" si="124"/>
        <v>9.8710937500000504E-8</v>
      </c>
      <c r="K448" s="118">
        <f t="shared" ca="1" si="125"/>
        <v>9.4102716093750476E-10</v>
      </c>
      <c r="L448" s="133">
        <f t="shared" ca="1" si="126"/>
        <v>180</v>
      </c>
      <c r="M448" s="130">
        <f t="shared" ca="1" si="127"/>
        <v>820</v>
      </c>
      <c r="N448" s="100">
        <f t="shared" ca="1" si="128"/>
        <v>4</v>
      </c>
      <c r="O448" s="136">
        <f t="shared" ca="1" si="129"/>
        <v>2.6618557453501217</v>
      </c>
      <c r="P448" s="136">
        <f t="shared" ca="1" si="130"/>
        <v>26.618557453501214</v>
      </c>
      <c r="Q448" s="136">
        <f t="shared" ca="1" si="131"/>
        <v>26.618557453501214</v>
      </c>
      <c r="R448" s="136">
        <f t="shared" ca="1" si="132"/>
        <v>2.6618557453501213</v>
      </c>
      <c r="S448" s="136">
        <f t="shared" ca="1" si="133"/>
        <v>2.6618557453501213</v>
      </c>
      <c r="T448" s="104">
        <f t="shared" ca="1" si="134"/>
        <v>2.5048785548720104E-9</v>
      </c>
      <c r="U448" s="87">
        <f t="shared" ca="1" si="135"/>
        <v>1154.4506512506252</v>
      </c>
      <c r="V448" s="104">
        <f t="shared" ca="1" si="136"/>
        <v>1.0863694187888294E-6</v>
      </c>
      <c r="W448" s="133">
        <f t="shared" ca="1" si="137"/>
        <v>4547.8140151953685</v>
      </c>
      <c r="X448" s="104">
        <f t="shared" ca="1" si="138"/>
        <v>4.2796165111910914E-6</v>
      </c>
      <c r="Y448" s="135">
        <f t="shared" ca="1" si="139"/>
        <v>1.6938488896875086E-7</v>
      </c>
      <c r="AE448" s="104"/>
    </row>
    <row r="449" spans="1:31" x14ac:dyDescent="0.2">
      <c r="A449" s="98">
        <v>3</v>
      </c>
      <c r="B449" s="98">
        <v>1</v>
      </c>
      <c r="C449" s="98">
        <f t="shared" si="120"/>
        <v>8</v>
      </c>
      <c r="D449" s="98">
        <f t="shared" si="121"/>
        <v>7</v>
      </c>
      <c r="E449" s="98">
        <f t="shared" si="122"/>
        <v>3</v>
      </c>
      <c r="F449" s="118">
        <f t="shared" ca="1" si="123"/>
        <v>9.5331599999999989E-3</v>
      </c>
      <c r="G449" s="98">
        <v>1</v>
      </c>
      <c r="H449" s="98">
        <v>0</v>
      </c>
      <c r="I449" s="98">
        <v>0</v>
      </c>
      <c r="J449" s="118">
        <f t="shared" ca="1" si="124"/>
        <v>7.4218750000000458E-10</v>
      </c>
      <c r="K449" s="118">
        <f t="shared" ca="1" si="125"/>
        <v>7.0753921875000431E-12</v>
      </c>
      <c r="L449" s="133">
        <f t="shared" ca="1" si="126"/>
        <v>168</v>
      </c>
      <c r="M449" s="130">
        <f t="shared" ca="1" si="127"/>
        <v>832</v>
      </c>
      <c r="N449" s="100">
        <f t="shared" ca="1" si="128"/>
        <v>5</v>
      </c>
      <c r="O449" s="136">
        <f t="shared" ca="1" si="129"/>
        <v>3.2590583346360766</v>
      </c>
      <c r="P449" s="136">
        <f t="shared" ca="1" si="130"/>
        <v>28.410165221359076</v>
      </c>
      <c r="Q449" s="136">
        <f t="shared" ca="1" si="131"/>
        <v>26.618557453501214</v>
      </c>
      <c r="R449" s="136">
        <f t="shared" ca="1" si="132"/>
        <v>2.7514361337430144</v>
      </c>
      <c r="S449" s="136">
        <f t="shared" ca="1" si="133"/>
        <v>3.091543008341366</v>
      </c>
      <c r="T449" s="104">
        <f t="shared" ca="1" si="134"/>
        <v>2.1873879248538882E-11</v>
      </c>
      <c r="U449" s="87">
        <f t="shared" ca="1" si="135"/>
        <v>1294.1569825567776</v>
      </c>
      <c r="V449" s="104">
        <f t="shared" ca="1" si="136"/>
        <v>9.1566682037808546E-9</v>
      </c>
      <c r="W449" s="133">
        <f t="shared" ca="1" si="137"/>
        <v>2412.6900643994204</v>
      </c>
      <c r="X449" s="104">
        <f t="shared" ca="1" si="138"/>
        <v>1.7070728432510634E-8</v>
      </c>
      <c r="Y449" s="135">
        <f t="shared" ca="1" si="139"/>
        <v>1.1886658875000072E-9</v>
      </c>
      <c r="AE449" s="104"/>
    </row>
    <row r="450" spans="1:31" x14ac:dyDescent="0.2">
      <c r="A450" s="98">
        <v>3</v>
      </c>
      <c r="B450" s="98">
        <v>1</v>
      </c>
      <c r="C450" s="98">
        <f t="shared" si="120"/>
        <v>8</v>
      </c>
      <c r="D450" s="98">
        <f t="shared" si="121"/>
        <v>7</v>
      </c>
      <c r="E450" s="98">
        <f t="shared" si="122"/>
        <v>3</v>
      </c>
      <c r="F450" s="118">
        <f t="shared" ca="1" si="123"/>
        <v>9.5331599999999989E-3</v>
      </c>
      <c r="G450" s="98">
        <v>0</v>
      </c>
      <c r="H450" s="98">
        <v>1</v>
      </c>
      <c r="I450" s="98">
        <v>7</v>
      </c>
      <c r="J450" s="118">
        <f t="shared" ca="1" si="124"/>
        <v>0</v>
      </c>
      <c r="K450" s="118">
        <f t="shared" ca="1" si="125"/>
        <v>0</v>
      </c>
      <c r="L450" s="133">
        <f t="shared" ca="1" si="126"/>
        <v>252</v>
      </c>
      <c r="M450" s="130">
        <f t="shared" ca="1" si="127"/>
        <v>748</v>
      </c>
      <c r="N450" s="100">
        <f t="shared" ca="1" si="128"/>
        <v>4</v>
      </c>
      <c r="O450" s="136">
        <f t="shared" ca="1" si="129"/>
        <v>2.6618557453501217</v>
      </c>
      <c r="P450" s="136">
        <f t="shared" ca="1" si="130"/>
        <v>26.618557453501214</v>
      </c>
      <c r="Q450" s="136">
        <f t="shared" ca="1" si="131"/>
        <v>26.618557453501214</v>
      </c>
      <c r="R450" s="136">
        <f t="shared" ca="1" si="132"/>
        <v>2.6618557453501213</v>
      </c>
      <c r="S450" s="136">
        <f t="shared" ca="1" si="133"/>
        <v>2.6618557453501213</v>
      </c>
      <c r="T450" s="104">
        <f t="shared" ca="1" si="134"/>
        <v>0</v>
      </c>
      <c r="U450" s="87">
        <f t="shared" ca="1" si="135"/>
        <v>1226.4506512506252</v>
      </c>
      <c r="V450" s="104">
        <f t="shared" ca="1" si="136"/>
        <v>0</v>
      </c>
      <c r="W450" s="133">
        <f t="shared" ca="1" si="137"/>
        <v>17080.991606367581</v>
      </c>
      <c r="X450" s="104">
        <f t="shared" ca="1" si="138"/>
        <v>0</v>
      </c>
      <c r="Y450" s="135">
        <f t="shared" ca="1" si="139"/>
        <v>0</v>
      </c>
      <c r="AE450" s="104"/>
    </row>
    <row r="451" spans="1:31" x14ac:dyDescent="0.2">
      <c r="A451" s="98">
        <v>3</v>
      </c>
      <c r="B451" s="98">
        <v>1</v>
      </c>
      <c r="C451" s="98">
        <f t="shared" si="120"/>
        <v>8</v>
      </c>
      <c r="D451" s="98">
        <f t="shared" si="121"/>
        <v>7</v>
      </c>
      <c r="E451" s="98">
        <f t="shared" si="122"/>
        <v>3</v>
      </c>
      <c r="F451" s="118">
        <f t="shared" ca="1" si="123"/>
        <v>9.5331599999999989E-3</v>
      </c>
      <c r="G451" s="98">
        <v>0</v>
      </c>
      <c r="H451" s="98">
        <v>1</v>
      </c>
      <c r="I451" s="98">
        <v>6</v>
      </c>
      <c r="J451" s="118">
        <f t="shared" ca="1" si="124"/>
        <v>0</v>
      </c>
      <c r="K451" s="118">
        <f t="shared" ca="1" si="125"/>
        <v>0</v>
      </c>
      <c r="L451" s="133">
        <f t="shared" ca="1" si="126"/>
        <v>240</v>
      </c>
      <c r="M451" s="130">
        <f t="shared" ca="1" si="127"/>
        <v>760</v>
      </c>
      <c r="N451" s="100">
        <f t="shared" ca="1" si="128"/>
        <v>4</v>
      </c>
      <c r="O451" s="136">
        <f t="shared" ca="1" si="129"/>
        <v>2.6618557453501217</v>
      </c>
      <c r="P451" s="136">
        <f t="shared" ca="1" si="130"/>
        <v>26.618557453501214</v>
      </c>
      <c r="Q451" s="136">
        <f t="shared" ca="1" si="131"/>
        <v>26.618557453501214</v>
      </c>
      <c r="R451" s="136">
        <f t="shared" ca="1" si="132"/>
        <v>2.6618557453501213</v>
      </c>
      <c r="S451" s="136">
        <f t="shared" ca="1" si="133"/>
        <v>2.6618557453501213</v>
      </c>
      <c r="T451" s="104">
        <f t="shared" ca="1" si="134"/>
        <v>0</v>
      </c>
      <c r="U451" s="87">
        <f t="shared" ca="1" si="135"/>
        <v>1214.4506512506252</v>
      </c>
      <c r="V451" s="104">
        <f t="shared" ca="1" si="136"/>
        <v>0</v>
      </c>
      <c r="W451" s="133">
        <f t="shared" ca="1" si="137"/>
        <v>14945.867655571634</v>
      </c>
      <c r="X451" s="104">
        <f t="shared" ca="1" si="138"/>
        <v>0</v>
      </c>
      <c r="Y451" s="135">
        <f t="shared" ca="1" si="139"/>
        <v>0</v>
      </c>
      <c r="AE451" s="104"/>
    </row>
    <row r="452" spans="1:31" x14ac:dyDescent="0.2">
      <c r="A452" s="98">
        <v>3</v>
      </c>
      <c r="B452" s="98">
        <v>1</v>
      </c>
      <c r="C452" s="98">
        <f t="shared" si="120"/>
        <v>8</v>
      </c>
      <c r="D452" s="98">
        <f t="shared" si="121"/>
        <v>7</v>
      </c>
      <c r="E452" s="98">
        <f t="shared" si="122"/>
        <v>3</v>
      </c>
      <c r="F452" s="118">
        <f t="shared" ca="1" si="123"/>
        <v>9.5331599999999989E-3</v>
      </c>
      <c r="G452" s="98">
        <v>0</v>
      </c>
      <c r="H452" s="98">
        <v>1</v>
      </c>
      <c r="I452" s="98">
        <v>5</v>
      </c>
      <c r="J452" s="118">
        <f t="shared" ca="1" si="124"/>
        <v>0</v>
      </c>
      <c r="K452" s="118">
        <f t="shared" ca="1" si="125"/>
        <v>0</v>
      </c>
      <c r="L452" s="133">
        <f t="shared" ca="1" si="126"/>
        <v>228</v>
      </c>
      <c r="M452" s="130">
        <f t="shared" ca="1" si="127"/>
        <v>772</v>
      </c>
      <c r="N452" s="100">
        <f t="shared" ca="1" si="128"/>
        <v>4</v>
      </c>
      <c r="O452" s="136">
        <f t="shared" ca="1" si="129"/>
        <v>2.6618557453501217</v>
      </c>
      <c r="P452" s="136">
        <f t="shared" ca="1" si="130"/>
        <v>26.618557453501214</v>
      </c>
      <c r="Q452" s="136">
        <f t="shared" ca="1" si="131"/>
        <v>26.618557453501214</v>
      </c>
      <c r="R452" s="136">
        <f t="shared" ca="1" si="132"/>
        <v>2.6618557453501213</v>
      </c>
      <c r="S452" s="136">
        <f t="shared" ca="1" si="133"/>
        <v>2.6618557453501213</v>
      </c>
      <c r="T452" s="104">
        <f t="shared" ca="1" si="134"/>
        <v>0</v>
      </c>
      <c r="U452" s="87">
        <f t="shared" ca="1" si="135"/>
        <v>1202.4506512506252</v>
      </c>
      <c r="V452" s="104">
        <f t="shared" ca="1" si="136"/>
        <v>0</v>
      </c>
      <c r="W452" s="133">
        <f t="shared" ca="1" si="137"/>
        <v>12810.743704775685</v>
      </c>
      <c r="X452" s="104">
        <f t="shared" ca="1" si="138"/>
        <v>0</v>
      </c>
      <c r="Y452" s="135">
        <f t="shared" ca="1" si="139"/>
        <v>0</v>
      </c>
      <c r="AE452" s="104"/>
    </row>
    <row r="453" spans="1:31" x14ac:dyDescent="0.2">
      <c r="A453" s="98">
        <v>3</v>
      </c>
      <c r="B453" s="98">
        <v>1</v>
      </c>
      <c r="C453" s="98">
        <f t="shared" si="120"/>
        <v>8</v>
      </c>
      <c r="D453" s="98">
        <f t="shared" si="121"/>
        <v>7</v>
      </c>
      <c r="E453" s="98">
        <f t="shared" si="122"/>
        <v>3</v>
      </c>
      <c r="F453" s="118">
        <f t="shared" ca="1" si="123"/>
        <v>9.5331599999999989E-3</v>
      </c>
      <c r="G453" s="98">
        <v>0</v>
      </c>
      <c r="H453" s="98">
        <v>1</v>
      </c>
      <c r="I453" s="98">
        <v>4</v>
      </c>
      <c r="J453" s="118">
        <f t="shared" ca="1" si="124"/>
        <v>0</v>
      </c>
      <c r="K453" s="118">
        <f t="shared" ca="1" si="125"/>
        <v>0</v>
      </c>
      <c r="L453" s="133">
        <f t="shared" ca="1" si="126"/>
        <v>216</v>
      </c>
      <c r="M453" s="130">
        <f t="shared" ca="1" si="127"/>
        <v>784</v>
      </c>
      <c r="N453" s="100">
        <f t="shared" ca="1" si="128"/>
        <v>4</v>
      </c>
      <c r="O453" s="136">
        <f t="shared" ca="1" si="129"/>
        <v>2.6618557453501217</v>
      </c>
      <c r="P453" s="136">
        <f t="shared" ca="1" si="130"/>
        <v>26.618557453501214</v>
      </c>
      <c r="Q453" s="136">
        <f t="shared" ca="1" si="131"/>
        <v>26.618557453501214</v>
      </c>
      <c r="R453" s="136">
        <f t="shared" ca="1" si="132"/>
        <v>2.6618557453501213</v>
      </c>
      <c r="S453" s="136">
        <f t="shared" ca="1" si="133"/>
        <v>2.6618557453501213</v>
      </c>
      <c r="T453" s="104">
        <f t="shared" ca="1" si="134"/>
        <v>0</v>
      </c>
      <c r="U453" s="87">
        <f t="shared" ca="1" si="135"/>
        <v>1190.4506512506252</v>
      </c>
      <c r="V453" s="104">
        <f t="shared" ca="1" si="136"/>
        <v>0</v>
      </c>
      <c r="W453" s="133">
        <f t="shared" ca="1" si="137"/>
        <v>10675.619753979738</v>
      </c>
      <c r="X453" s="104">
        <f t="shared" ca="1" si="138"/>
        <v>0</v>
      </c>
      <c r="Y453" s="135">
        <f t="shared" ca="1" si="139"/>
        <v>0</v>
      </c>
      <c r="AE453" s="104"/>
    </row>
    <row r="454" spans="1:31" x14ac:dyDescent="0.2">
      <c r="A454" s="98">
        <v>3</v>
      </c>
      <c r="B454" s="98">
        <v>1</v>
      </c>
      <c r="C454" s="98">
        <f t="shared" si="120"/>
        <v>8</v>
      </c>
      <c r="D454" s="98">
        <f t="shared" si="121"/>
        <v>7</v>
      </c>
      <c r="E454" s="98">
        <f t="shared" si="122"/>
        <v>3</v>
      </c>
      <c r="F454" s="118">
        <f t="shared" ca="1" si="123"/>
        <v>9.5331599999999989E-3</v>
      </c>
      <c r="G454" s="98">
        <v>0</v>
      </c>
      <c r="H454" s="98">
        <v>1</v>
      </c>
      <c r="I454" s="98">
        <v>3</v>
      </c>
      <c r="J454" s="118">
        <f t="shared" ca="1" si="124"/>
        <v>0</v>
      </c>
      <c r="K454" s="118">
        <f t="shared" ca="1" si="125"/>
        <v>0</v>
      </c>
      <c r="L454" s="133">
        <f t="shared" ca="1" si="126"/>
        <v>204</v>
      </c>
      <c r="M454" s="130">
        <f t="shared" ca="1" si="127"/>
        <v>796</v>
      </c>
      <c r="N454" s="100">
        <f t="shared" ca="1" si="128"/>
        <v>4</v>
      </c>
      <c r="O454" s="136">
        <f t="shared" ca="1" si="129"/>
        <v>2.6618557453501217</v>
      </c>
      <c r="P454" s="136">
        <f t="shared" ca="1" si="130"/>
        <v>26.618557453501214</v>
      </c>
      <c r="Q454" s="136">
        <f t="shared" ca="1" si="131"/>
        <v>26.618557453501214</v>
      </c>
      <c r="R454" s="136">
        <f t="shared" ca="1" si="132"/>
        <v>2.6618557453501213</v>
      </c>
      <c r="S454" s="136">
        <f t="shared" ca="1" si="133"/>
        <v>2.6618557453501213</v>
      </c>
      <c r="T454" s="104">
        <f t="shared" ca="1" si="134"/>
        <v>0</v>
      </c>
      <c r="U454" s="87">
        <f t="shared" ca="1" si="135"/>
        <v>1178.4506512506252</v>
      </c>
      <c r="V454" s="104">
        <f t="shared" ca="1" si="136"/>
        <v>0</v>
      </c>
      <c r="W454" s="133">
        <f t="shared" ca="1" si="137"/>
        <v>8540.4958031837905</v>
      </c>
      <c r="X454" s="104">
        <f t="shared" ca="1" si="138"/>
        <v>0</v>
      </c>
      <c r="Y454" s="135">
        <f t="shared" ca="1" si="139"/>
        <v>0</v>
      </c>
      <c r="AE454" s="104"/>
    </row>
    <row r="455" spans="1:31" x14ac:dyDescent="0.2">
      <c r="A455" s="98">
        <v>3</v>
      </c>
      <c r="B455" s="98">
        <v>1</v>
      </c>
      <c r="C455" s="98">
        <f t="shared" si="120"/>
        <v>8</v>
      </c>
      <c r="D455" s="98">
        <f t="shared" si="121"/>
        <v>7</v>
      </c>
      <c r="E455" s="98">
        <f t="shared" si="122"/>
        <v>3</v>
      </c>
      <c r="F455" s="118">
        <f t="shared" ca="1" si="123"/>
        <v>9.5331599999999989E-3</v>
      </c>
      <c r="G455" s="98">
        <v>0</v>
      </c>
      <c r="H455" s="98">
        <v>1</v>
      </c>
      <c r="I455" s="98">
        <v>2</v>
      </c>
      <c r="J455" s="118">
        <f t="shared" ca="1" si="124"/>
        <v>0</v>
      </c>
      <c r="K455" s="118">
        <f t="shared" ca="1" si="125"/>
        <v>0</v>
      </c>
      <c r="L455" s="133">
        <f t="shared" ca="1" si="126"/>
        <v>192</v>
      </c>
      <c r="M455" s="130">
        <f t="shared" ca="1" si="127"/>
        <v>808</v>
      </c>
      <c r="N455" s="100">
        <f t="shared" ca="1" si="128"/>
        <v>4</v>
      </c>
      <c r="O455" s="136">
        <f t="shared" ca="1" si="129"/>
        <v>2.6618557453501217</v>
      </c>
      <c r="P455" s="136">
        <f t="shared" ca="1" si="130"/>
        <v>26.618557453501214</v>
      </c>
      <c r="Q455" s="136">
        <f t="shared" ca="1" si="131"/>
        <v>26.618557453501214</v>
      </c>
      <c r="R455" s="136">
        <f t="shared" ca="1" si="132"/>
        <v>2.6618557453501213</v>
      </c>
      <c r="S455" s="136">
        <f t="shared" ca="1" si="133"/>
        <v>2.6618557453501213</v>
      </c>
      <c r="T455" s="104">
        <f t="shared" ca="1" si="134"/>
        <v>0</v>
      </c>
      <c r="U455" s="87">
        <f t="shared" ca="1" si="135"/>
        <v>1166.4506512506252</v>
      </c>
      <c r="V455" s="104">
        <f t="shared" ca="1" si="136"/>
        <v>0</v>
      </c>
      <c r="W455" s="133">
        <f t="shared" ca="1" si="137"/>
        <v>6405.3718523878433</v>
      </c>
      <c r="X455" s="104">
        <f t="shared" ca="1" si="138"/>
        <v>0</v>
      </c>
      <c r="Y455" s="135">
        <f t="shared" ca="1" si="139"/>
        <v>0</v>
      </c>
      <c r="AE455" s="104"/>
    </row>
    <row r="456" spans="1:31" x14ac:dyDescent="0.2">
      <c r="A456" s="98">
        <v>3</v>
      </c>
      <c r="B456" s="98">
        <v>1</v>
      </c>
      <c r="C456" s="98">
        <f t="shared" si="120"/>
        <v>8</v>
      </c>
      <c r="D456" s="98">
        <f t="shared" si="121"/>
        <v>7</v>
      </c>
      <c r="E456" s="98">
        <f t="shared" si="122"/>
        <v>3</v>
      </c>
      <c r="F456" s="118">
        <f t="shared" ca="1" si="123"/>
        <v>9.5331599999999989E-3</v>
      </c>
      <c r="G456" s="98">
        <v>0</v>
      </c>
      <c r="H456" s="98">
        <v>1</v>
      </c>
      <c r="I456" s="98">
        <v>1</v>
      </c>
      <c r="J456" s="118">
        <f t="shared" ca="1" si="124"/>
        <v>0</v>
      </c>
      <c r="K456" s="118">
        <f t="shared" ca="1" si="125"/>
        <v>0</v>
      </c>
      <c r="L456" s="133">
        <f t="shared" ca="1" si="126"/>
        <v>180</v>
      </c>
      <c r="M456" s="130">
        <f t="shared" ca="1" si="127"/>
        <v>820</v>
      </c>
      <c r="N456" s="100">
        <f t="shared" ca="1" si="128"/>
        <v>4</v>
      </c>
      <c r="O456" s="136">
        <f t="shared" ca="1" si="129"/>
        <v>2.6618557453501217</v>
      </c>
      <c r="P456" s="136">
        <f t="shared" ca="1" si="130"/>
        <v>26.618557453501214</v>
      </c>
      <c r="Q456" s="136">
        <f t="shared" ca="1" si="131"/>
        <v>26.618557453501214</v>
      </c>
      <c r="R456" s="136">
        <f t="shared" ca="1" si="132"/>
        <v>2.6618557453501213</v>
      </c>
      <c r="S456" s="136">
        <f t="shared" ca="1" si="133"/>
        <v>2.6618557453501213</v>
      </c>
      <c r="T456" s="104">
        <f t="shared" ca="1" si="134"/>
        <v>0</v>
      </c>
      <c r="U456" s="87">
        <f t="shared" ca="1" si="135"/>
        <v>1154.4506512506252</v>
      </c>
      <c r="V456" s="104">
        <f t="shared" ca="1" si="136"/>
        <v>0</v>
      </c>
      <c r="W456" s="133">
        <f t="shared" ca="1" si="137"/>
        <v>4270.2479015918952</v>
      </c>
      <c r="X456" s="104">
        <f t="shared" ca="1" si="138"/>
        <v>0</v>
      </c>
      <c r="Y456" s="135">
        <f t="shared" ca="1" si="139"/>
        <v>0</v>
      </c>
      <c r="AE456" s="104"/>
    </row>
    <row r="457" spans="1:31" x14ac:dyDescent="0.2">
      <c r="A457" s="98">
        <v>3</v>
      </c>
      <c r="B457" s="98">
        <v>1</v>
      </c>
      <c r="C457" s="98">
        <f t="shared" si="120"/>
        <v>8</v>
      </c>
      <c r="D457" s="98">
        <f t="shared" si="121"/>
        <v>7</v>
      </c>
      <c r="E457" s="98">
        <f t="shared" si="122"/>
        <v>3</v>
      </c>
      <c r="F457" s="118">
        <f t="shared" ca="1" si="123"/>
        <v>9.5331599999999989E-3</v>
      </c>
      <c r="G457" s="98">
        <v>0</v>
      </c>
      <c r="H457" s="98">
        <v>1</v>
      </c>
      <c r="I457" s="98">
        <v>0</v>
      </c>
      <c r="J457" s="118">
        <f t="shared" ca="1" si="124"/>
        <v>0</v>
      </c>
      <c r="K457" s="118">
        <f t="shared" ca="1" si="125"/>
        <v>0</v>
      </c>
      <c r="L457" s="133">
        <f t="shared" ca="1" si="126"/>
        <v>168</v>
      </c>
      <c r="M457" s="130">
        <f t="shared" ca="1" si="127"/>
        <v>832</v>
      </c>
      <c r="N457" s="100">
        <f t="shared" ca="1" si="128"/>
        <v>5</v>
      </c>
      <c r="O457" s="136">
        <f t="shared" ca="1" si="129"/>
        <v>3.2590583346360766</v>
      </c>
      <c r="P457" s="136">
        <f t="shared" ca="1" si="130"/>
        <v>28.410165221359076</v>
      </c>
      <c r="Q457" s="136">
        <f t="shared" ca="1" si="131"/>
        <v>26.618557453501214</v>
      </c>
      <c r="R457" s="136">
        <f t="shared" ca="1" si="132"/>
        <v>2.7514361337430144</v>
      </c>
      <c r="S457" s="136">
        <f t="shared" ca="1" si="133"/>
        <v>3.091543008341366</v>
      </c>
      <c r="T457" s="104">
        <f t="shared" ca="1" si="134"/>
        <v>0</v>
      </c>
      <c r="U457" s="87">
        <f t="shared" ca="1" si="135"/>
        <v>1294.1569825567776</v>
      </c>
      <c r="V457" s="104">
        <f t="shared" ca="1" si="136"/>
        <v>0</v>
      </c>
      <c r="W457" s="133">
        <f t="shared" ca="1" si="137"/>
        <v>2135.1239507959476</v>
      </c>
      <c r="X457" s="104">
        <f t="shared" ca="1" si="138"/>
        <v>0</v>
      </c>
      <c r="Y457" s="135">
        <f t="shared" ca="1" si="139"/>
        <v>0</v>
      </c>
      <c r="AE457" s="104"/>
    </row>
    <row r="458" spans="1:31" x14ac:dyDescent="0.2">
      <c r="A458" s="98">
        <v>3</v>
      </c>
      <c r="B458" s="98">
        <v>1</v>
      </c>
      <c r="C458" s="98">
        <f t="shared" si="120"/>
        <v>8</v>
      </c>
      <c r="D458" s="98">
        <f t="shared" si="121"/>
        <v>7</v>
      </c>
      <c r="E458" s="98">
        <f t="shared" si="122"/>
        <v>3</v>
      </c>
      <c r="F458" s="118">
        <f t="shared" ca="1" si="123"/>
        <v>9.5331599999999989E-3</v>
      </c>
      <c r="G458" s="98">
        <v>0</v>
      </c>
      <c r="H458" s="98">
        <v>0</v>
      </c>
      <c r="I458" s="98">
        <v>7</v>
      </c>
      <c r="J458" s="118">
        <f t="shared" ca="1" si="124"/>
        <v>3.4916864804687496E-2</v>
      </c>
      <c r="K458" s="118">
        <f t="shared" ca="1" si="125"/>
        <v>3.3286805888145462E-4</v>
      </c>
      <c r="L458" s="133">
        <f t="shared" ca="1" si="126"/>
        <v>84</v>
      </c>
      <c r="M458" s="130">
        <f t="shared" ca="1" si="127"/>
        <v>916</v>
      </c>
      <c r="N458" s="100">
        <f t="shared" ca="1" si="128"/>
        <v>5</v>
      </c>
      <c r="O458" s="136">
        <f t="shared" ca="1" si="129"/>
        <v>3.2590583346360766</v>
      </c>
      <c r="P458" s="136">
        <f t="shared" ca="1" si="130"/>
        <v>32.590583346360766</v>
      </c>
      <c r="Q458" s="136">
        <f t="shared" ca="1" si="131"/>
        <v>32.590583346360766</v>
      </c>
      <c r="R458" s="136">
        <f t="shared" ca="1" si="132"/>
        <v>3.2590583346360766</v>
      </c>
      <c r="S458" s="136">
        <f t="shared" ca="1" si="133"/>
        <v>3.2590583346360766</v>
      </c>
      <c r="T458" s="104">
        <f t="shared" ca="1" si="134"/>
        <v>1.0848364216317369E-3</v>
      </c>
      <c r="U458" s="87">
        <f t="shared" ca="1" si="135"/>
        <v>1269.3003125517403</v>
      </c>
      <c r="V458" s="104">
        <f t="shared" ca="1" si="136"/>
        <v>0.42250953117672141</v>
      </c>
      <c r="W458" s="133">
        <f t="shared" ca="1" si="137"/>
        <v>14945.867655571634</v>
      </c>
      <c r="X458" s="104">
        <f t="shared" ca="1" si="138"/>
        <v>4.9750019548092466</v>
      </c>
      <c r="Y458" s="135">
        <f t="shared" ca="1" si="139"/>
        <v>2.7960916946042188E-2</v>
      </c>
      <c r="AE458" s="104"/>
    </row>
    <row r="459" spans="1:31" x14ac:dyDescent="0.2">
      <c r="A459" s="98">
        <v>3</v>
      </c>
      <c r="B459" s="98">
        <v>1</v>
      </c>
      <c r="C459" s="98">
        <f t="shared" si="120"/>
        <v>8</v>
      </c>
      <c r="D459" s="98">
        <f t="shared" si="121"/>
        <v>7</v>
      </c>
      <c r="E459" s="98">
        <f t="shared" si="122"/>
        <v>3</v>
      </c>
      <c r="F459" s="118">
        <f t="shared" ca="1" si="123"/>
        <v>9.5331599999999989E-3</v>
      </c>
      <c r="G459" s="98">
        <v>0</v>
      </c>
      <c r="H459" s="98">
        <v>0</v>
      </c>
      <c r="I459" s="98">
        <v>6</v>
      </c>
      <c r="J459" s="118">
        <f t="shared" ca="1" si="124"/>
        <v>1.2864108085937513E-2</v>
      </c>
      <c r="K459" s="118">
        <f t="shared" ca="1" si="125"/>
        <v>1.2263560064053604E-4</v>
      </c>
      <c r="L459" s="133">
        <f t="shared" ca="1" si="126"/>
        <v>72</v>
      </c>
      <c r="M459" s="130">
        <f t="shared" ca="1" si="127"/>
        <v>928</v>
      </c>
      <c r="N459" s="100">
        <f t="shared" ca="1" si="128"/>
        <v>5</v>
      </c>
      <c r="O459" s="136">
        <f t="shared" ca="1" si="129"/>
        <v>3.2590583346360766</v>
      </c>
      <c r="P459" s="136">
        <f t="shared" ca="1" si="130"/>
        <v>32.590583346360766</v>
      </c>
      <c r="Q459" s="136">
        <f t="shared" ca="1" si="131"/>
        <v>32.590583346360766</v>
      </c>
      <c r="R459" s="136">
        <f t="shared" ca="1" si="132"/>
        <v>3.2590583346360766</v>
      </c>
      <c r="S459" s="136">
        <f t="shared" ca="1" si="133"/>
        <v>3.2590583346360766</v>
      </c>
      <c r="T459" s="104">
        <f t="shared" ca="1" si="134"/>
        <v>3.9967657639064036E-4</v>
      </c>
      <c r="U459" s="87">
        <f t="shared" ca="1" si="135"/>
        <v>1257.3003125517403</v>
      </c>
      <c r="V459" s="104">
        <f t="shared" ca="1" si="136"/>
        <v>0.15418977901531636</v>
      </c>
      <c r="W459" s="133">
        <f t="shared" ca="1" si="137"/>
        <v>12810.743704775687</v>
      </c>
      <c r="X459" s="104">
        <f t="shared" ca="1" si="138"/>
        <v>1.5710532488871323</v>
      </c>
      <c r="Y459" s="135">
        <f t="shared" ca="1" si="139"/>
        <v>8.8297632461185951E-3</v>
      </c>
      <c r="AE459" s="104"/>
    </row>
    <row r="460" spans="1:31" x14ac:dyDescent="0.2">
      <c r="A460" s="98">
        <v>3</v>
      </c>
      <c r="B460" s="98">
        <v>1</v>
      </c>
      <c r="C460" s="98">
        <f t="shared" si="120"/>
        <v>8</v>
      </c>
      <c r="D460" s="98">
        <f t="shared" si="121"/>
        <v>7</v>
      </c>
      <c r="E460" s="98">
        <f t="shared" si="122"/>
        <v>3</v>
      </c>
      <c r="F460" s="118">
        <f t="shared" ca="1" si="123"/>
        <v>9.5331599999999989E-3</v>
      </c>
      <c r="G460" s="98">
        <v>0</v>
      </c>
      <c r="H460" s="98">
        <v>0</v>
      </c>
      <c r="I460" s="98">
        <v>5</v>
      </c>
      <c r="J460" s="118">
        <f t="shared" ca="1" si="124"/>
        <v>2.0311749609375038E-3</v>
      </c>
      <c r="K460" s="118">
        <f t="shared" ca="1" si="125"/>
        <v>1.9363515890610973E-5</v>
      </c>
      <c r="L460" s="133">
        <f t="shared" ca="1" si="126"/>
        <v>60</v>
      </c>
      <c r="M460" s="130">
        <f t="shared" ca="1" si="127"/>
        <v>940</v>
      </c>
      <c r="N460" s="100">
        <f t="shared" ca="1" si="128"/>
        <v>5</v>
      </c>
      <c r="O460" s="136">
        <f t="shared" ca="1" si="129"/>
        <v>3.2590583346360766</v>
      </c>
      <c r="P460" s="136">
        <f t="shared" ca="1" si="130"/>
        <v>32.590583346360766</v>
      </c>
      <c r="Q460" s="136">
        <f t="shared" ca="1" si="131"/>
        <v>32.590583346360766</v>
      </c>
      <c r="R460" s="136">
        <f t="shared" ca="1" si="132"/>
        <v>3.2590583346360766</v>
      </c>
      <c r="S460" s="136">
        <f t="shared" ca="1" si="133"/>
        <v>3.2590583346360766</v>
      </c>
      <c r="T460" s="104">
        <f t="shared" ca="1" si="134"/>
        <v>6.3106827851153801E-5</v>
      </c>
      <c r="U460" s="87">
        <f t="shared" ca="1" si="135"/>
        <v>1245.3003125517403</v>
      </c>
      <c r="V460" s="104">
        <f t="shared" ca="1" si="136"/>
        <v>2.4113392390678435E-2</v>
      </c>
      <c r="W460" s="133">
        <f t="shared" ca="1" si="137"/>
        <v>10675.619753979738</v>
      </c>
      <c r="X460" s="104">
        <f t="shared" ca="1" si="138"/>
        <v>0.20671753274830706</v>
      </c>
      <c r="Y460" s="135">
        <f t="shared" ca="1" si="139"/>
        <v>1.1618109534366583E-3</v>
      </c>
      <c r="AE460" s="104"/>
    </row>
    <row r="461" spans="1:31" x14ac:dyDescent="0.2">
      <c r="A461" s="98">
        <v>3</v>
      </c>
      <c r="B461" s="98">
        <v>1</v>
      </c>
      <c r="C461" s="98">
        <f t="shared" si="120"/>
        <v>8</v>
      </c>
      <c r="D461" s="98">
        <f t="shared" si="121"/>
        <v>7</v>
      </c>
      <c r="E461" s="98">
        <f t="shared" si="122"/>
        <v>3</v>
      </c>
      <c r="F461" s="118">
        <f t="shared" ca="1" si="123"/>
        <v>9.5331599999999989E-3</v>
      </c>
      <c r="G461" s="98">
        <v>0</v>
      </c>
      <c r="H461" s="98">
        <v>0</v>
      </c>
      <c r="I461" s="98">
        <v>4</v>
      </c>
      <c r="J461" s="118">
        <f t="shared" ca="1" si="124"/>
        <v>1.7817324218750047E-4</v>
      </c>
      <c r="K461" s="118">
        <f t="shared" ca="1" si="125"/>
        <v>1.6985540254921917E-6</v>
      </c>
      <c r="L461" s="133">
        <f t="shared" ca="1" si="126"/>
        <v>48</v>
      </c>
      <c r="M461" s="130">
        <f t="shared" ca="1" si="127"/>
        <v>952</v>
      </c>
      <c r="N461" s="100">
        <f t="shared" ca="1" si="128"/>
        <v>5</v>
      </c>
      <c r="O461" s="136">
        <f t="shared" ca="1" si="129"/>
        <v>3.2590583346360766</v>
      </c>
      <c r="P461" s="136">
        <f t="shared" ca="1" si="130"/>
        <v>32.590583346360766</v>
      </c>
      <c r="Q461" s="136">
        <f t="shared" ca="1" si="131"/>
        <v>32.590583346360766</v>
      </c>
      <c r="R461" s="136">
        <f t="shared" ca="1" si="132"/>
        <v>3.2590583346360766</v>
      </c>
      <c r="S461" s="136">
        <f t="shared" ca="1" si="133"/>
        <v>3.2590583346360766</v>
      </c>
      <c r="T461" s="104">
        <f t="shared" ca="1" si="134"/>
        <v>5.5356866536099865E-6</v>
      </c>
      <c r="U461" s="87">
        <f t="shared" ca="1" si="135"/>
        <v>1233.3003125517403</v>
      </c>
      <c r="V461" s="104">
        <f t="shared" ca="1" si="136"/>
        <v>2.0948272105255367E-3</v>
      </c>
      <c r="W461" s="133">
        <f t="shared" ca="1" si="137"/>
        <v>8540.4958031837905</v>
      </c>
      <c r="X461" s="104">
        <f t="shared" ca="1" si="138"/>
        <v>1.4506493526196996E-2</v>
      </c>
      <c r="Y461" s="135">
        <f t="shared" ca="1" si="139"/>
        <v>8.1530593223625198E-5</v>
      </c>
      <c r="AE461" s="104"/>
    </row>
    <row r="462" spans="1:31" x14ac:dyDescent="0.2">
      <c r="A462" s="98">
        <v>3</v>
      </c>
      <c r="B462" s="98">
        <v>1</v>
      </c>
      <c r="C462" s="98">
        <f t="shared" si="120"/>
        <v>8</v>
      </c>
      <c r="D462" s="98">
        <f t="shared" si="121"/>
        <v>7</v>
      </c>
      <c r="E462" s="98">
        <f t="shared" si="122"/>
        <v>3</v>
      </c>
      <c r="F462" s="118">
        <f t="shared" ca="1" si="123"/>
        <v>9.5331599999999989E-3</v>
      </c>
      <c r="G462" s="98">
        <v>0</v>
      </c>
      <c r="H462" s="98">
        <v>0</v>
      </c>
      <c r="I462" s="98">
        <v>3</v>
      </c>
      <c r="J462" s="118">
        <f t="shared" ca="1" si="124"/>
        <v>9.3775390625000315E-6</v>
      </c>
      <c r="K462" s="118">
        <f t="shared" ca="1" si="125"/>
        <v>8.9397580289062794E-8</v>
      </c>
      <c r="L462" s="133">
        <f t="shared" ca="1" si="126"/>
        <v>36</v>
      </c>
      <c r="M462" s="130">
        <f t="shared" ca="1" si="127"/>
        <v>964</v>
      </c>
      <c r="N462" s="100">
        <f t="shared" ca="1" si="128"/>
        <v>5</v>
      </c>
      <c r="O462" s="136">
        <f t="shared" ca="1" si="129"/>
        <v>3.2590583346360766</v>
      </c>
      <c r="P462" s="136">
        <f t="shared" ca="1" si="130"/>
        <v>32.590583346360766</v>
      </c>
      <c r="Q462" s="136">
        <f t="shared" ca="1" si="131"/>
        <v>32.590583346360766</v>
      </c>
      <c r="R462" s="136">
        <f t="shared" ca="1" si="132"/>
        <v>3.2590583346360766</v>
      </c>
      <c r="S462" s="136">
        <f t="shared" ca="1" si="133"/>
        <v>3.2590583346360766</v>
      </c>
      <c r="T462" s="104">
        <f t="shared" ca="1" si="134"/>
        <v>2.9135192913736792E-7</v>
      </c>
      <c r="U462" s="87">
        <f t="shared" ca="1" si="135"/>
        <v>1221.3003125517403</v>
      </c>
      <c r="V462" s="104">
        <f t="shared" ca="1" si="136"/>
        <v>1.0918129274840169E-4</v>
      </c>
      <c r="W462" s="133">
        <f t="shared" ca="1" si="137"/>
        <v>6405.3718523878433</v>
      </c>
      <c r="X462" s="104">
        <f t="shared" ca="1" si="138"/>
        <v>5.7262474445514508E-4</v>
      </c>
      <c r="Y462" s="135">
        <f t="shared" ca="1" si="139"/>
        <v>3.2183128904062604E-6</v>
      </c>
      <c r="AE462" s="104"/>
    </row>
    <row r="463" spans="1:31" x14ac:dyDescent="0.2">
      <c r="A463" s="98">
        <v>3</v>
      </c>
      <c r="B463" s="98">
        <v>1</v>
      </c>
      <c r="C463" s="98">
        <f t="shared" si="120"/>
        <v>8</v>
      </c>
      <c r="D463" s="98">
        <f t="shared" si="121"/>
        <v>7</v>
      </c>
      <c r="E463" s="98">
        <f t="shared" si="122"/>
        <v>3</v>
      </c>
      <c r="F463" s="118">
        <f t="shared" ca="1" si="123"/>
        <v>9.5331599999999989E-3</v>
      </c>
      <c r="G463" s="98">
        <v>0</v>
      </c>
      <c r="H463" s="98">
        <v>0</v>
      </c>
      <c r="I463" s="98">
        <v>2</v>
      </c>
      <c r="J463" s="118">
        <f t="shared" ca="1" si="124"/>
        <v>2.961328125000013E-7</v>
      </c>
      <c r="K463" s="118">
        <f t="shared" ca="1" si="125"/>
        <v>2.8230814828125122E-9</v>
      </c>
      <c r="L463" s="133">
        <f t="shared" ca="1" si="126"/>
        <v>24</v>
      </c>
      <c r="M463" s="130">
        <f t="shared" ca="1" si="127"/>
        <v>976</v>
      </c>
      <c r="N463" s="100">
        <f t="shared" ca="1" si="128"/>
        <v>5</v>
      </c>
      <c r="O463" s="136">
        <f t="shared" ca="1" si="129"/>
        <v>3.2590583346360766</v>
      </c>
      <c r="P463" s="136">
        <f t="shared" ca="1" si="130"/>
        <v>32.590583346360766</v>
      </c>
      <c r="Q463" s="136">
        <f t="shared" ca="1" si="131"/>
        <v>32.590583346360766</v>
      </c>
      <c r="R463" s="136">
        <f t="shared" ca="1" si="132"/>
        <v>3.2590583346360766</v>
      </c>
      <c r="S463" s="136">
        <f t="shared" ca="1" si="133"/>
        <v>3.2590583346360766</v>
      </c>
      <c r="T463" s="104">
        <f t="shared" ca="1" si="134"/>
        <v>9.2005872359168918E-9</v>
      </c>
      <c r="U463" s="87">
        <f t="shared" ca="1" si="135"/>
        <v>1209.3003125517403</v>
      </c>
      <c r="V463" s="104">
        <f t="shared" ca="1" si="136"/>
        <v>3.4139533195242012E-6</v>
      </c>
      <c r="W463" s="133">
        <f t="shared" ca="1" si="137"/>
        <v>4270.2479015918952</v>
      </c>
      <c r="X463" s="104">
        <f t="shared" ca="1" si="138"/>
        <v>1.2055257778003066E-5</v>
      </c>
      <c r="Y463" s="135">
        <f t="shared" ca="1" si="139"/>
        <v>6.7753955587500287E-8</v>
      </c>
      <c r="AE463" s="104"/>
    </row>
    <row r="464" spans="1:31" x14ac:dyDescent="0.2">
      <c r="A464" s="98">
        <v>3</v>
      </c>
      <c r="B464" s="98">
        <v>1</v>
      </c>
      <c r="C464" s="98">
        <f t="shared" si="120"/>
        <v>8</v>
      </c>
      <c r="D464" s="98">
        <f t="shared" si="121"/>
        <v>7</v>
      </c>
      <c r="E464" s="98">
        <f t="shared" si="122"/>
        <v>3</v>
      </c>
      <c r="F464" s="118">
        <f t="shared" ca="1" si="123"/>
        <v>9.5331599999999989E-3</v>
      </c>
      <c r="G464" s="98">
        <v>0</v>
      </c>
      <c r="H464" s="98">
        <v>0</v>
      </c>
      <c r="I464" s="98">
        <v>1</v>
      </c>
      <c r="J464" s="118">
        <f t="shared" ca="1" si="124"/>
        <v>5.1953125000000272E-9</v>
      </c>
      <c r="K464" s="118">
        <f t="shared" ca="1" si="125"/>
        <v>4.9527745312500253E-11</v>
      </c>
      <c r="L464" s="133">
        <f t="shared" ca="1" si="126"/>
        <v>12</v>
      </c>
      <c r="M464" s="130">
        <f t="shared" ca="1" si="127"/>
        <v>988</v>
      </c>
      <c r="N464" s="100">
        <f t="shared" ca="1" si="128"/>
        <v>5</v>
      </c>
      <c r="O464" s="136">
        <f t="shared" ca="1" si="129"/>
        <v>3.2590583346360766</v>
      </c>
      <c r="P464" s="136">
        <f t="shared" ca="1" si="130"/>
        <v>32.590583346360766</v>
      </c>
      <c r="Q464" s="136">
        <f t="shared" ca="1" si="131"/>
        <v>32.590583346360766</v>
      </c>
      <c r="R464" s="136">
        <f t="shared" ca="1" si="132"/>
        <v>3.2590583346360766</v>
      </c>
      <c r="S464" s="136">
        <f t="shared" ca="1" si="133"/>
        <v>3.2590583346360766</v>
      </c>
      <c r="T464" s="104">
        <f t="shared" ca="1" si="134"/>
        <v>1.6141381115643683E-10</v>
      </c>
      <c r="U464" s="87">
        <f t="shared" ca="1" si="135"/>
        <v>1197.3003125517403</v>
      </c>
      <c r="V464" s="104">
        <f t="shared" ca="1" si="136"/>
        <v>5.9299584942639543E-8</v>
      </c>
      <c r="W464" s="133">
        <f t="shared" ca="1" si="137"/>
        <v>2135.1239507959476</v>
      </c>
      <c r="X464" s="104">
        <f t="shared" ca="1" si="138"/>
        <v>1.0574787524564102E-7</v>
      </c>
      <c r="Y464" s="135">
        <f t="shared" ca="1" si="139"/>
        <v>5.9433294375000306E-10</v>
      </c>
      <c r="AE464" s="104"/>
    </row>
    <row r="465" spans="1:31" x14ac:dyDescent="0.2">
      <c r="A465" s="98">
        <v>3</v>
      </c>
      <c r="B465" s="98">
        <v>1</v>
      </c>
      <c r="C465" s="98">
        <f t="shared" si="120"/>
        <v>8</v>
      </c>
      <c r="D465" s="98">
        <f t="shared" si="121"/>
        <v>7</v>
      </c>
      <c r="E465" s="98">
        <f t="shared" si="122"/>
        <v>3</v>
      </c>
      <c r="F465" s="118">
        <f t="shared" ca="1" si="123"/>
        <v>9.5331599999999989E-3</v>
      </c>
      <c r="G465" s="98">
        <v>0</v>
      </c>
      <c r="H465" s="98">
        <v>0</v>
      </c>
      <c r="I465" s="98">
        <v>0</v>
      </c>
      <c r="J465" s="118">
        <f t="shared" ca="1" si="124"/>
        <v>3.9062500000000246E-11</v>
      </c>
      <c r="K465" s="118">
        <f t="shared" ca="1" si="125"/>
        <v>3.7238906250000233E-13</v>
      </c>
      <c r="L465" s="133">
        <f t="shared" ca="1" si="126"/>
        <v>0</v>
      </c>
      <c r="M465" s="130">
        <f t="shared" ca="1" si="127"/>
        <v>1000</v>
      </c>
      <c r="N465" s="100">
        <f t="shared" ca="1" si="128"/>
        <v>5</v>
      </c>
      <c r="O465" s="136">
        <f t="shared" ca="1" si="129"/>
        <v>3.2590583346360766</v>
      </c>
      <c r="P465" s="136">
        <f t="shared" ca="1" si="130"/>
        <v>32.590583346360766</v>
      </c>
      <c r="Q465" s="136">
        <f t="shared" ca="1" si="131"/>
        <v>32.590583346360766</v>
      </c>
      <c r="R465" s="136">
        <f t="shared" ca="1" si="132"/>
        <v>3.2590583346360766</v>
      </c>
      <c r="S465" s="136">
        <f t="shared" ca="1" si="133"/>
        <v>3.2590583346360766</v>
      </c>
      <c r="T465" s="104">
        <f t="shared" ca="1" si="134"/>
        <v>1.2136376778679474E-12</v>
      </c>
      <c r="U465" s="87">
        <f t="shared" ca="1" si="135"/>
        <v>1185.3003125517403</v>
      </c>
      <c r="V465" s="104">
        <f t="shared" ca="1" si="136"/>
        <v>4.4139287217210228E-10</v>
      </c>
      <c r="W465" s="133">
        <f t="shared" ca="1" si="137"/>
        <v>0</v>
      </c>
      <c r="X465" s="104">
        <f t="shared" ca="1" si="138"/>
        <v>0</v>
      </c>
      <c r="Y465" s="135">
        <f t="shared" ca="1" si="139"/>
        <v>0</v>
      </c>
      <c r="AE465" s="104"/>
    </row>
    <row r="466" spans="1:31" x14ac:dyDescent="0.2">
      <c r="A466" s="98">
        <v>3</v>
      </c>
      <c r="B466" s="98">
        <v>2</v>
      </c>
      <c r="C466" s="98">
        <f t="shared" ref="C466:C529" si="140">MIN(8, 1+$B$10+$B$9+A466+B466)</f>
        <v>8</v>
      </c>
      <c r="D466" s="98">
        <f t="shared" ref="D466:D529" si="141">C466-(1+$B$10)</f>
        <v>7</v>
      </c>
      <c r="E466" s="98">
        <f t="shared" ref="E466:E529" si="142">MIN(A466, C466-(1+$B$10+$B$9))</f>
        <v>3</v>
      </c>
      <c r="F466" s="118">
        <f t="shared" ref="F466:F529" ca="1" si="143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2.6189999999999994E-3</v>
      </c>
      <c r="G466" s="98">
        <v>1</v>
      </c>
      <c r="H466" s="98">
        <v>1</v>
      </c>
      <c r="I466" s="98">
        <v>7</v>
      </c>
      <c r="J466" s="118">
        <f t="shared" ref="J466:J529" ca="1" si="144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18">
        <f t="shared" ref="K466:K529" ca="1" si="145">F466*J466</f>
        <v>0</v>
      </c>
      <c r="L466" s="133">
        <f t="shared" ref="L466:L529" ca="1" si="146">MAX((G466+H466)*Set1WSTP + I466*$B$6, Set1SaveTP)</f>
        <v>420</v>
      </c>
      <c r="M466" s="130">
        <f t="shared" ref="M466:M529" ca="1" si="147">MAX(Set1MinTP-(L466+Set1Regain), 0)</f>
        <v>580</v>
      </c>
      <c r="N466" s="100">
        <f t="shared" ref="N466:N529" ca="1" si="148">CEILING(M466/Set1MeleeTP, 1)</f>
        <v>3</v>
      </c>
      <c r="O466" s="136">
        <f t="shared" ref="O466:O529" ca="1" si="149">VLOOKUP(N466,AvgRoundsSet1,2)</f>
        <v>2.0946097612518035</v>
      </c>
      <c r="P466" s="136">
        <f t="shared" ref="P466:P529" ca="1" si="150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20.946097612518034</v>
      </c>
      <c r="Q466" s="136">
        <f t="shared" ref="Q466:Q529" ca="1" si="151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20.946097612518034</v>
      </c>
      <c r="R466" s="136">
        <f t="shared" ref="R466:R529" ca="1" si="152">(P466+Q466)/20</f>
        <v>2.0946097612518035</v>
      </c>
      <c r="S466" s="136">
        <f t="shared" ref="S466:S529" ca="1" si="153">R466*Set1ConserveTP + O466*(1-Set1ConserveTP)</f>
        <v>2.0946097612518035</v>
      </c>
      <c r="T466" s="104">
        <f t="shared" ref="T466:T529" ca="1" si="154">K466*S466</f>
        <v>0</v>
      </c>
      <c r="U466" s="87">
        <f t="shared" ref="U466:U529" ca="1" si="155">MIN(L466+(S466+Set1OverTP)*AvgHitsPerRound1*Set1MeleeTP + Set1Regain + 105*Set1ConserveTP, 3000)</f>
        <v>1194.1775349459019</v>
      </c>
      <c r="V466" s="104">
        <f t="shared" ref="V466:V529" ca="1" si="156">U466*K466</f>
        <v>0</v>
      </c>
      <c r="W466" s="133">
        <f t="shared" ref="W466:W529" ca="1" si="157">G466*$K$10*((1-$L$10)*$L$14 + $L$10*$M$14*$M$10)*Set1WSDmg + H466*$K$13*((1-$L$13)*$L$14 + $L$13*$M$14*$M$11) + I466*$K$11*((1-$L$11)*$L$14 + $L$11*$M$14*$M$11) + E466*$K$12*$L$12*$M$10</f>
        <v>19493.681670767</v>
      </c>
      <c r="X466" s="104">
        <f t="shared" ref="X466:X529" ca="1" si="158">K466*W466</f>
        <v>0</v>
      </c>
      <c r="Y466" s="135">
        <f t="shared" ca="1" si="139"/>
        <v>0</v>
      </c>
      <c r="AE466" s="104"/>
    </row>
    <row r="467" spans="1:31" x14ac:dyDescent="0.2">
      <c r="A467" s="98">
        <v>3</v>
      </c>
      <c r="B467" s="98">
        <v>2</v>
      </c>
      <c r="C467" s="98">
        <f t="shared" si="140"/>
        <v>8</v>
      </c>
      <c r="D467" s="98">
        <f t="shared" si="141"/>
        <v>7</v>
      </c>
      <c r="E467" s="98">
        <f t="shared" si="142"/>
        <v>3</v>
      </c>
      <c r="F467" s="118">
        <f t="shared" ca="1" si="143"/>
        <v>2.6189999999999994E-3</v>
      </c>
      <c r="G467" s="98">
        <v>1</v>
      </c>
      <c r="H467" s="98">
        <v>1</v>
      </c>
      <c r="I467" s="98">
        <v>6</v>
      </c>
      <c r="J467" s="118">
        <f t="shared" ca="1" si="144"/>
        <v>0</v>
      </c>
      <c r="K467" s="118">
        <f t="shared" ca="1" si="145"/>
        <v>0</v>
      </c>
      <c r="L467" s="133">
        <f t="shared" ca="1" si="146"/>
        <v>408</v>
      </c>
      <c r="M467" s="130">
        <f t="shared" ca="1" si="147"/>
        <v>592</v>
      </c>
      <c r="N467" s="100">
        <f t="shared" ca="1" si="148"/>
        <v>3</v>
      </c>
      <c r="O467" s="136">
        <f t="shared" ca="1" si="149"/>
        <v>2.0946097612518035</v>
      </c>
      <c r="P467" s="136">
        <f t="shared" ca="1" si="150"/>
        <v>20.946097612518034</v>
      </c>
      <c r="Q467" s="136">
        <f t="shared" ca="1" si="151"/>
        <v>20.946097612518034</v>
      </c>
      <c r="R467" s="136">
        <f t="shared" ca="1" si="152"/>
        <v>2.0946097612518035</v>
      </c>
      <c r="S467" s="136">
        <f t="shared" ca="1" si="153"/>
        <v>2.0946097612518035</v>
      </c>
      <c r="T467" s="104">
        <f t="shared" ca="1" si="154"/>
        <v>0</v>
      </c>
      <c r="U467" s="87">
        <f t="shared" ca="1" si="155"/>
        <v>1182.1775349459019</v>
      </c>
      <c r="V467" s="104">
        <f t="shared" ca="1" si="156"/>
        <v>0</v>
      </c>
      <c r="W467" s="133">
        <f t="shared" ca="1" si="157"/>
        <v>17358.557719971053</v>
      </c>
      <c r="X467" s="104">
        <f t="shared" ca="1" si="158"/>
        <v>0</v>
      </c>
      <c r="Y467" s="135">
        <f t="shared" ref="Y467:Y529" ca="1" si="159">K467*L467</f>
        <v>0</v>
      </c>
      <c r="AE467" s="104"/>
    </row>
    <row r="468" spans="1:31" x14ac:dyDescent="0.2">
      <c r="A468" s="98">
        <v>3</v>
      </c>
      <c r="B468" s="98">
        <v>2</v>
      </c>
      <c r="C468" s="98">
        <f t="shared" si="140"/>
        <v>8</v>
      </c>
      <c r="D468" s="98">
        <f t="shared" si="141"/>
        <v>7</v>
      </c>
      <c r="E468" s="98">
        <f t="shared" si="142"/>
        <v>3</v>
      </c>
      <c r="F468" s="118">
        <f t="shared" ca="1" si="143"/>
        <v>2.6189999999999994E-3</v>
      </c>
      <c r="G468" s="98">
        <v>1</v>
      </c>
      <c r="H468" s="98">
        <v>1</v>
      </c>
      <c r="I468" s="98">
        <v>5</v>
      </c>
      <c r="J468" s="118">
        <f t="shared" ca="1" si="144"/>
        <v>0</v>
      </c>
      <c r="K468" s="118">
        <f t="shared" ca="1" si="145"/>
        <v>0</v>
      </c>
      <c r="L468" s="133">
        <f t="shared" ca="1" si="146"/>
        <v>396</v>
      </c>
      <c r="M468" s="130">
        <f t="shared" ca="1" si="147"/>
        <v>604</v>
      </c>
      <c r="N468" s="100">
        <f t="shared" ca="1" si="148"/>
        <v>3</v>
      </c>
      <c r="O468" s="136">
        <f t="shared" ca="1" si="149"/>
        <v>2.0946097612518035</v>
      </c>
      <c r="P468" s="136">
        <f t="shared" ca="1" si="150"/>
        <v>20.946097612518034</v>
      </c>
      <c r="Q468" s="136">
        <f t="shared" ca="1" si="151"/>
        <v>20.946097612518034</v>
      </c>
      <c r="R468" s="136">
        <f t="shared" ca="1" si="152"/>
        <v>2.0946097612518035</v>
      </c>
      <c r="S468" s="136">
        <f t="shared" ca="1" si="153"/>
        <v>2.0946097612518035</v>
      </c>
      <c r="T468" s="104">
        <f t="shared" ca="1" si="154"/>
        <v>0</v>
      </c>
      <c r="U468" s="87">
        <f t="shared" ca="1" si="155"/>
        <v>1170.1775349459019</v>
      </c>
      <c r="V468" s="104">
        <f t="shared" ca="1" si="156"/>
        <v>0</v>
      </c>
      <c r="W468" s="133">
        <f t="shared" ca="1" si="157"/>
        <v>15223.433769175106</v>
      </c>
      <c r="X468" s="104">
        <f t="shared" ca="1" si="158"/>
        <v>0</v>
      </c>
      <c r="Y468" s="135">
        <f t="shared" ca="1" si="159"/>
        <v>0</v>
      </c>
      <c r="AE468" s="104"/>
    </row>
    <row r="469" spans="1:31" x14ac:dyDescent="0.2">
      <c r="A469" s="98">
        <v>3</v>
      </c>
      <c r="B469" s="98">
        <v>2</v>
      </c>
      <c r="C469" s="98">
        <f t="shared" si="140"/>
        <v>8</v>
      </c>
      <c r="D469" s="98">
        <f t="shared" si="141"/>
        <v>7</v>
      </c>
      <c r="E469" s="98">
        <f t="shared" si="142"/>
        <v>3</v>
      </c>
      <c r="F469" s="118">
        <f t="shared" ca="1" si="143"/>
        <v>2.6189999999999994E-3</v>
      </c>
      <c r="G469" s="98">
        <v>1</v>
      </c>
      <c r="H469" s="98">
        <v>1</v>
      </c>
      <c r="I469" s="98">
        <v>4</v>
      </c>
      <c r="J469" s="118">
        <f t="shared" ca="1" si="144"/>
        <v>0</v>
      </c>
      <c r="K469" s="118">
        <f t="shared" ca="1" si="145"/>
        <v>0</v>
      </c>
      <c r="L469" s="133">
        <f t="shared" ca="1" si="146"/>
        <v>384</v>
      </c>
      <c r="M469" s="130">
        <f t="shared" ca="1" si="147"/>
        <v>616</v>
      </c>
      <c r="N469" s="100">
        <f t="shared" ca="1" si="148"/>
        <v>3</v>
      </c>
      <c r="O469" s="136">
        <f t="shared" ca="1" si="149"/>
        <v>2.0946097612518035</v>
      </c>
      <c r="P469" s="136">
        <f t="shared" ca="1" si="150"/>
        <v>20.946097612518034</v>
      </c>
      <c r="Q469" s="136">
        <f t="shared" ca="1" si="151"/>
        <v>20.946097612518034</v>
      </c>
      <c r="R469" s="136">
        <f t="shared" ca="1" si="152"/>
        <v>2.0946097612518035</v>
      </c>
      <c r="S469" s="136">
        <f t="shared" ca="1" si="153"/>
        <v>2.0946097612518035</v>
      </c>
      <c r="T469" s="104">
        <f t="shared" ca="1" si="154"/>
        <v>0</v>
      </c>
      <c r="U469" s="87">
        <f t="shared" ca="1" si="155"/>
        <v>1158.1775349459019</v>
      </c>
      <c r="V469" s="104">
        <f t="shared" ca="1" si="156"/>
        <v>0</v>
      </c>
      <c r="W469" s="133">
        <f t="shared" ca="1" si="157"/>
        <v>13088.309818379159</v>
      </c>
      <c r="X469" s="104">
        <f t="shared" ca="1" si="158"/>
        <v>0</v>
      </c>
      <c r="Y469" s="135">
        <f t="shared" ca="1" si="159"/>
        <v>0</v>
      </c>
      <c r="AE469" s="104"/>
    </row>
    <row r="470" spans="1:31" x14ac:dyDescent="0.2">
      <c r="A470" s="98">
        <v>3</v>
      </c>
      <c r="B470" s="98">
        <v>2</v>
      </c>
      <c r="C470" s="98">
        <f t="shared" si="140"/>
        <v>8</v>
      </c>
      <c r="D470" s="98">
        <f t="shared" si="141"/>
        <v>7</v>
      </c>
      <c r="E470" s="98">
        <f t="shared" si="142"/>
        <v>3</v>
      </c>
      <c r="F470" s="118">
        <f t="shared" ca="1" si="143"/>
        <v>2.6189999999999994E-3</v>
      </c>
      <c r="G470" s="98">
        <v>1</v>
      </c>
      <c r="H470" s="98">
        <v>1</v>
      </c>
      <c r="I470" s="98">
        <v>3</v>
      </c>
      <c r="J470" s="118">
        <f t="shared" ca="1" si="144"/>
        <v>0</v>
      </c>
      <c r="K470" s="118">
        <f t="shared" ca="1" si="145"/>
        <v>0</v>
      </c>
      <c r="L470" s="133">
        <f t="shared" ca="1" si="146"/>
        <v>372</v>
      </c>
      <c r="M470" s="130">
        <f t="shared" ca="1" si="147"/>
        <v>628</v>
      </c>
      <c r="N470" s="100">
        <f t="shared" ca="1" si="148"/>
        <v>4</v>
      </c>
      <c r="O470" s="136">
        <f t="shared" ca="1" si="149"/>
        <v>2.6618557453501217</v>
      </c>
      <c r="P470" s="136">
        <f t="shared" ca="1" si="150"/>
        <v>24.349573517107945</v>
      </c>
      <c r="Q470" s="136">
        <f t="shared" ca="1" si="151"/>
        <v>20.946097612518034</v>
      </c>
      <c r="R470" s="136">
        <f t="shared" ca="1" si="152"/>
        <v>2.2647835564812988</v>
      </c>
      <c r="S470" s="136">
        <f t="shared" ca="1" si="153"/>
        <v>2.5308219230234101</v>
      </c>
      <c r="T470" s="104">
        <f t="shared" ca="1" si="154"/>
        <v>0</v>
      </c>
      <c r="U470" s="87">
        <f t="shared" ca="1" si="155"/>
        <v>1300.1875613842344</v>
      </c>
      <c r="V470" s="104">
        <f t="shared" ca="1" si="156"/>
        <v>0</v>
      </c>
      <c r="W470" s="133">
        <f t="shared" ca="1" si="157"/>
        <v>10953.185867583212</v>
      </c>
      <c r="X470" s="104">
        <f t="shared" ca="1" si="158"/>
        <v>0</v>
      </c>
      <c r="Y470" s="135">
        <f t="shared" ca="1" si="159"/>
        <v>0</v>
      </c>
      <c r="AE470" s="104"/>
    </row>
    <row r="471" spans="1:31" x14ac:dyDescent="0.2">
      <c r="A471" s="98">
        <v>3</v>
      </c>
      <c r="B471" s="98">
        <v>2</v>
      </c>
      <c r="C471" s="98">
        <f t="shared" si="140"/>
        <v>8</v>
      </c>
      <c r="D471" s="98">
        <f t="shared" si="141"/>
        <v>7</v>
      </c>
      <c r="E471" s="98">
        <f t="shared" si="142"/>
        <v>3</v>
      </c>
      <c r="F471" s="118">
        <f t="shared" ca="1" si="143"/>
        <v>2.6189999999999994E-3</v>
      </c>
      <c r="G471" s="98">
        <v>1</v>
      </c>
      <c r="H471" s="98">
        <v>1</v>
      </c>
      <c r="I471" s="98">
        <v>2</v>
      </c>
      <c r="J471" s="118">
        <f t="shared" ca="1" si="144"/>
        <v>0</v>
      </c>
      <c r="K471" s="118">
        <f t="shared" ca="1" si="145"/>
        <v>0</v>
      </c>
      <c r="L471" s="133">
        <f t="shared" ca="1" si="146"/>
        <v>360</v>
      </c>
      <c r="M471" s="130">
        <f t="shared" ca="1" si="147"/>
        <v>640</v>
      </c>
      <c r="N471" s="100">
        <f t="shared" ca="1" si="148"/>
        <v>4</v>
      </c>
      <c r="O471" s="136">
        <f t="shared" ca="1" si="149"/>
        <v>2.6618557453501217</v>
      </c>
      <c r="P471" s="136">
        <f t="shared" ca="1" si="150"/>
        <v>26.618557453501214</v>
      </c>
      <c r="Q471" s="136">
        <f t="shared" ca="1" si="151"/>
        <v>25.48406548530458</v>
      </c>
      <c r="R471" s="136">
        <f t="shared" ca="1" si="152"/>
        <v>2.6051311469402898</v>
      </c>
      <c r="S471" s="136">
        <f t="shared" ca="1" si="153"/>
        <v>2.6431366278748771</v>
      </c>
      <c r="T471" s="104">
        <f t="shared" ca="1" si="154"/>
        <v>0</v>
      </c>
      <c r="U471" s="87">
        <f t="shared" ca="1" si="155"/>
        <v>1327.8416384125694</v>
      </c>
      <c r="V471" s="104">
        <f t="shared" ca="1" si="156"/>
        <v>0</v>
      </c>
      <c r="W471" s="133">
        <f t="shared" ca="1" si="157"/>
        <v>8818.0619167872646</v>
      </c>
      <c r="X471" s="104">
        <f t="shared" ca="1" si="158"/>
        <v>0</v>
      </c>
      <c r="Y471" s="135">
        <f t="shared" ca="1" si="159"/>
        <v>0</v>
      </c>
      <c r="AE471" s="104"/>
    </row>
    <row r="472" spans="1:31" x14ac:dyDescent="0.2">
      <c r="A472" s="98">
        <v>3</v>
      </c>
      <c r="B472" s="98">
        <v>2</v>
      </c>
      <c r="C472" s="98">
        <f t="shared" si="140"/>
        <v>8</v>
      </c>
      <c r="D472" s="98">
        <f t="shared" si="141"/>
        <v>7</v>
      </c>
      <c r="E472" s="98">
        <f t="shared" si="142"/>
        <v>3</v>
      </c>
      <c r="F472" s="118">
        <f t="shared" ca="1" si="143"/>
        <v>2.6189999999999994E-3</v>
      </c>
      <c r="G472" s="98">
        <v>1</v>
      </c>
      <c r="H472" s="98">
        <v>1</v>
      </c>
      <c r="I472" s="98">
        <v>1</v>
      </c>
      <c r="J472" s="118">
        <f t="shared" ca="1" si="144"/>
        <v>0</v>
      </c>
      <c r="K472" s="118">
        <f t="shared" ca="1" si="145"/>
        <v>0</v>
      </c>
      <c r="L472" s="133">
        <f t="shared" ca="1" si="146"/>
        <v>348</v>
      </c>
      <c r="M472" s="130">
        <f t="shared" ca="1" si="147"/>
        <v>652</v>
      </c>
      <c r="N472" s="100">
        <f t="shared" ca="1" si="148"/>
        <v>4</v>
      </c>
      <c r="O472" s="136">
        <f t="shared" ca="1" si="149"/>
        <v>2.6618557453501217</v>
      </c>
      <c r="P472" s="136">
        <f t="shared" ca="1" si="150"/>
        <v>26.618557453501214</v>
      </c>
      <c r="Q472" s="136">
        <f t="shared" ca="1" si="151"/>
        <v>26.618557453501214</v>
      </c>
      <c r="R472" s="136">
        <f t="shared" ca="1" si="152"/>
        <v>2.6618557453501213</v>
      </c>
      <c r="S472" s="136">
        <f t="shared" ca="1" si="153"/>
        <v>2.6618557453501213</v>
      </c>
      <c r="T472" s="104">
        <f t="shared" ca="1" si="154"/>
        <v>0</v>
      </c>
      <c r="U472" s="87">
        <f t="shared" ca="1" si="155"/>
        <v>1322.4506512506252</v>
      </c>
      <c r="V472" s="104">
        <f t="shared" ca="1" si="156"/>
        <v>0</v>
      </c>
      <c r="W472" s="133">
        <f t="shared" ca="1" si="157"/>
        <v>6682.9379659913157</v>
      </c>
      <c r="X472" s="104">
        <f t="shared" ca="1" si="158"/>
        <v>0</v>
      </c>
      <c r="Y472" s="135">
        <f t="shared" ca="1" si="159"/>
        <v>0</v>
      </c>
      <c r="AE472" s="104"/>
    </row>
    <row r="473" spans="1:31" x14ac:dyDescent="0.2">
      <c r="A473" s="98">
        <v>3</v>
      </c>
      <c r="B473" s="98">
        <v>2</v>
      </c>
      <c r="C473" s="98">
        <f t="shared" si="140"/>
        <v>8</v>
      </c>
      <c r="D473" s="98">
        <f t="shared" si="141"/>
        <v>7</v>
      </c>
      <c r="E473" s="98">
        <f t="shared" si="142"/>
        <v>3</v>
      </c>
      <c r="F473" s="118">
        <f t="shared" ca="1" si="143"/>
        <v>2.6189999999999994E-3</v>
      </c>
      <c r="G473" s="98">
        <v>1</v>
      </c>
      <c r="H473" s="98">
        <v>1</v>
      </c>
      <c r="I473" s="98">
        <v>0</v>
      </c>
      <c r="J473" s="118">
        <f t="shared" ca="1" si="144"/>
        <v>0</v>
      </c>
      <c r="K473" s="118">
        <f t="shared" ca="1" si="145"/>
        <v>0</v>
      </c>
      <c r="L473" s="133">
        <f t="shared" ca="1" si="146"/>
        <v>336</v>
      </c>
      <c r="M473" s="130">
        <f t="shared" ca="1" si="147"/>
        <v>664</v>
      </c>
      <c r="N473" s="100">
        <f t="shared" ca="1" si="148"/>
        <v>4</v>
      </c>
      <c r="O473" s="136">
        <f t="shared" ca="1" si="149"/>
        <v>2.6618557453501217</v>
      </c>
      <c r="P473" s="136">
        <f t="shared" ca="1" si="150"/>
        <v>26.618557453501214</v>
      </c>
      <c r="Q473" s="136">
        <f t="shared" ca="1" si="151"/>
        <v>26.618557453501214</v>
      </c>
      <c r="R473" s="136">
        <f t="shared" ca="1" si="152"/>
        <v>2.6618557453501213</v>
      </c>
      <c r="S473" s="136">
        <f t="shared" ca="1" si="153"/>
        <v>2.6618557453501213</v>
      </c>
      <c r="T473" s="104">
        <f t="shared" ca="1" si="154"/>
        <v>0</v>
      </c>
      <c r="U473" s="87">
        <f t="shared" ca="1" si="155"/>
        <v>1310.4506512506252</v>
      </c>
      <c r="V473" s="104">
        <f t="shared" ca="1" si="156"/>
        <v>0</v>
      </c>
      <c r="W473" s="133">
        <f t="shared" ca="1" si="157"/>
        <v>4547.8140151953685</v>
      </c>
      <c r="X473" s="104">
        <f t="shared" ca="1" si="158"/>
        <v>0</v>
      </c>
      <c r="Y473" s="135">
        <f t="shared" ca="1" si="159"/>
        <v>0</v>
      </c>
      <c r="AE473" s="104"/>
    </row>
    <row r="474" spans="1:31" x14ac:dyDescent="0.2">
      <c r="A474" s="98">
        <v>3</v>
      </c>
      <c r="B474" s="98">
        <v>2</v>
      </c>
      <c r="C474" s="98">
        <f t="shared" si="140"/>
        <v>8</v>
      </c>
      <c r="D474" s="98">
        <f t="shared" si="141"/>
        <v>7</v>
      </c>
      <c r="E474" s="98">
        <f t="shared" si="142"/>
        <v>3</v>
      </c>
      <c r="F474" s="118">
        <f t="shared" ca="1" si="143"/>
        <v>2.6189999999999994E-3</v>
      </c>
      <c r="G474" s="98">
        <v>1</v>
      </c>
      <c r="H474" s="98">
        <v>0</v>
      </c>
      <c r="I474" s="98">
        <v>7</v>
      </c>
      <c r="J474" s="118">
        <f t="shared" ca="1" si="144"/>
        <v>0.66342043128906247</v>
      </c>
      <c r="K474" s="118">
        <f t="shared" ca="1" si="145"/>
        <v>1.7374981095460542E-3</v>
      </c>
      <c r="L474" s="133">
        <f t="shared" ca="1" si="146"/>
        <v>252</v>
      </c>
      <c r="M474" s="130">
        <f t="shared" ca="1" si="147"/>
        <v>748</v>
      </c>
      <c r="N474" s="100">
        <f t="shared" ca="1" si="148"/>
        <v>4</v>
      </c>
      <c r="O474" s="136">
        <f t="shared" ca="1" si="149"/>
        <v>2.6618557453501217</v>
      </c>
      <c r="P474" s="136">
        <f t="shared" ca="1" si="150"/>
        <v>26.618557453501214</v>
      </c>
      <c r="Q474" s="136">
        <f t="shared" ca="1" si="151"/>
        <v>26.618557453501214</v>
      </c>
      <c r="R474" s="136">
        <f t="shared" ca="1" si="152"/>
        <v>2.6618557453501213</v>
      </c>
      <c r="S474" s="136">
        <f t="shared" ca="1" si="153"/>
        <v>2.6618557453501213</v>
      </c>
      <c r="T474" s="104">
        <f t="shared" ca="1" si="154"/>
        <v>4.624969325430139E-3</v>
      </c>
      <c r="U474" s="87">
        <f t="shared" ca="1" si="155"/>
        <v>1226.4506512506252</v>
      </c>
      <c r="V474" s="104">
        <f t="shared" ca="1" si="156"/>
        <v>2.1309556879994882</v>
      </c>
      <c r="W474" s="133">
        <f t="shared" ca="1" si="157"/>
        <v>17358.557719971053</v>
      </c>
      <c r="X474" s="104">
        <f t="shared" ca="1" si="158"/>
        <v>30.160461222895769</v>
      </c>
      <c r="Y474" s="135">
        <f t="shared" ca="1" si="159"/>
        <v>0.43784952360560564</v>
      </c>
      <c r="AE474" s="104"/>
    </row>
    <row r="475" spans="1:31" x14ac:dyDescent="0.2">
      <c r="A475" s="98">
        <v>3</v>
      </c>
      <c r="B475" s="98">
        <v>2</v>
      </c>
      <c r="C475" s="98">
        <f t="shared" si="140"/>
        <v>8</v>
      </c>
      <c r="D475" s="98">
        <f t="shared" si="141"/>
        <v>7</v>
      </c>
      <c r="E475" s="98">
        <f t="shared" si="142"/>
        <v>3</v>
      </c>
      <c r="F475" s="118">
        <f t="shared" ca="1" si="143"/>
        <v>2.6189999999999994E-3</v>
      </c>
      <c r="G475" s="98">
        <v>1</v>
      </c>
      <c r="H475" s="98">
        <v>0</v>
      </c>
      <c r="I475" s="98">
        <v>6</v>
      </c>
      <c r="J475" s="118">
        <f t="shared" ca="1" si="144"/>
        <v>0.24441805363281272</v>
      </c>
      <c r="K475" s="118">
        <f t="shared" ca="1" si="145"/>
        <v>6.4013088246433634E-4</v>
      </c>
      <c r="L475" s="133">
        <f t="shared" ca="1" si="146"/>
        <v>240</v>
      </c>
      <c r="M475" s="130">
        <f t="shared" ca="1" si="147"/>
        <v>760</v>
      </c>
      <c r="N475" s="100">
        <f t="shared" ca="1" si="148"/>
        <v>4</v>
      </c>
      <c r="O475" s="136">
        <f t="shared" ca="1" si="149"/>
        <v>2.6618557453501217</v>
      </c>
      <c r="P475" s="136">
        <f t="shared" ca="1" si="150"/>
        <v>26.618557453501214</v>
      </c>
      <c r="Q475" s="136">
        <f t="shared" ca="1" si="151"/>
        <v>26.618557453501214</v>
      </c>
      <c r="R475" s="136">
        <f t="shared" ca="1" si="152"/>
        <v>2.6618557453501213</v>
      </c>
      <c r="S475" s="136">
        <f t="shared" ca="1" si="153"/>
        <v>2.6618557453501213</v>
      </c>
      <c r="T475" s="104">
        <f t="shared" ca="1" si="154"/>
        <v>1.703936067263737E-3</v>
      </c>
      <c r="U475" s="87">
        <f t="shared" ca="1" si="155"/>
        <v>1214.4506512506252</v>
      </c>
      <c r="V475" s="104">
        <f t="shared" ca="1" si="156"/>
        <v>0.77740736709445069</v>
      </c>
      <c r="W475" s="133">
        <f t="shared" ca="1" si="157"/>
        <v>15223.433769175106</v>
      </c>
      <c r="X475" s="104">
        <f t="shared" ca="1" si="158"/>
        <v>9.7449900927994388</v>
      </c>
      <c r="Y475" s="135">
        <f t="shared" ca="1" si="159"/>
        <v>0.15363141179144071</v>
      </c>
      <c r="AE475" s="104"/>
    </row>
    <row r="476" spans="1:31" x14ac:dyDescent="0.2">
      <c r="A476" s="98">
        <v>3</v>
      </c>
      <c r="B476" s="98">
        <v>2</v>
      </c>
      <c r="C476" s="98">
        <f t="shared" si="140"/>
        <v>8</v>
      </c>
      <c r="D476" s="98">
        <f t="shared" si="141"/>
        <v>7</v>
      </c>
      <c r="E476" s="98">
        <f t="shared" si="142"/>
        <v>3</v>
      </c>
      <c r="F476" s="118">
        <f t="shared" ca="1" si="143"/>
        <v>2.6189999999999994E-3</v>
      </c>
      <c r="G476" s="98">
        <v>1</v>
      </c>
      <c r="H476" s="98">
        <v>0</v>
      </c>
      <c r="I476" s="98">
        <v>5</v>
      </c>
      <c r="J476" s="118">
        <f t="shared" ca="1" si="144"/>
        <v>3.8592324257812567E-2</v>
      </c>
      <c r="K476" s="118">
        <f t="shared" ca="1" si="145"/>
        <v>1.0107329723121109E-4</v>
      </c>
      <c r="L476" s="133">
        <f t="shared" ca="1" si="146"/>
        <v>228</v>
      </c>
      <c r="M476" s="130">
        <f t="shared" ca="1" si="147"/>
        <v>772</v>
      </c>
      <c r="N476" s="100">
        <f t="shared" ca="1" si="148"/>
        <v>4</v>
      </c>
      <c r="O476" s="136">
        <f t="shared" ca="1" si="149"/>
        <v>2.6618557453501217</v>
      </c>
      <c r="P476" s="136">
        <f t="shared" ca="1" si="150"/>
        <v>26.618557453501214</v>
      </c>
      <c r="Q476" s="136">
        <f t="shared" ca="1" si="151"/>
        <v>26.618557453501214</v>
      </c>
      <c r="R476" s="136">
        <f t="shared" ca="1" si="152"/>
        <v>2.6618557453501213</v>
      </c>
      <c r="S476" s="136">
        <f t="shared" ca="1" si="153"/>
        <v>2.6618557453501213</v>
      </c>
      <c r="T476" s="104">
        <f t="shared" ca="1" si="154"/>
        <v>2.6904253693637973E-4</v>
      </c>
      <c r="U476" s="87">
        <f t="shared" ca="1" si="155"/>
        <v>1202.4506512506252</v>
      </c>
      <c r="V476" s="104">
        <f t="shared" ca="1" si="156"/>
        <v>0.1215356520797178</v>
      </c>
      <c r="W476" s="133">
        <f t="shared" ca="1" si="157"/>
        <v>13088.309818379159</v>
      </c>
      <c r="X476" s="104">
        <f t="shared" ca="1" si="158"/>
        <v>1.3228786285272152</v>
      </c>
      <c r="Y476" s="135">
        <f t="shared" ca="1" si="159"/>
        <v>2.3044711768716128E-2</v>
      </c>
      <c r="AE476" s="104"/>
    </row>
    <row r="477" spans="1:31" x14ac:dyDescent="0.2">
      <c r="A477" s="98">
        <v>3</v>
      </c>
      <c r="B477" s="98">
        <v>2</v>
      </c>
      <c r="C477" s="98">
        <f t="shared" si="140"/>
        <v>8</v>
      </c>
      <c r="D477" s="98">
        <f t="shared" si="141"/>
        <v>7</v>
      </c>
      <c r="E477" s="98">
        <f t="shared" si="142"/>
        <v>3</v>
      </c>
      <c r="F477" s="118">
        <f t="shared" ca="1" si="143"/>
        <v>2.6189999999999994E-3</v>
      </c>
      <c r="G477" s="98">
        <v>1</v>
      </c>
      <c r="H477" s="98">
        <v>0</v>
      </c>
      <c r="I477" s="98">
        <v>4</v>
      </c>
      <c r="J477" s="118">
        <f t="shared" ca="1" si="144"/>
        <v>3.3852916015625085E-3</v>
      </c>
      <c r="K477" s="118">
        <f t="shared" ca="1" si="145"/>
        <v>8.8660787044922078E-6</v>
      </c>
      <c r="L477" s="133">
        <f t="shared" ca="1" si="146"/>
        <v>216</v>
      </c>
      <c r="M477" s="130">
        <f t="shared" ca="1" si="147"/>
        <v>784</v>
      </c>
      <c r="N477" s="100">
        <f t="shared" ca="1" si="148"/>
        <v>4</v>
      </c>
      <c r="O477" s="136">
        <f t="shared" ca="1" si="149"/>
        <v>2.6618557453501217</v>
      </c>
      <c r="P477" s="136">
        <f t="shared" ca="1" si="150"/>
        <v>26.618557453501214</v>
      </c>
      <c r="Q477" s="136">
        <f t="shared" ca="1" si="151"/>
        <v>26.618557453501214</v>
      </c>
      <c r="R477" s="136">
        <f t="shared" ca="1" si="152"/>
        <v>2.6618557453501213</v>
      </c>
      <c r="S477" s="136">
        <f t="shared" ca="1" si="153"/>
        <v>2.6618557453501213</v>
      </c>
      <c r="T477" s="104">
        <f t="shared" ca="1" si="154"/>
        <v>2.3600222538278943E-5</v>
      </c>
      <c r="U477" s="87">
        <f t="shared" ca="1" si="155"/>
        <v>1190.4506512506252</v>
      </c>
      <c r="V477" s="104">
        <f t="shared" ca="1" si="156"/>
        <v>1.0554629167802048E-2</v>
      </c>
      <c r="W477" s="133">
        <f t="shared" ca="1" si="157"/>
        <v>10953.185867583212</v>
      </c>
      <c r="X477" s="104">
        <f t="shared" ca="1" si="158"/>
        <v>9.7111807966924521E-2</v>
      </c>
      <c r="Y477" s="135">
        <f t="shared" ca="1" si="159"/>
        <v>1.9150730001703169E-3</v>
      </c>
      <c r="AE477" s="104"/>
    </row>
    <row r="478" spans="1:31" x14ac:dyDescent="0.2">
      <c r="A478" s="98">
        <v>3</v>
      </c>
      <c r="B478" s="98">
        <v>2</v>
      </c>
      <c r="C478" s="98">
        <f t="shared" si="140"/>
        <v>8</v>
      </c>
      <c r="D478" s="98">
        <f t="shared" si="141"/>
        <v>7</v>
      </c>
      <c r="E478" s="98">
        <f t="shared" si="142"/>
        <v>3</v>
      </c>
      <c r="F478" s="118">
        <f t="shared" ca="1" si="143"/>
        <v>2.6189999999999994E-3</v>
      </c>
      <c r="G478" s="98">
        <v>1</v>
      </c>
      <c r="H478" s="98">
        <v>0</v>
      </c>
      <c r="I478" s="98">
        <v>3</v>
      </c>
      <c r="J478" s="118">
        <f t="shared" ca="1" si="144"/>
        <v>1.7817324218750058E-4</v>
      </c>
      <c r="K478" s="118">
        <f t="shared" ca="1" si="145"/>
        <v>4.6663572128906391E-7</v>
      </c>
      <c r="L478" s="133">
        <f t="shared" ca="1" si="146"/>
        <v>204</v>
      </c>
      <c r="M478" s="130">
        <f t="shared" ca="1" si="147"/>
        <v>796</v>
      </c>
      <c r="N478" s="100">
        <f t="shared" ca="1" si="148"/>
        <v>4</v>
      </c>
      <c r="O478" s="136">
        <f t="shared" ca="1" si="149"/>
        <v>2.6618557453501217</v>
      </c>
      <c r="P478" s="136">
        <f t="shared" ca="1" si="150"/>
        <v>26.618557453501214</v>
      </c>
      <c r="Q478" s="136">
        <f t="shared" ca="1" si="151"/>
        <v>26.618557453501214</v>
      </c>
      <c r="R478" s="136">
        <f t="shared" ca="1" si="152"/>
        <v>2.6618557453501213</v>
      </c>
      <c r="S478" s="136">
        <f t="shared" ca="1" si="153"/>
        <v>2.6618557453501213</v>
      </c>
      <c r="T478" s="104">
        <f t="shared" ca="1" si="154"/>
        <v>1.2421169756988926E-6</v>
      </c>
      <c r="U478" s="87">
        <f t="shared" ca="1" si="155"/>
        <v>1178.4506512506252</v>
      </c>
      <c r="V478" s="104">
        <f t="shared" ca="1" si="156"/>
        <v>5.4990716964990261E-4</v>
      </c>
      <c r="W478" s="133">
        <f t="shared" ca="1" si="157"/>
        <v>8818.0619167872646</v>
      </c>
      <c r="X478" s="104">
        <f t="shared" ca="1" si="158"/>
        <v>4.1148226829116506E-3</v>
      </c>
      <c r="Y478" s="135">
        <f t="shared" ca="1" si="159"/>
        <v>9.5193687142969039E-5</v>
      </c>
      <c r="AE478" s="104"/>
    </row>
    <row r="479" spans="1:31" x14ac:dyDescent="0.2">
      <c r="A479" s="98">
        <v>3</v>
      </c>
      <c r="B479" s="98">
        <v>2</v>
      </c>
      <c r="C479" s="98">
        <f t="shared" si="140"/>
        <v>8</v>
      </c>
      <c r="D479" s="98">
        <f t="shared" si="141"/>
        <v>7</v>
      </c>
      <c r="E479" s="98">
        <f t="shared" si="142"/>
        <v>3</v>
      </c>
      <c r="F479" s="118">
        <f t="shared" ca="1" si="143"/>
        <v>2.6189999999999994E-3</v>
      </c>
      <c r="G479" s="98">
        <v>1</v>
      </c>
      <c r="H479" s="98">
        <v>0</v>
      </c>
      <c r="I479" s="98">
        <v>2</v>
      </c>
      <c r="J479" s="118">
        <f t="shared" ca="1" si="144"/>
        <v>5.6265234375000243E-6</v>
      </c>
      <c r="K479" s="118">
        <f t="shared" ca="1" si="145"/>
        <v>1.473586488281256E-8</v>
      </c>
      <c r="L479" s="133">
        <f t="shared" ca="1" si="146"/>
        <v>192</v>
      </c>
      <c r="M479" s="130">
        <f t="shared" ca="1" si="147"/>
        <v>808</v>
      </c>
      <c r="N479" s="100">
        <f t="shared" ca="1" si="148"/>
        <v>4</v>
      </c>
      <c r="O479" s="136">
        <f t="shared" ca="1" si="149"/>
        <v>2.6618557453501217</v>
      </c>
      <c r="P479" s="136">
        <f t="shared" ca="1" si="150"/>
        <v>26.618557453501214</v>
      </c>
      <c r="Q479" s="136">
        <f t="shared" ca="1" si="151"/>
        <v>26.618557453501214</v>
      </c>
      <c r="R479" s="136">
        <f t="shared" ca="1" si="152"/>
        <v>2.6618557453501213</v>
      </c>
      <c r="S479" s="136">
        <f t="shared" ca="1" si="153"/>
        <v>2.6618557453501213</v>
      </c>
      <c r="T479" s="104">
        <f t="shared" ca="1" si="154"/>
        <v>3.9224746601017708E-8</v>
      </c>
      <c r="U479" s="87">
        <f t="shared" ca="1" si="155"/>
        <v>1166.4506512506252</v>
      </c>
      <c r="V479" s="104">
        <f t="shared" ca="1" si="156"/>
        <v>1.718865918929793E-5</v>
      </c>
      <c r="W479" s="133">
        <f t="shared" ca="1" si="157"/>
        <v>6682.9379659913157</v>
      </c>
      <c r="X479" s="104">
        <f t="shared" ca="1" si="158"/>
        <v>9.8478870887066226E-5</v>
      </c>
      <c r="Y479" s="135">
        <f t="shared" ca="1" si="159"/>
        <v>2.8292860575000115E-6</v>
      </c>
      <c r="AE479" s="104"/>
    </row>
    <row r="480" spans="1:31" x14ac:dyDescent="0.2">
      <c r="A480" s="98">
        <v>3</v>
      </c>
      <c r="B480" s="98">
        <v>2</v>
      </c>
      <c r="C480" s="98">
        <f t="shared" si="140"/>
        <v>8</v>
      </c>
      <c r="D480" s="98">
        <f t="shared" si="141"/>
        <v>7</v>
      </c>
      <c r="E480" s="98">
        <f t="shared" si="142"/>
        <v>3</v>
      </c>
      <c r="F480" s="118">
        <f t="shared" ca="1" si="143"/>
        <v>2.6189999999999994E-3</v>
      </c>
      <c r="G480" s="98">
        <v>1</v>
      </c>
      <c r="H480" s="98">
        <v>0</v>
      </c>
      <c r="I480" s="98">
        <v>1</v>
      </c>
      <c r="J480" s="118">
        <f t="shared" ca="1" si="144"/>
        <v>9.8710937500000504E-8</v>
      </c>
      <c r="K480" s="118">
        <f t="shared" ca="1" si="145"/>
        <v>2.5852394531250123E-10</v>
      </c>
      <c r="L480" s="133">
        <f t="shared" ca="1" si="146"/>
        <v>180</v>
      </c>
      <c r="M480" s="130">
        <f t="shared" ca="1" si="147"/>
        <v>820</v>
      </c>
      <c r="N480" s="100">
        <f t="shared" ca="1" si="148"/>
        <v>4</v>
      </c>
      <c r="O480" s="136">
        <f t="shared" ca="1" si="149"/>
        <v>2.6618557453501217</v>
      </c>
      <c r="P480" s="136">
        <f t="shared" ca="1" si="150"/>
        <v>26.618557453501214</v>
      </c>
      <c r="Q480" s="136">
        <f t="shared" ca="1" si="151"/>
        <v>26.618557453501214</v>
      </c>
      <c r="R480" s="136">
        <f t="shared" ca="1" si="152"/>
        <v>2.6618557453501213</v>
      </c>
      <c r="S480" s="136">
        <f t="shared" ca="1" si="153"/>
        <v>2.6618557453501213</v>
      </c>
      <c r="T480" s="104">
        <f t="shared" ca="1" si="154"/>
        <v>6.8815344914066192E-10</v>
      </c>
      <c r="U480" s="87">
        <f t="shared" ca="1" si="155"/>
        <v>1154.4506512506252</v>
      </c>
      <c r="V480" s="104">
        <f t="shared" ca="1" si="156"/>
        <v>2.9845313702989807E-7</v>
      </c>
      <c r="W480" s="133">
        <f t="shared" ca="1" si="157"/>
        <v>4547.8140151953685</v>
      </c>
      <c r="X480" s="104">
        <f t="shared" ca="1" si="158"/>
        <v>1.1757188217557942E-6</v>
      </c>
      <c r="Y480" s="135">
        <f t="shared" ca="1" si="159"/>
        <v>4.653431015625022E-8</v>
      </c>
      <c r="AE480" s="104"/>
    </row>
    <row r="481" spans="1:31" x14ac:dyDescent="0.2">
      <c r="A481" s="98">
        <v>3</v>
      </c>
      <c r="B481" s="98">
        <v>2</v>
      </c>
      <c r="C481" s="98">
        <f t="shared" si="140"/>
        <v>8</v>
      </c>
      <c r="D481" s="98">
        <f t="shared" si="141"/>
        <v>7</v>
      </c>
      <c r="E481" s="98">
        <f t="shared" si="142"/>
        <v>3</v>
      </c>
      <c r="F481" s="118">
        <f t="shared" ca="1" si="143"/>
        <v>2.6189999999999994E-3</v>
      </c>
      <c r="G481" s="98">
        <v>1</v>
      </c>
      <c r="H481" s="98">
        <v>0</v>
      </c>
      <c r="I481" s="98">
        <v>0</v>
      </c>
      <c r="J481" s="118">
        <f t="shared" ca="1" si="144"/>
        <v>7.4218750000000458E-10</v>
      </c>
      <c r="K481" s="118">
        <f t="shared" ca="1" si="145"/>
        <v>1.9437890625000117E-12</v>
      </c>
      <c r="L481" s="133">
        <f t="shared" ca="1" si="146"/>
        <v>168</v>
      </c>
      <c r="M481" s="130">
        <f t="shared" ca="1" si="147"/>
        <v>832</v>
      </c>
      <c r="N481" s="100">
        <f t="shared" ca="1" si="148"/>
        <v>5</v>
      </c>
      <c r="O481" s="136">
        <f t="shared" ca="1" si="149"/>
        <v>3.2590583346360766</v>
      </c>
      <c r="P481" s="136">
        <f t="shared" ca="1" si="150"/>
        <v>28.410165221359076</v>
      </c>
      <c r="Q481" s="136">
        <f t="shared" ca="1" si="151"/>
        <v>26.618557453501214</v>
      </c>
      <c r="R481" s="136">
        <f t="shared" ca="1" si="152"/>
        <v>2.7514361337430144</v>
      </c>
      <c r="S481" s="136">
        <f t="shared" ca="1" si="153"/>
        <v>3.091543008341366</v>
      </c>
      <c r="T481" s="104">
        <f t="shared" ca="1" si="154"/>
        <v>6.0093074858623295E-12</v>
      </c>
      <c r="U481" s="87">
        <f t="shared" ca="1" si="155"/>
        <v>1294.1569825567776</v>
      </c>
      <c r="V481" s="104">
        <f t="shared" ca="1" si="156"/>
        <v>2.5155681878518829E-9</v>
      </c>
      <c r="W481" s="133">
        <f t="shared" ca="1" si="157"/>
        <v>2412.6900643994204</v>
      </c>
      <c r="X481" s="104">
        <f t="shared" ca="1" si="158"/>
        <v>4.6897605583820419E-9</v>
      </c>
      <c r="Y481" s="135">
        <f t="shared" ca="1" si="159"/>
        <v>3.2655656250000196E-10</v>
      </c>
      <c r="AE481" s="104"/>
    </row>
    <row r="482" spans="1:31" x14ac:dyDescent="0.2">
      <c r="A482" s="98">
        <v>3</v>
      </c>
      <c r="B482" s="98">
        <v>2</v>
      </c>
      <c r="C482" s="98">
        <f t="shared" si="140"/>
        <v>8</v>
      </c>
      <c r="D482" s="98">
        <f t="shared" si="141"/>
        <v>7</v>
      </c>
      <c r="E482" s="98">
        <f t="shared" si="142"/>
        <v>3</v>
      </c>
      <c r="F482" s="118">
        <f t="shared" ca="1" si="143"/>
        <v>2.6189999999999994E-3</v>
      </c>
      <c r="G482" s="98">
        <v>0</v>
      </c>
      <c r="H482" s="98">
        <v>1</v>
      </c>
      <c r="I482" s="98">
        <v>7</v>
      </c>
      <c r="J482" s="118">
        <f t="shared" ca="1" si="144"/>
        <v>0</v>
      </c>
      <c r="K482" s="118">
        <f t="shared" ca="1" si="145"/>
        <v>0</v>
      </c>
      <c r="L482" s="133">
        <f t="shared" ca="1" si="146"/>
        <v>252</v>
      </c>
      <c r="M482" s="130">
        <f t="shared" ca="1" si="147"/>
        <v>748</v>
      </c>
      <c r="N482" s="100">
        <f t="shared" ca="1" si="148"/>
        <v>4</v>
      </c>
      <c r="O482" s="136">
        <f t="shared" ca="1" si="149"/>
        <v>2.6618557453501217</v>
      </c>
      <c r="P482" s="136">
        <f t="shared" ca="1" si="150"/>
        <v>26.618557453501214</v>
      </c>
      <c r="Q482" s="136">
        <f t="shared" ca="1" si="151"/>
        <v>26.618557453501214</v>
      </c>
      <c r="R482" s="136">
        <f t="shared" ca="1" si="152"/>
        <v>2.6618557453501213</v>
      </c>
      <c r="S482" s="136">
        <f t="shared" ca="1" si="153"/>
        <v>2.6618557453501213</v>
      </c>
      <c r="T482" s="104">
        <f t="shared" ca="1" si="154"/>
        <v>0</v>
      </c>
      <c r="U482" s="87">
        <f t="shared" ca="1" si="155"/>
        <v>1226.4506512506252</v>
      </c>
      <c r="V482" s="104">
        <f t="shared" ca="1" si="156"/>
        <v>0</v>
      </c>
      <c r="W482" s="133">
        <f t="shared" ca="1" si="157"/>
        <v>17080.991606367581</v>
      </c>
      <c r="X482" s="104">
        <f t="shared" ca="1" si="158"/>
        <v>0</v>
      </c>
      <c r="Y482" s="135">
        <f t="shared" ca="1" si="159"/>
        <v>0</v>
      </c>
      <c r="AE482" s="104"/>
    </row>
    <row r="483" spans="1:31" x14ac:dyDescent="0.2">
      <c r="A483" s="98">
        <v>3</v>
      </c>
      <c r="B483" s="98">
        <v>2</v>
      </c>
      <c r="C483" s="98">
        <f t="shared" si="140"/>
        <v>8</v>
      </c>
      <c r="D483" s="98">
        <f t="shared" si="141"/>
        <v>7</v>
      </c>
      <c r="E483" s="98">
        <f t="shared" si="142"/>
        <v>3</v>
      </c>
      <c r="F483" s="118">
        <f t="shared" ca="1" si="143"/>
        <v>2.6189999999999994E-3</v>
      </c>
      <c r="G483" s="98">
        <v>0</v>
      </c>
      <c r="H483" s="98">
        <v>1</v>
      </c>
      <c r="I483" s="98">
        <v>6</v>
      </c>
      <c r="J483" s="118">
        <f t="shared" ca="1" si="144"/>
        <v>0</v>
      </c>
      <c r="K483" s="118">
        <f t="shared" ca="1" si="145"/>
        <v>0</v>
      </c>
      <c r="L483" s="133">
        <f t="shared" ca="1" si="146"/>
        <v>240</v>
      </c>
      <c r="M483" s="130">
        <f t="shared" ca="1" si="147"/>
        <v>760</v>
      </c>
      <c r="N483" s="100">
        <f t="shared" ca="1" si="148"/>
        <v>4</v>
      </c>
      <c r="O483" s="136">
        <f t="shared" ca="1" si="149"/>
        <v>2.6618557453501217</v>
      </c>
      <c r="P483" s="136">
        <f t="shared" ca="1" si="150"/>
        <v>26.618557453501214</v>
      </c>
      <c r="Q483" s="136">
        <f t="shared" ca="1" si="151"/>
        <v>26.618557453501214</v>
      </c>
      <c r="R483" s="136">
        <f t="shared" ca="1" si="152"/>
        <v>2.6618557453501213</v>
      </c>
      <c r="S483" s="136">
        <f t="shared" ca="1" si="153"/>
        <v>2.6618557453501213</v>
      </c>
      <c r="T483" s="104">
        <f t="shared" ca="1" si="154"/>
        <v>0</v>
      </c>
      <c r="U483" s="87">
        <f t="shared" ca="1" si="155"/>
        <v>1214.4506512506252</v>
      </c>
      <c r="V483" s="104">
        <f t="shared" ca="1" si="156"/>
        <v>0</v>
      </c>
      <c r="W483" s="133">
        <f t="shared" ca="1" si="157"/>
        <v>14945.867655571634</v>
      </c>
      <c r="X483" s="104">
        <f t="shared" ca="1" si="158"/>
        <v>0</v>
      </c>
      <c r="Y483" s="135">
        <f t="shared" ca="1" si="159"/>
        <v>0</v>
      </c>
      <c r="AE483" s="104"/>
    </row>
    <row r="484" spans="1:31" x14ac:dyDescent="0.2">
      <c r="A484" s="98">
        <v>3</v>
      </c>
      <c r="B484" s="98">
        <v>2</v>
      </c>
      <c r="C484" s="98">
        <f t="shared" si="140"/>
        <v>8</v>
      </c>
      <c r="D484" s="98">
        <f t="shared" si="141"/>
        <v>7</v>
      </c>
      <c r="E484" s="98">
        <f t="shared" si="142"/>
        <v>3</v>
      </c>
      <c r="F484" s="118">
        <f t="shared" ca="1" si="143"/>
        <v>2.6189999999999994E-3</v>
      </c>
      <c r="G484" s="98">
        <v>0</v>
      </c>
      <c r="H484" s="98">
        <v>1</v>
      </c>
      <c r="I484" s="98">
        <v>5</v>
      </c>
      <c r="J484" s="118">
        <f t="shared" ca="1" si="144"/>
        <v>0</v>
      </c>
      <c r="K484" s="118">
        <f t="shared" ca="1" si="145"/>
        <v>0</v>
      </c>
      <c r="L484" s="133">
        <f t="shared" ca="1" si="146"/>
        <v>228</v>
      </c>
      <c r="M484" s="130">
        <f t="shared" ca="1" si="147"/>
        <v>772</v>
      </c>
      <c r="N484" s="100">
        <f t="shared" ca="1" si="148"/>
        <v>4</v>
      </c>
      <c r="O484" s="136">
        <f t="shared" ca="1" si="149"/>
        <v>2.6618557453501217</v>
      </c>
      <c r="P484" s="136">
        <f t="shared" ca="1" si="150"/>
        <v>26.618557453501214</v>
      </c>
      <c r="Q484" s="136">
        <f t="shared" ca="1" si="151"/>
        <v>26.618557453501214</v>
      </c>
      <c r="R484" s="136">
        <f t="shared" ca="1" si="152"/>
        <v>2.6618557453501213</v>
      </c>
      <c r="S484" s="136">
        <f t="shared" ca="1" si="153"/>
        <v>2.6618557453501213</v>
      </c>
      <c r="T484" s="104">
        <f t="shared" ca="1" si="154"/>
        <v>0</v>
      </c>
      <c r="U484" s="87">
        <f t="shared" ca="1" si="155"/>
        <v>1202.4506512506252</v>
      </c>
      <c r="V484" s="104">
        <f t="shared" ca="1" si="156"/>
        <v>0</v>
      </c>
      <c r="W484" s="133">
        <f t="shared" ca="1" si="157"/>
        <v>12810.743704775685</v>
      </c>
      <c r="X484" s="104">
        <f t="shared" ca="1" si="158"/>
        <v>0</v>
      </c>
      <c r="Y484" s="135">
        <f t="shared" ca="1" si="159"/>
        <v>0</v>
      </c>
      <c r="AE484" s="104"/>
    </row>
    <row r="485" spans="1:31" x14ac:dyDescent="0.2">
      <c r="A485" s="98">
        <v>3</v>
      </c>
      <c r="B485" s="98">
        <v>2</v>
      </c>
      <c r="C485" s="98">
        <f t="shared" si="140"/>
        <v>8</v>
      </c>
      <c r="D485" s="98">
        <f t="shared" si="141"/>
        <v>7</v>
      </c>
      <c r="E485" s="98">
        <f t="shared" si="142"/>
        <v>3</v>
      </c>
      <c r="F485" s="118">
        <f t="shared" ca="1" si="143"/>
        <v>2.6189999999999994E-3</v>
      </c>
      <c r="G485" s="98">
        <v>0</v>
      </c>
      <c r="H485" s="98">
        <v>1</v>
      </c>
      <c r="I485" s="98">
        <v>4</v>
      </c>
      <c r="J485" s="118">
        <f t="shared" ca="1" si="144"/>
        <v>0</v>
      </c>
      <c r="K485" s="118">
        <f t="shared" ca="1" si="145"/>
        <v>0</v>
      </c>
      <c r="L485" s="133">
        <f t="shared" ca="1" si="146"/>
        <v>216</v>
      </c>
      <c r="M485" s="130">
        <f t="shared" ca="1" si="147"/>
        <v>784</v>
      </c>
      <c r="N485" s="100">
        <f t="shared" ca="1" si="148"/>
        <v>4</v>
      </c>
      <c r="O485" s="136">
        <f t="shared" ca="1" si="149"/>
        <v>2.6618557453501217</v>
      </c>
      <c r="P485" s="136">
        <f t="shared" ca="1" si="150"/>
        <v>26.618557453501214</v>
      </c>
      <c r="Q485" s="136">
        <f t="shared" ca="1" si="151"/>
        <v>26.618557453501214</v>
      </c>
      <c r="R485" s="136">
        <f t="shared" ca="1" si="152"/>
        <v>2.6618557453501213</v>
      </c>
      <c r="S485" s="136">
        <f t="shared" ca="1" si="153"/>
        <v>2.6618557453501213</v>
      </c>
      <c r="T485" s="104">
        <f t="shared" ca="1" si="154"/>
        <v>0</v>
      </c>
      <c r="U485" s="87">
        <f t="shared" ca="1" si="155"/>
        <v>1190.4506512506252</v>
      </c>
      <c r="V485" s="104">
        <f t="shared" ca="1" si="156"/>
        <v>0</v>
      </c>
      <c r="W485" s="133">
        <f t="shared" ca="1" si="157"/>
        <v>10675.619753979738</v>
      </c>
      <c r="X485" s="104">
        <f t="shared" ca="1" si="158"/>
        <v>0</v>
      </c>
      <c r="Y485" s="135">
        <f t="shared" ca="1" si="159"/>
        <v>0</v>
      </c>
      <c r="AE485" s="104"/>
    </row>
    <row r="486" spans="1:31" x14ac:dyDescent="0.2">
      <c r="A486" s="98">
        <v>3</v>
      </c>
      <c r="B486" s="98">
        <v>2</v>
      </c>
      <c r="C486" s="98">
        <f t="shared" si="140"/>
        <v>8</v>
      </c>
      <c r="D486" s="98">
        <f t="shared" si="141"/>
        <v>7</v>
      </c>
      <c r="E486" s="98">
        <f t="shared" si="142"/>
        <v>3</v>
      </c>
      <c r="F486" s="118">
        <f t="shared" ca="1" si="143"/>
        <v>2.6189999999999994E-3</v>
      </c>
      <c r="G486" s="98">
        <v>0</v>
      </c>
      <c r="H486" s="98">
        <v>1</v>
      </c>
      <c r="I486" s="98">
        <v>3</v>
      </c>
      <c r="J486" s="118">
        <f t="shared" ca="1" si="144"/>
        <v>0</v>
      </c>
      <c r="K486" s="118">
        <f t="shared" ca="1" si="145"/>
        <v>0</v>
      </c>
      <c r="L486" s="133">
        <f t="shared" ca="1" si="146"/>
        <v>204</v>
      </c>
      <c r="M486" s="130">
        <f t="shared" ca="1" si="147"/>
        <v>796</v>
      </c>
      <c r="N486" s="100">
        <f t="shared" ca="1" si="148"/>
        <v>4</v>
      </c>
      <c r="O486" s="136">
        <f t="shared" ca="1" si="149"/>
        <v>2.6618557453501217</v>
      </c>
      <c r="P486" s="136">
        <f t="shared" ca="1" si="150"/>
        <v>26.618557453501214</v>
      </c>
      <c r="Q486" s="136">
        <f t="shared" ca="1" si="151"/>
        <v>26.618557453501214</v>
      </c>
      <c r="R486" s="136">
        <f t="shared" ca="1" si="152"/>
        <v>2.6618557453501213</v>
      </c>
      <c r="S486" s="136">
        <f t="shared" ca="1" si="153"/>
        <v>2.6618557453501213</v>
      </c>
      <c r="T486" s="104">
        <f t="shared" ca="1" si="154"/>
        <v>0</v>
      </c>
      <c r="U486" s="87">
        <f t="shared" ca="1" si="155"/>
        <v>1178.4506512506252</v>
      </c>
      <c r="V486" s="104">
        <f t="shared" ca="1" si="156"/>
        <v>0</v>
      </c>
      <c r="W486" s="133">
        <f t="shared" ca="1" si="157"/>
        <v>8540.4958031837905</v>
      </c>
      <c r="X486" s="104">
        <f t="shared" ca="1" si="158"/>
        <v>0</v>
      </c>
      <c r="Y486" s="135">
        <f t="shared" ca="1" si="159"/>
        <v>0</v>
      </c>
      <c r="AE486" s="104"/>
    </row>
    <row r="487" spans="1:31" x14ac:dyDescent="0.2">
      <c r="A487" s="98">
        <v>3</v>
      </c>
      <c r="B487" s="98">
        <v>2</v>
      </c>
      <c r="C487" s="98">
        <f t="shared" si="140"/>
        <v>8</v>
      </c>
      <c r="D487" s="98">
        <f t="shared" si="141"/>
        <v>7</v>
      </c>
      <c r="E487" s="98">
        <f t="shared" si="142"/>
        <v>3</v>
      </c>
      <c r="F487" s="118">
        <f t="shared" ca="1" si="143"/>
        <v>2.6189999999999994E-3</v>
      </c>
      <c r="G487" s="98">
        <v>0</v>
      </c>
      <c r="H487" s="98">
        <v>1</v>
      </c>
      <c r="I487" s="98">
        <v>2</v>
      </c>
      <c r="J487" s="118">
        <f t="shared" ca="1" si="144"/>
        <v>0</v>
      </c>
      <c r="K487" s="118">
        <f t="shared" ca="1" si="145"/>
        <v>0</v>
      </c>
      <c r="L487" s="133">
        <f t="shared" ca="1" si="146"/>
        <v>192</v>
      </c>
      <c r="M487" s="130">
        <f t="shared" ca="1" si="147"/>
        <v>808</v>
      </c>
      <c r="N487" s="100">
        <f t="shared" ca="1" si="148"/>
        <v>4</v>
      </c>
      <c r="O487" s="136">
        <f t="shared" ca="1" si="149"/>
        <v>2.6618557453501217</v>
      </c>
      <c r="P487" s="136">
        <f t="shared" ca="1" si="150"/>
        <v>26.618557453501214</v>
      </c>
      <c r="Q487" s="136">
        <f t="shared" ca="1" si="151"/>
        <v>26.618557453501214</v>
      </c>
      <c r="R487" s="136">
        <f t="shared" ca="1" si="152"/>
        <v>2.6618557453501213</v>
      </c>
      <c r="S487" s="136">
        <f t="shared" ca="1" si="153"/>
        <v>2.6618557453501213</v>
      </c>
      <c r="T487" s="104">
        <f t="shared" ca="1" si="154"/>
        <v>0</v>
      </c>
      <c r="U487" s="87">
        <f t="shared" ca="1" si="155"/>
        <v>1166.4506512506252</v>
      </c>
      <c r="V487" s="104">
        <f t="shared" ca="1" si="156"/>
        <v>0</v>
      </c>
      <c r="W487" s="133">
        <f t="shared" ca="1" si="157"/>
        <v>6405.3718523878433</v>
      </c>
      <c r="X487" s="104">
        <f t="shared" ca="1" si="158"/>
        <v>0</v>
      </c>
      <c r="Y487" s="135">
        <f t="shared" ca="1" si="159"/>
        <v>0</v>
      </c>
      <c r="AE487" s="104"/>
    </row>
    <row r="488" spans="1:31" x14ac:dyDescent="0.2">
      <c r="A488" s="98">
        <v>3</v>
      </c>
      <c r="B488" s="98">
        <v>2</v>
      </c>
      <c r="C488" s="98">
        <f t="shared" si="140"/>
        <v>8</v>
      </c>
      <c r="D488" s="98">
        <f t="shared" si="141"/>
        <v>7</v>
      </c>
      <c r="E488" s="98">
        <f t="shared" si="142"/>
        <v>3</v>
      </c>
      <c r="F488" s="118">
        <f t="shared" ca="1" si="143"/>
        <v>2.6189999999999994E-3</v>
      </c>
      <c r="G488" s="98">
        <v>0</v>
      </c>
      <c r="H488" s="98">
        <v>1</v>
      </c>
      <c r="I488" s="98">
        <v>1</v>
      </c>
      <c r="J488" s="118">
        <f t="shared" ca="1" si="144"/>
        <v>0</v>
      </c>
      <c r="K488" s="118">
        <f t="shared" ca="1" si="145"/>
        <v>0</v>
      </c>
      <c r="L488" s="133">
        <f t="shared" ca="1" si="146"/>
        <v>180</v>
      </c>
      <c r="M488" s="130">
        <f t="shared" ca="1" si="147"/>
        <v>820</v>
      </c>
      <c r="N488" s="100">
        <f t="shared" ca="1" si="148"/>
        <v>4</v>
      </c>
      <c r="O488" s="136">
        <f t="shared" ca="1" si="149"/>
        <v>2.6618557453501217</v>
      </c>
      <c r="P488" s="136">
        <f t="shared" ca="1" si="150"/>
        <v>26.618557453501214</v>
      </c>
      <c r="Q488" s="136">
        <f t="shared" ca="1" si="151"/>
        <v>26.618557453501214</v>
      </c>
      <c r="R488" s="136">
        <f t="shared" ca="1" si="152"/>
        <v>2.6618557453501213</v>
      </c>
      <c r="S488" s="136">
        <f t="shared" ca="1" si="153"/>
        <v>2.6618557453501213</v>
      </c>
      <c r="T488" s="104">
        <f t="shared" ca="1" si="154"/>
        <v>0</v>
      </c>
      <c r="U488" s="87">
        <f t="shared" ca="1" si="155"/>
        <v>1154.4506512506252</v>
      </c>
      <c r="V488" s="104">
        <f t="shared" ca="1" si="156"/>
        <v>0</v>
      </c>
      <c r="W488" s="133">
        <f t="shared" ca="1" si="157"/>
        <v>4270.2479015918952</v>
      </c>
      <c r="X488" s="104">
        <f t="shared" ca="1" si="158"/>
        <v>0</v>
      </c>
      <c r="Y488" s="135">
        <f t="shared" ca="1" si="159"/>
        <v>0</v>
      </c>
      <c r="AE488" s="104"/>
    </row>
    <row r="489" spans="1:31" x14ac:dyDescent="0.2">
      <c r="A489" s="98">
        <v>3</v>
      </c>
      <c r="B489" s="98">
        <v>2</v>
      </c>
      <c r="C489" s="98">
        <f t="shared" si="140"/>
        <v>8</v>
      </c>
      <c r="D489" s="98">
        <f t="shared" si="141"/>
        <v>7</v>
      </c>
      <c r="E489" s="98">
        <f t="shared" si="142"/>
        <v>3</v>
      </c>
      <c r="F489" s="118">
        <f t="shared" ca="1" si="143"/>
        <v>2.6189999999999994E-3</v>
      </c>
      <c r="G489" s="98">
        <v>0</v>
      </c>
      <c r="H489" s="98">
        <v>1</v>
      </c>
      <c r="I489" s="98">
        <v>0</v>
      </c>
      <c r="J489" s="118">
        <f t="shared" ca="1" si="144"/>
        <v>0</v>
      </c>
      <c r="K489" s="118">
        <f t="shared" ca="1" si="145"/>
        <v>0</v>
      </c>
      <c r="L489" s="133">
        <f t="shared" ca="1" si="146"/>
        <v>168</v>
      </c>
      <c r="M489" s="130">
        <f t="shared" ca="1" si="147"/>
        <v>832</v>
      </c>
      <c r="N489" s="100">
        <f t="shared" ca="1" si="148"/>
        <v>5</v>
      </c>
      <c r="O489" s="136">
        <f t="shared" ca="1" si="149"/>
        <v>3.2590583346360766</v>
      </c>
      <c r="P489" s="136">
        <f t="shared" ca="1" si="150"/>
        <v>28.410165221359076</v>
      </c>
      <c r="Q489" s="136">
        <f t="shared" ca="1" si="151"/>
        <v>26.618557453501214</v>
      </c>
      <c r="R489" s="136">
        <f t="shared" ca="1" si="152"/>
        <v>2.7514361337430144</v>
      </c>
      <c r="S489" s="136">
        <f t="shared" ca="1" si="153"/>
        <v>3.091543008341366</v>
      </c>
      <c r="T489" s="104">
        <f t="shared" ca="1" si="154"/>
        <v>0</v>
      </c>
      <c r="U489" s="87">
        <f t="shared" ca="1" si="155"/>
        <v>1294.1569825567776</v>
      </c>
      <c r="V489" s="104">
        <f t="shared" ca="1" si="156"/>
        <v>0</v>
      </c>
      <c r="W489" s="133">
        <f t="shared" ca="1" si="157"/>
        <v>2135.1239507959476</v>
      </c>
      <c r="X489" s="104">
        <f t="shared" ca="1" si="158"/>
        <v>0</v>
      </c>
      <c r="Y489" s="135">
        <f t="shared" ca="1" si="159"/>
        <v>0</v>
      </c>
      <c r="AE489" s="104"/>
    </row>
    <row r="490" spans="1:31" x14ac:dyDescent="0.2">
      <c r="A490" s="98">
        <v>3</v>
      </c>
      <c r="B490" s="98">
        <v>2</v>
      </c>
      <c r="C490" s="98">
        <f t="shared" si="140"/>
        <v>8</v>
      </c>
      <c r="D490" s="98">
        <f t="shared" si="141"/>
        <v>7</v>
      </c>
      <c r="E490" s="98">
        <f t="shared" si="142"/>
        <v>3</v>
      </c>
      <c r="F490" s="118">
        <f t="shared" ca="1" si="143"/>
        <v>2.6189999999999994E-3</v>
      </c>
      <c r="G490" s="98">
        <v>0</v>
      </c>
      <c r="H490" s="98">
        <v>0</v>
      </c>
      <c r="I490" s="98">
        <v>7</v>
      </c>
      <c r="J490" s="118">
        <f t="shared" ca="1" si="144"/>
        <v>3.4916864804687496E-2</v>
      </c>
      <c r="K490" s="118">
        <f t="shared" ca="1" si="145"/>
        <v>9.1447268923476526E-5</v>
      </c>
      <c r="L490" s="133">
        <f t="shared" ca="1" si="146"/>
        <v>84</v>
      </c>
      <c r="M490" s="130">
        <f t="shared" ca="1" si="147"/>
        <v>916</v>
      </c>
      <c r="N490" s="100">
        <f t="shared" ca="1" si="148"/>
        <v>5</v>
      </c>
      <c r="O490" s="136">
        <f t="shared" ca="1" si="149"/>
        <v>3.2590583346360766</v>
      </c>
      <c r="P490" s="136">
        <f t="shared" ca="1" si="150"/>
        <v>32.590583346360766</v>
      </c>
      <c r="Q490" s="136">
        <f t="shared" ca="1" si="151"/>
        <v>32.590583346360766</v>
      </c>
      <c r="R490" s="136">
        <f t="shared" ca="1" si="152"/>
        <v>3.2590583346360766</v>
      </c>
      <c r="S490" s="136">
        <f t="shared" ca="1" si="153"/>
        <v>3.2590583346360766</v>
      </c>
      <c r="T490" s="104">
        <f t="shared" ca="1" si="154"/>
        <v>2.9803198396476284E-4</v>
      </c>
      <c r="U490" s="87">
        <f t="shared" ca="1" si="155"/>
        <v>1269.3003125517403</v>
      </c>
      <c r="V490" s="104">
        <f t="shared" ca="1" si="156"/>
        <v>0.1160740470265718</v>
      </c>
      <c r="W490" s="133">
        <f t="shared" ca="1" si="157"/>
        <v>14945.867655571634</v>
      </c>
      <c r="X490" s="104">
        <f t="shared" ca="1" si="158"/>
        <v>1.3667587787937487</v>
      </c>
      <c r="Y490" s="135">
        <f t="shared" ca="1" si="159"/>
        <v>7.6815705895720279E-3</v>
      </c>
      <c r="AE490" s="104"/>
    </row>
    <row r="491" spans="1:31" x14ac:dyDescent="0.2">
      <c r="A491" s="98">
        <v>3</v>
      </c>
      <c r="B491" s="98">
        <v>2</v>
      </c>
      <c r="C491" s="98">
        <f t="shared" si="140"/>
        <v>8</v>
      </c>
      <c r="D491" s="98">
        <f t="shared" si="141"/>
        <v>7</v>
      </c>
      <c r="E491" s="98">
        <f t="shared" si="142"/>
        <v>3</v>
      </c>
      <c r="F491" s="118">
        <f t="shared" ca="1" si="143"/>
        <v>2.6189999999999994E-3</v>
      </c>
      <c r="G491" s="98">
        <v>0</v>
      </c>
      <c r="H491" s="98">
        <v>0</v>
      </c>
      <c r="I491" s="98">
        <v>6</v>
      </c>
      <c r="J491" s="118">
        <f t="shared" ca="1" si="144"/>
        <v>1.2864108085937513E-2</v>
      </c>
      <c r="K491" s="118">
        <f t="shared" ca="1" si="145"/>
        <v>3.3691099077070339E-5</v>
      </c>
      <c r="L491" s="133">
        <f t="shared" ca="1" si="146"/>
        <v>72</v>
      </c>
      <c r="M491" s="130">
        <f t="shared" ca="1" si="147"/>
        <v>928</v>
      </c>
      <c r="N491" s="100">
        <f t="shared" ca="1" si="148"/>
        <v>5</v>
      </c>
      <c r="O491" s="136">
        <f t="shared" ca="1" si="149"/>
        <v>3.2590583346360766</v>
      </c>
      <c r="P491" s="136">
        <f t="shared" ca="1" si="150"/>
        <v>32.590583346360766</v>
      </c>
      <c r="Q491" s="136">
        <f t="shared" ca="1" si="151"/>
        <v>32.590583346360766</v>
      </c>
      <c r="R491" s="136">
        <f t="shared" ca="1" si="152"/>
        <v>3.2590583346360766</v>
      </c>
      <c r="S491" s="136">
        <f t="shared" ca="1" si="153"/>
        <v>3.2590583346360766</v>
      </c>
      <c r="T491" s="104">
        <f t="shared" ca="1" si="154"/>
        <v>1.0980125725017592E-4</v>
      </c>
      <c r="U491" s="87">
        <f t="shared" ca="1" si="155"/>
        <v>1257.3003125517403</v>
      </c>
      <c r="V491" s="104">
        <f t="shared" ca="1" si="156"/>
        <v>4.2359829399812185E-2</v>
      </c>
      <c r="W491" s="133">
        <f t="shared" ca="1" si="157"/>
        <v>12810.743704775687</v>
      </c>
      <c r="X491" s="104">
        <f t="shared" ca="1" si="158"/>
        <v>0.4316080354085528</v>
      </c>
      <c r="Y491" s="135">
        <f t="shared" ca="1" si="159"/>
        <v>2.4257591335490646E-3</v>
      </c>
      <c r="AE491" s="104"/>
    </row>
    <row r="492" spans="1:31" x14ac:dyDescent="0.2">
      <c r="A492" s="98">
        <v>3</v>
      </c>
      <c r="B492" s="98">
        <v>2</v>
      </c>
      <c r="C492" s="98">
        <f t="shared" si="140"/>
        <v>8</v>
      </c>
      <c r="D492" s="98">
        <f t="shared" si="141"/>
        <v>7</v>
      </c>
      <c r="E492" s="98">
        <f t="shared" si="142"/>
        <v>3</v>
      </c>
      <c r="F492" s="118">
        <f t="shared" ca="1" si="143"/>
        <v>2.6189999999999994E-3</v>
      </c>
      <c r="G492" s="98">
        <v>0</v>
      </c>
      <c r="H492" s="98">
        <v>0</v>
      </c>
      <c r="I492" s="98">
        <v>5</v>
      </c>
      <c r="J492" s="118">
        <f t="shared" ca="1" si="144"/>
        <v>2.0311749609375038E-3</v>
      </c>
      <c r="K492" s="118">
        <f t="shared" ca="1" si="145"/>
        <v>5.3196472226953211E-6</v>
      </c>
      <c r="L492" s="133">
        <f t="shared" ca="1" si="146"/>
        <v>60</v>
      </c>
      <c r="M492" s="130">
        <f t="shared" ca="1" si="147"/>
        <v>940</v>
      </c>
      <c r="N492" s="100">
        <f t="shared" ca="1" si="148"/>
        <v>5</v>
      </c>
      <c r="O492" s="136">
        <f t="shared" ca="1" si="149"/>
        <v>3.2590583346360766</v>
      </c>
      <c r="P492" s="136">
        <f t="shared" ca="1" si="150"/>
        <v>32.590583346360766</v>
      </c>
      <c r="Q492" s="136">
        <f t="shared" ca="1" si="151"/>
        <v>32.590583346360766</v>
      </c>
      <c r="R492" s="136">
        <f t="shared" ca="1" si="152"/>
        <v>3.2590583346360766</v>
      </c>
      <c r="S492" s="136">
        <f t="shared" ca="1" si="153"/>
        <v>3.2590583346360766</v>
      </c>
      <c r="T492" s="104">
        <f t="shared" ca="1" si="154"/>
        <v>1.7337040618448844E-5</v>
      </c>
      <c r="U492" s="87">
        <f t="shared" ca="1" si="155"/>
        <v>1245.3003125517403</v>
      </c>
      <c r="V492" s="104">
        <f t="shared" ca="1" si="156"/>
        <v>6.6245583490874803E-3</v>
      </c>
      <c r="W492" s="133">
        <f t="shared" ca="1" si="157"/>
        <v>10675.619753979738</v>
      </c>
      <c r="X492" s="104">
        <f t="shared" ca="1" si="158"/>
        <v>5.6790530974809621E-2</v>
      </c>
      <c r="Y492" s="135">
        <f t="shared" ca="1" si="159"/>
        <v>3.1917883336171924E-4</v>
      </c>
      <c r="AE492" s="104"/>
    </row>
    <row r="493" spans="1:31" x14ac:dyDescent="0.2">
      <c r="A493" s="98">
        <v>3</v>
      </c>
      <c r="B493" s="98">
        <v>2</v>
      </c>
      <c r="C493" s="98">
        <f t="shared" si="140"/>
        <v>8</v>
      </c>
      <c r="D493" s="98">
        <f t="shared" si="141"/>
        <v>7</v>
      </c>
      <c r="E493" s="98">
        <f t="shared" si="142"/>
        <v>3</v>
      </c>
      <c r="F493" s="118">
        <f t="shared" ca="1" si="143"/>
        <v>2.6189999999999994E-3</v>
      </c>
      <c r="G493" s="98">
        <v>0</v>
      </c>
      <c r="H493" s="98">
        <v>0</v>
      </c>
      <c r="I493" s="98">
        <v>4</v>
      </c>
      <c r="J493" s="118">
        <f t="shared" ca="1" si="144"/>
        <v>1.7817324218750047E-4</v>
      </c>
      <c r="K493" s="118">
        <f t="shared" ca="1" si="145"/>
        <v>4.6663572128906364E-7</v>
      </c>
      <c r="L493" s="133">
        <f t="shared" ca="1" si="146"/>
        <v>48</v>
      </c>
      <c r="M493" s="130">
        <f t="shared" ca="1" si="147"/>
        <v>952</v>
      </c>
      <c r="N493" s="100">
        <f t="shared" ca="1" si="148"/>
        <v>5</v>
      </c>
      <c r="O493" s="136">
        <f t="shared" ca="1" si="149"/>
        <v>3.2590583346360766</v>
      </c>
      <c r="P493" s="136">
        <f t="shared" ca="1" si="150"/>
        <v>32.590583346360766</v>
      </c>
      <c r="Q493" s="136">
        <f t="shared" ca="1" si="151"/>
        <v>32.590583346360766</v>
      </c>
      <c r="R493" s="136">
        <f t="shared" ca="1" si="152"/>
        <v>3.2590583346360766</v>
      </c>
      <c r="S493" s="136">
        <f t="shared" ca="1" si="153"/>
        <v>3.2590583346360766</v>
      </c>
      <c r="T493" s="104">
        <f t="shared" ca="1" si="154"/>
        <v>1.5207930367060401E-6</v>
      </c>
      <c r="U493" s="87">
        <f t="shared" ca="1" si="155"/>
        <v>1233.3003125517403</v>
      </c>
      <c r="V493" s="104">
        <f t="shared" ca="1" si="156"/>
        <v>5.7550198091360898E-4</v>
      </c>
      <c r="W493" s="133">
        <f t="shared" ca="1" si="157"/>
        <v>8540.4958031837905</v>
      </c>
      <c r="X493" s="104">
        <f t="shared" ca="1" si="158"/>
        <v>3.9853004192848887E-3</v>
      </c>
      <c r="Y493" s="135">
        <f t="shared" ca="1" si="159"/>
        <v>2.2398514621875053E-5</v>
      </c>
      <c r="AE493" s="104"/>
    </row>
    <row r="494" spans="1:31" x14ac:dyDescent="0.2">
      <c r="A494" s="98">
        <v>3</v>
      </c>
      <c r="B494" s="98">
        <v>2</v>
      </c>
      <c r="C494" s="98">
        <f t="shared" si="140"/>
        <v>8</v>
      </c>
      <c r="D494" s="98">
        <f t="shared" si="141"/>
        <v>7</v>
      </c>
      <c r="E494" s="98">
        <f t="shared" si="142"/>
        <v>3</v>
      </c>
      <c r="F494" s="118">
        <f t="shared" ca="1" si="143"/>
        <v>2.6189999999999994E-3</v>
      </c>
      <c r="G494" s="98">
        <v>0</v>
      </c>
      <c r="H494" s="98">
        <v>0</v>
      </c>
      <c r="I494" s="98">
        <v>3</v>
      </c>
      <c r="J494" s="118">
        <f t="shared" ca="1" si="144"/>
        <v>9.3775390625000315E-6</v>
      </c>
      <c r="K494" s="118">
        <f t="shared" ca="1" si="145"/>
        <v>2.4559774804687577E-8</v>
      </c>
      <c r="L494" s="133">
        <f t="shared" ca="1" si="146"/>
        <v>36</v>
      </c>
      <c r="M494" s="130">
        <f t="shared" ca="1" si="147"/>
        <v>964</v>
      </c>
      <c r="N494" s="100">
        <f t="shared" ca="1" si="148"/>
        <v>5</v>
      </c>
      <c r="O494" s="136">
        <f t="shared" ca="1" si="149"/>
        <v>3.2590583346360766</v>
      </c>
      <c r="P494" s="136">
        <f t="shared" ca="1" si="150"/>
        <v>32.590583346360766</v>
      </c>
      <c r="Q494" s="136">
        <f t="shared" ca="1" si="151"/>
        <v>32.590583346360766</v>
      </c>
      <c r="R494" s="136">
        <f t="shared" ca="1" si="152"/>
        <v>3.2590583346360766</v>
      </c>
      <c r="S494" s="136">
        <f t="shared" ca="1" si="153"/>
        <v>3.2590583346360766</v>
      </c>
      <c r="T494" s="104">
        <f t="shared" ca="1" si="154"/>
        <v>8.0041738774002162E-8</v>
      </c>
      <c r="U494" s="87">
        <f t="shared" ca="1" si="155"/>
        <v>1221.3003125517403</v>
      </c>
      <c r="V494" s="104">
        <f t="shared" ca="1" si="156"/>
        <v>2.9994860645165294E-5</v>
      </c>
      <c r="W494" s="133">
        <f t="shared" ca="1" si="157"/>
        <v>6405.3718523878433</v>
      </c>
      <c r="X494" s="104">
        <f t="shared" ca="1" si="158"/>
        <v>1.5731449023492994E-4</v>
      </c>
      <c r="Y494" s="135">
        <f t="shared" ca="1" si="159"/>
        <v>8.8415189296875277E-7</v>
      </c>
      <c r="AE494" s="104"/>
    </row>
    <row r="495" spans="1:31" x14ac:dyDescent="0.2">
      <c r="A495" s="98">
        <v>3</v>
      </c>
      <c r="B495" s="98">
        <v>2</v>
      </c>
      <c r="C495" s="98">
        <f t="shared" si="140"/>
        <v>8</v>
      </c>
      <c r="D495" s="98">
        <f t="shared" si="141"/>
        <v>7</v>
      </c>
      <c r="E495" s="98">
        <f t="shared" si="142"/>
        <v>3</v>
      </c>
      <c r="F495" s="118">
        <f t="shared" ca="1" si="143"/>
        <v>2.6189999999999994E-3</v>
      </c>
      <c r="G495" s="98">
        <v>0</v>
      </c>
      <c r="H495" s="98">
        <v>0</v>
      </c>
      <c r="I495" s="98">
        <v>2</v>
      </c>
      <c r="J495" s="118">
        <f t="shared" ca="1" si="144"/>
        <v>2.961328125000013E-7</v>
      </c>
      <c r="K495" s="118">
        <f t="shared" ca="1" si="145"/>
        <v>7.7557183593750319E-10</v>
      </c>
      <c r="L495" s="133">
        <f t="shared" ca="1" si="146"/>
        <v>24</v>
      </c>
      <c r="M495" s="130">
        <f t="shared" ca="1" si="147"/>
        <v>976</v>
      </c>
      <c r="N495" s="100">
        <f t="shared" ca="1" si="148"/>
        <v>5</v>
      </c>
      <c r="O495" s="136">
        <f t="shared" ca="1" si="149"/>
        <v>3.2590583346360766</v>
      </c>
      <c r="P495" s="136">
        <f t="shared" ca="1" si="150"/>
        <v>32.590583346360766</v>
      </c>
      <c r="Q495" s="136">
        <f t="shared" ca="1" si="151"/>
        <v>32.590583346360766</v>
      </c>
      <c r="R495" s="136">
        <f t="shared" ca="1" si="152"/>
        <v>3.2590583346360766</v>
      </c>
      <c r="S495" s="136">
        <f t="shared" ca="1" si="153"/>
        <v>3.2590583346360766</v>
      </c>
      <c r="T495" s="104">
        <f t="shared" ca="1" si="154"/>
        <v>2.5276338560211236E-9</v>
      </c>
      <c r="U495" s="87">
        <f t="shared" ca="1" si="155"/>
        <v>1209.3003125517403</v>
      </c>
      <c r="V495" s="104">
        <f t="shared" ca="1" si="156"/>
        <v>9.378992636055496E-7</v>
      </c>
      <c r="W495" s="133">
        <f t="shared" ca="1" si="157"/>
        <v>4270.2479015918952</v>
      </c>
      <c r="X495" s="104">
        <f t="shared" ca="1" si="158"/>
        <v>3.3118840049458965E-6</v>
      </c>
      <c r="Y495" s="135">
        <f t="shared" ca="1" si="159"/>
        <v>1.8613724062500075E-8</v>
      </c>
      <c r="AE495" s="104"/>
    </row>
    <row r="496" spans="1:31" x14ac:dyDescent="0.2">
      <c r="A496" s="98">
        <v>3</v>
      </c>
      <c r="B496" s="98">
        <v>2</v>
      </c>
      <c r="C496" s="98">
        <f t="shared" si="140"/>
        <v>8</v>
      </c>
      <c r="D496" s="98">
        <f t="shared" si="141"/>
        <v>7</v>
      </c>
      <c r="E496" s="98">
        <f t="shared" si="142"/>
        <v>3</v>
      </c>
      <c r="F496" s="118">
        <f t="shared" ca="1" si="143"/>
        <v>2.6189999999999994E-3</v>
      </c>
      <c r="G496" s="98">
        <v>0</v>
      </c>
      <c r="H496" s="98">
        <v>0</v>
      </c>
      <c r="I496" s="98">
        <v>1</v>
      </c>
      <c r="J496" s="118">
        <f t="shared" ca="1" si="144"/>
        <v>5.1953125000000272E-9</v>
      </c>
      <c r="K496" s="118">
        <f t="shared" ca="1" si="145"/>
        <v>1.3606523437500068E-11</v>
      </c>
      <c r="L496" s="133">
        <f t="shared" ca="1" si="146"/>
        <v>12</v>
      </c>
      <c r="M496" s="130">
        <f t="shared" ca="1" si="147"/>
        <v>988</v>
      </c>
      <c r="N496" s="100">
        <f t="shared" ca="1" si="148"/>
        <v>5</v>
      </c>
      <c r="O496" s="136">
        <f t="shared" ca="1" si="149"/>
        <v>3.2590583346360766</v>
      </c>
      <c r="P496" s="136">
        <f t="shared" ca="1" si="150"/>
        <v>32.590583346360766</v>
      </c>
      <c r="Q496" s="136">
        <f t="shared" ca="1" si="151"/>
        <v>32.590583346360766</v>
      </c>
      <c r="R496" s="136">
        <f t="shared" ca="1" si="152"/>
        <v>3.2590583346360766</v>
      </c>
      <c r="S496" s="136">
        <f t="shared" ca="1" si="153"/>
        <v>3.2590583346360766</v>
      </c>
      <c r="T496" s="104">
        <f t="shared" ca="1" si="154"/>
        <v>4.4344453614405716E-11</v>
      </c>
      <c r="U496" s="87">
        <f t="shared" ca="1" si="155"/>
        <v>1197.3003125517403</v>
      </c>
      <c r="V496" s="104">
        <f t="shared" ca="1" si="156"/>
        <v>1.629109476446141E-8</v>
      </c>
      <c r="W496" s="133">
        <f t="shared" ca="1" si="157"/>
        <v>2135.1239507959476</v>
      </c>
      <c r="X496" s="104">
        <f t="shared" ca="1" si="158"/>
        <v>2.9051614078472805E-8</v>
      </c>
      <c r="Y496" s="135">
        <f t="shared" ca="1" si="159"/>
        <v>1.6327828125000083E-10</v>
      </c>
      <c r="AE496" s="104"/>
    </row>
    <row r="497" spans="1:31" x14ac:dyDescent="0.2">
      <c r="A497" s="98">
        <v>3</v>
      </c>
      <c r="B497" s="98">
        <v>2</v>
      </c>
      <c r="C497" s="98">
        <f t="shared" si="140"/>
        <v>8</v>
      </c>
      <c r="D497" s="98">
        <f t="shared" si="141"/>
        <v>7</v>
      </c>
      <c r="E497" s="98">
        <f t="shared" si="142"/>
        <v>3</v>
      </c>
      <c r="F497" s="118">
        <f t="shared" ca="1" si="143"/>
        <v>2.6189999999999994E-3</v>
      </c>
      <c r="G497" s="98">
        <v>0</v>
      </c>
      <c r="H497" s="98">
        <v>0</v>
      </c>
      <c r="I497" s="98">
        <v>0</v>
      </c>
      <c r="J497" s="118">
        <f t="shared" ca="1" si="144"/>
        <v>3.9062500000000246E-11</v>
      </c>
      <c r="K497" s="118">
        <f t="shared" ca="1" si="145"/>
        <v>1.0230468750000063E-13</v>
      </c>
      <c r="L497" s="133">
        <f t="shared" ca="1" si="146"/>
        <v>0</v>
      </c>
      <c r="M497" s="130">
        <f t="shared" ca="1" si="147"/>
        <v>1000</v>
      </c>
      <c r="N497" s="100">
        <f t="shared" ca="1" si="148"/>
        <v>5</v>
      </c>
      <c r="O497" s="136">
        <f t="shared" ca="1" si="149"/>
        <v>3.2590583346360766</v>
      </c>
      <c r="P497" s="136">
        <f t="shared" ca="1" si="150"/>
        <v>32.590583346360766</v>
      </c>
      <c r="Q497" s="136">
        <f t="shared" ca="1" si="151"/>
        <v>32.590583346360766</v>
      </c>
      <c r="R497" s="136">
        <f t="shared" ca="1" si="152"/>
        <v>3.2590583346360766</v>
      </c>
      <c r="S497" s="136">
        <f t="shared" ca="1" si="153"/>
        <v>3.2590583346360766</v>
      </c>
      <c r="T497" s="104">
        <f t="shared" ca="1" si="154"/>
        <v>3.3341694446921629E-13</v>
      </c>
      <c r="U497" s="87">
        <f t="shared" ca="1" si="155"/>
        <v>1185.3003125517403</v>
      </c>
      <c r="V497" s="104">
        <f t="shared" ca="1" si="156"/>
        <v>1.2126177806925886E-10</v>
      </c>
      <c r="W497" s="133">
        <f t="shared" ca="1" si="157"/>
        <v>0</v>
      </c>
      <c r="X497" s="104">
        <f t="shared" ca="1" si="158"/>
        <v>0</v>
      </c>
      <c r="Y497" s="135">
        <f t="shared" ca="1" si="159"/>
        <v>0</v>
      </c>
      <c r="AE497" s="104"/>
    </row>
    <row r="498" spans="1:31" x14ac:dyDescent="0.2">
      <c r="A498" s="98">
        <v>3</v>
      </c>
      <c r="B498" s="98">
        <v>3</v>
      </c>
      <c r="C498" s="98">
        <f t="shared" si="140"/>
        <v>8</v>
      </c>
      <c r="D498" s="98">
        <f t="shared" si="141"/>
        <v>7</v>
      </c>
      <c r="E498" s="98">
        <f t="shared" si="142"/>
        <v>3</v>
      </c>
      <c r="F498" s="118">
        <f t="shared" ca="1" si="143"/>
        <v>8.9999999999999998E-4</v>
      </c>
      <c r="G498" s="98">
        <v>1</v>
      </c>
      <c r="H498" s="98">
        <v>1</v>
      </c>
      <c r="I498" s="98">
        <v>7</v>
      </c>
      <c r="J498" s="118">
        <f t="shared" ca="1" si="144"/>
        <v>0</v>
      </c>
      <c r="K498" s="118">
        <f t="shared" ca="1" si="145"/>
        <v>0</v>
      </c>
      <c r="L498" s="133">
        <f t="shared" ca="1" si="146"/>
        <v>420</v>
      </c>
      <c r="M498" s="130">
        <f t="shared" ca="1" si="147"/>
        <v>580</v>
      </c>
      <c r="N498" s="100">
        <f t="shared" ca="1" si="148"/>
        <v>3</v>
      </c>
      <c r="O498" s="136">
        <f t="shared" ca="1" si="149"/>
        <v>2.0946097612518035</v>
      </c>
      <c r="P498" s="136">
        <f t="shared" ca="1" si="150"/>
        <v>20.946097612518034</v>
      </c>
      <c r="Q498" s="136">
        <f t="shared" ca="1" si="151"/>
        <v>20.946097612518034</v>
      </c>
      <c r="R498" s="136">
        <f t="shared" ca="1" si="152"/>
        <v>2.0946097612518035</v>
      </c>
      <c r="S498" s="136">
        <f t="shared" ca="1" si="153"/>
        <v>2.0946097612518035</v>
      </c>
      <c r="T498" s="104">
        <f t="shared" ca="1" si="154"/>
        <v>0</v>
      </c>
      <c r="U498" s="87">
        <f t="shared" ca="1" si="155"/>
        <v>1194.1775349459019</v>
      </c>
      <c r="V498" s="104">
        <f t="shared" ca="1" si="156"/>
        <v>0</v>
      </c>
      <c r="W498" s="133">
        <f t="shared" ca="1" si="157"/>
        <v>19493.681670767</v>
      </c>
      <c r="X498" s="104">
        <f t="shared" ca="1" si="158"/>
        <v>0</v>
      </c>
      <c r="Y498" s="135">
        <f t="shared" ca="1" si="159"/>
        <v>0</v>
      </c>
      <c r="AE498" s="104"/>
    </row>
    <row r="499" spans="1:31" x14ac:dyDescent="0.2">
      <c r="A499" s="98">
        <v>3</v>
      </c>
      <c r="B499" s="98">
        <v>3</v>
      </c>
      <c r="C499" s="98">
        <f t="shared" si="140"/>
        <v>8</v>
      </c>
      <c r="D499" s="98">
        <f t="shared" si="141"/>
        <v>7</v>
      </c>
      <c r="E499" s="98">
        <f t="shared" si="142"/>
        <v>3</v>
      </c>
      <c r="F499" s="118">
        <f t="shared" ca="1" si="143"/>
        <v>8.9999999999999998E-4</v>
      </c>
      <c r="G499" s="98">
        <v>1</v>
      </c>
      <c r="H499" s="98">
        <v>1</v>
      </c>
      <c r="I499" s="98">
        <v>6</v>
      </c>
      <c r="J499" s="118">
        <f t="shared" ca="1" si="144"/>
        <v>0</v>
      </c>
      <c r="K499" s="118">
        <f t="shared" ca="1" si="145"/>
        <v>0</v>
      </c>
      <c r="L499" s="133">
        <f t="shared" ca="1" si="146"/>
        <v>408</v>
      </c>
      <c r="M499" s="130">
        <f t="shared" ca="1" si="147"/>
        <v>592</v>
      </c>
      <c r="N499" s="100">
        <f t="shared" ca="1" si="148"/>
        <v>3</v>
      </c>
      <c r="O499" s="136">
        <f t="shared" ca="1" si="149"/>
        <v>2.0946097612518035</v>
      </c>
      <c r="P499" s="136">
        <f t="shared" ca="1" si="150"/>
        <v>20.946097612518034</v>
      </c>
      <c r="Q499" s="136">
        <f t="shared" ca="1" si="151"/>
        <v>20.946097612518034</v>
      </c>
      <c r="R499" s="136">
        <f t="shared" ca="1" si="152"/>
        <v>2.0946097612518035</v>
      </c>
      <c r="S499" s="136">
        <f t="shared" ca="1" si="153"/>
        <v>2.0946097612518035</v>
      </c>
      <c r="T499" s="104">
        <f t="shared" ca="1" si="154"/>
        <v>0</v>
      </c>
      <c r="U499" s="87">
        <f t="shared" ca="1" si="155"/>
        <v>1182.1775349459019</v>
      </c>
      <c r="V499" s="104">
        <f t="shared" ca="1" si="156"/>
        <v>0</v>
      </c>
      <c r="W499" s="133">
        <f t="shared" ca="1" si="157"/>
        <v>17358.557719971053</v>
      </c>
      <c r="X499" s="104">
        <f t="shared" ca="1" si="158"/>
        <v>0</v>
      </c>
      <c r="Y499" s="135">
        <f t="shared" ca="1" si="159"/>
        <v>0</v>
      </c>
      <c r="AE499" s="104"/>
    </row>
    <row r="500" spans="1:31" x14ac:dyDescent="0.2">
      <c r="A500" s="98">
        <v>3</v>
      </c>
      <c r="B500" s="98">
        <v>3</v>
      </c>
      <c r="C500" s="98">
        <f t="shared" si="140"/>
        <v>8</v>
      </c>
      <c r="D500" s="98">
        <f t="shared" si="141"/>
        <v>7</v>
      </c>
      <c r="E500" s="98">
        <f t="shared" si="142"/>
        <v>3</v>
      </c>
      <c r="F500" s="118">
        <f t="shared" ca="1" si="143"/>
        <v>8.9999999999999998E-4</v>
      </c>
      <c r="G500" s="98">
        <v>1</v>
      </c>
      <c r="H500" s="98">
        <v>1</v>
      </c>
      <c r="I500" s="98">
        <v>5</v>
      </c>
      <c r="J500" s="118">
        <f t="shared" ca="1" si="144"/>
        <v>0</v>
      </c>
      <c r="K500" s="118">
        <f t="shared" ca="1" si="145"/>
        <v>0</v>
      </c>
      <c r="L500" s="133">
        <f t="shared" ca="1" si="146"/>
        <v>396</v>
      </c>
      <c r="M500" s="130">
        <f t="shared" ca="1" si="147"/>
        <v>604</v>
      </c>
      <c r="N500" s="100">
        <f t="shared" ca="1" si="148"/>
        <v>3</v>
      </c>
      <c r="O500" s="136">
        <f t="shared" ca="1" si="149"/>
        <v>2.0946097612518035</v>
      </c>
      <c r="P500" s="136">
        <f t="shared" ca="1" si="150"/>
        <v>20.946097612518034</v>
      </c>
      <c r="Q500" s="136">
        <f t="shared" ca="1" si="151"/>
        <v>20.946097612518034</v>
      </c>
      <c r="R500" s="136">
        <f t="shared" ca="1" si="152"/>
        <v>2.0946097612518035</v>
      </c>
      <c r="S500" s="136">
        <f t="shared" ca="1" si="153"/>
        <v>2.0946097612518035</v>
      </c>
      <c r="T500" s="104">
        <f t="shared" ca="1" si="154"/>
        <v>0</v>
      </c>
      <c r="U500" s="87">
        <f t="shared" ca="1" si="155"/>
        <v>1170.1775349459019</v>
      </c>
      <c r="V500" s="104">
        <f t="shared" ca="1" si="156"/>
        <v>0</v>
      </c>
      <c r="W500" s="133">
        <f t="shared" ca="1" si="157"/>
        <v>15223.433769175106</v>
      </c>
      <c r="X500" s="104">
        <f t="shared" ca="1" si="158"/>
        <v>0</v>
      </c>
      <c r="Y500" s="135">
        <f t="shared" ca="1" si="159"/>
        <v>0</v>
      </c>
      <c r="AE500" s="104"/>
    </row>
    <row r="501" spans="1:31" x14ac:dyDescent="0.2">
      <c r="A501" s="98">
        <v>3</v>
      </c>
      <c r="B501" s="98">
        <v>3</v>
      </c>
      <c r="C501" s="98">
        <f t="shared" si="140"/>
        <v>8</v>
      </c>
      <c r="D501" s="98">
        <f t="shared" si="141"/>
        <v>7</v>
      </c>
      <c r="E501" s="98">
        <f t="shared" si="142"/>
        <v>3</v>
      </c>
      <c r="F501" s="118">
        <f t="shared" ca="1" si="143"/>
        <v>8.9999999999999998E-4</v>
      </c>
      <c r="G501" s="98">
        <v>1</v>
      </c>
      <c r="H501" s="98">
        <v>1</v>
      </c>
      <c r="I501" s="98">
        <v>4</v>
      </c>
      <c r="J501" s="118">
        <f t="shared" ca="1" si="144"/>
        <v>0</v>
      </c>
      <c r="K501" s="118">
        <f t="shared" ca="1" si="145"/>
        <v>0</v>
      </c>
      <c r="L501" s="133">
        <f t="shared" ca="1" si="146"/>
        <v>384</v>
      </c>
      <c r="M501" s="130">
        <f t="shared" ca="1" si="147"/>
        <v>616</v>
      </c>
      <c r="N501" s="100">
        <f t="shared" ca="1" si="148"/>
        <v>3</v>
      </c>
      <c r="O501" s="136">
        <f t="shared" ca="1" si="149"/>
        <v>2.0946097612518035</v>
      </c>
      <c r="P501" s="136">
        <f t="shared" ca="1" si="150"/>
        <v>20.946097612518034</v>
      </c>
      <c r="Q501" s="136">
        <f t="shared" ca="1" si="151"/>
        <v>20.946097612518034</v>
      </c>
      <c r="R501" s="136">
        <f t="shared" ca="1" si="152"/>
        <v>2.0946097612518035</v>
      </c>
      <c r="S501" s="136">
        <f t="shared" ca="1" si="153"/>
        <v>2.0946097612518035</v>
      </c>
      <c r="T501" s="104">
        <f t="shared" ca="1" si="154"/>
        <v>0</v>
      </c>
      <c r="U501" s="87">
        <f t="shared" ca="1" si="155"/>
        <v>1158.1775349459019</v>
      </c>
      <c r="V501" s="104">
        <f t="shared" ca="1" si="156"/>
        <v>0</v>
      </c>
      <c r="W501" s="133">
        <f t="shared" ca="1" si="157"/>
        <v>13088.309818379159</v>
      </c>
      <c r="X501" s="104">
        <f t="shared" ca="1" si="158"/>
        <v>0</v>
      </c>
      <c r="Y501" s="135">
        <f t="shared" ca="1" si="159"/>
        <v>0</v>
      </c>
      <c r="AE501" s="104"/>
    </row>
    <row r="502" spans="1:31" x14ac:dyDescent="0.2">
      <c r="A502" s="98">
        <v>3</v>
      </c>
      <c r="B502" s="98">
        <v>3</v>
      </c>
      <c r="C502" s="98">
        <f t="shared" si="140"/>
        <v>8</v>
      </c>
      <c r="D502" s="98">
        <f t="shared" si="141"/>
        <v>7</v>
      </c>
      <c r="E502" s="98">
        <f t="shared" si="142"/>
        <v>3</v>
      </c>
      <c r="F502" s="118">
        <f t="shared" ca="1" si="143"/>
        <v>8.9999999999999998E-4</v>
      </c>
      <c r="G502" s="98">
        <v>1</v>
      </c>
      <c r="H502" s="98">
        <v>1</v>
      </c>
      <c r="I502" s="98">
        <v>3</v>
      </c>
      <c r="J502" s="118">
        <f t="shared" ca="1" si="144"/>
        <v>0</v>
      </c>
      <c r="K502" s="118">
        <f t="shared" ca="1" si="145"/>
        <v>0</v>
      </c>
      <c r="L502" s="133">
        <f t="shared" ca="1" si="146"/>
        <v>372</v>
      </c>
      <c r="M502" s="130">
        <f t="shared" ca="1" si="147"/>
        <v>628</v>
      </c>
      <c r="N502" s="100">
        <f t="shared" ca="1" si="148"/>
        <v>4</v>
      </c>
      <c r="O502" s="136">
        <f t="shared" ca="1" si="149"/>
        <v>2.6618557453501217</v>
      </c>
      <c r="P502" s="136">
        <f t="shared" ca="1" si="150"/>
        <v>24.349573517107945</v>
      </c>
      <c r="Q502" s="136">
        <f t="shared" ca="1" si="151"/>
        <v>20.946097612518034</v>
      </c>
      <c r="R502" s="136">
        <f t="shared" ca="1" si="152"/>
        <v>2.2647835564812988</v>
      </c>
      <c r="S502" s="136">
        <f t="shared" ca="1" si="153"/>
        <v>2.5308219230234101</v>
      </c>
      <c r="T502" s="104">
        <f t="shared" ca="1" si="154"/>
        <v>0</v>
      </c>
      <c r="U502" s="87">
        <f t="shared" ca="1" si="155"/>
        <v>1300.1875613842344</v>
      </c>
      <c r="V502" s="104">
        <f t="shared" ca="1" si="156"/>
        <v>0</v>
      </c>
      <c r="W502" s="133">
        <f t="shared" ca="1" si="157"/>
        <v>10953.185867583212</v>
      </c>
      <c r="X502" s="104">
        <f t="shared" ca="1" si="158"/>
        <v>0</v>
      </c>
      <c r="Y502" s="135">
        <f t="shared" ca="1" si="159"/>
        <v>0</v>
      </c>
      <c r="AE502" s="104"/>
    </row>
    <row r="503" spans="1:31" x14ac:dyDescent="0.2">
      <c r="A503" s="98">
        <v>3</v>
      </c>
      <c r="B503" s="98">
        <v>3</v>
      </c>
      <c r="C503" s="98">
        <f t="shared" si="140"/>
        <v>8</v>
      </c>
      <c r="D503" s="98">
        <f t="shared" si="141"/>
        <v>7</v>
      </c>
      <c r="E503" s="98">
        <f t="shared" si="142"/>
        <v>3</v>
      </c>
      <c r="F503" s="118">
        <f t="shared" ca="1" si="143"/>
        <v>8.9999999999999998E-4</v>
      </c>
      <c r="G503" s="98">
        <v>1</v>
      </c>
      <c r="H503" s="98">
        <v>1</v>
      </c>
      <c r="I503" s="98">
        <v>2</v>
      </c>
      <c r="J503" s="118">
        <f t="shared" ca="1" si="144"/>
        <v>0</v>
      </c>
      <c r="K503" s="118">
        <f t="shared" ca="1" si="145"/>
        <v>0</v>
      </c>
      <c r="L503" s="133">
        <f t="shared" ca="1" si="146"/>
        <v>360</v>
      </c>
      <c r="M503" s="130">
        <f t="shared" ca="1" si="147"/>
        <v>640</v>
      </c>
      <c r="N503" s="100">
        <f t="shared" ca="1" si="148"/>
        <v>4</v>
      </c>
      <c r="O503" s="136">
        <f t="shared" ca="1" si="149"/>
        <v>2.6618557453501217</v>
      </c>
      <c r="P503" s="136">
        <f t="shared" ca="1" si="150"/>
        <v>26.618557453501214</v>
      </c>
      <c r="Q503" s="136">
        <f t="shared" ca="1" si="151"/>
        <v>25.48406548530458</v>
      </c>
      <c r="R503" s="136">
        <f t="shared" ca="1" si="152"/>
        <v>2.6051311469402898</v>
      </c>
      <c r="S503" s="136">
        <f t="shared" ca="1" si="153"/>
        <v>2.6431366278748771</v>
      </c>
      <c r="T503" s="104">
        <f t="shared" ca="1" si="154"/>
        <v>0</v>
      </c>
      <c r="U503" s="87">
        <f t="shared" ca="1" si="155"/>
        <v>1327.8416384125694</v>
      </c>
      <c r="V503" s="104">
        <f t="shared" ca="1" si="156"/>
        <v>0</v>
      </c>
      <c r="W503" s="133">
        <f t="shared" ca="1" si="157"/>
        <v>8818.0619167872646</v>
      </c>
      <c r="X503" s="104">
        <f t="shared" ca="1" si="158"/>
        <v>0</v>
      </c>
      <c r="Y503" s="135">
        <f t="shared" ca="1" si="159"/>
        <v>0</v>
      </c>
      <c r="AE503" s="104"/>
    </row>
    <row r="504" spans="1:31" x14ac:dyDescent="0.2">
      <c r="A504" s="98">
        <v>3</v>
      </c>
      <c r="B504" s="98">
        <v>3</v>
      </c>
      <c r="C504" s="98">
        <f t="shared" si="140"/>
        <v>8</v>
      </c>
      <c r="D504" s="98">
        <f t="shared" si="141"/>
        <v>7</v>
      </c>
      <c r="E504" s="98">
        <f t="shared" si="142"/>
        <v>3</v>
      </c>
      <c r="F504" s="118">
        <f t="shared" ca="1" si="143"/>
        <v>8.9999999999999998E-4</v>
      </c>
      <c r="G504" s="98">
        <v>1</v>
      </c>
      <c r="H504" s="98">
        <v>1</v>
      </c>
      <c r="I504" s="98">
        <v>1</v>
      </c>
      <c r="J504" s="118">
        <f t="shared" ca="1" si="144"/>
        <v>0</v>
      </c>
      <c r="K504" s="118">
        <f t="shared" ca="1" si="145"/>
        <v>0</v>
      </c>
      <c r="L504" s="133">
        <f t="shared" ca="1" si="146"/>
        <v>348</v>
      </c>
      <c r="M504" s="130">
        <f t="shared" ca="1" si="147"/>
        <v>652</v>
      </c>
      <c r="N504" s="100">
        <f t="shared" ca="1" si="148"/>
        <v>4</v>
      </c>
      <c r="O504" s="136">
        <f t="shared" ca="1" si="149"/>
        <v>2.6618557453501217</v>
      </c>
      <c r="P504" s="136">
        <f t="shared" ca="1" si="150"/>
        <v>26.618557453501214</v>
      </c>
      <c r="Q504" s="136">
        <f t="shared" ca="1" si="151"/>
        <v>26.618557453501214</v>
      </c>
      <c r="R504" s="136">
        <f t="shared" ca="1" si="152"/>
        <v>2.6618557453501213</v>
      </c>
      <c r="S504" s="136">
        <f t="shared" ca="1" si="153"/>
        <v>2.6618557453501213</v>
      </c>
      <c r="T504" s="104">
        <f t="shared" ca="1" si="154"/>
        <v>0</v>
      </c>
      <c r="U504" s="87">
        <f t="shared" ca="1" si="155"/>
        <v>1322.4506512506252</v>
      </c>
      <c r="V504" s="104">
        <f t="shared" ca="1" si="156"/>
        <v>0</v>
      </c>
      <c r="W504" s="133">
        <f t="shared" ca="1" si="157"/>
        <v>6682.9379659913157</v>
      </c>
      <c r="X504" s="104">
        <f t="shared" ca="1" si="158"/>
        <v>0</v>
      </c>
      <c r="Y504" s="135">
        <f t="shared" ca="1" si="159"/>
        <v>0</v>
      </c>
      <c r="AE504" s="104"/>
    </row>
    <row r="505" spans="1:31" x14ac:dyDescent="0.2">
      <c r="A505" s="98">
        <v>3</v>
      </c>
      <c r="B505" s="98">
        <v>3</v>
      </c>
      <c r="C505" s="98">
        <f t="shared" si="140"/>
        <v>8</v>
      </c>
      <c r="D505" s="98">
        <f t="shared" si="141"/>
        <v>7</v>
      </c>
      <c r="E505" s="98">
        <f t="shared" si="142"/>
        <v>3</v>
      </c>
      <c r="F505" s="118">
        <f t="shared" ca="1" si="143"/>
        <v>8.9999999999999998E-4</v>
      </c>
      <c r="G505" s="98">
        <v>1</v>
      </c>
      <c r="H505" s="98">
        <v>1</v>
      </c>
      <c r="I505" s="98">
        <v>0</v>
      </c>
      <c r="J505" s="118">
        <f t="shared" ca="1" si="144"/>
        <v>0</v>
      </c>
      <c r="K505" s="118">
        <f t="shared" ca="1" si="145"/>
        <v>0</v>
      </c>
      <c r="L505" s="133">
        <f t="shared" ca="1" si="146"/>
        <v>336</v>
      </c>
      <c r="M505" s="130">
        <f t="shared" ca="1" si="147"/>
        <v>664</v>
      </c>
      <c r="N505" s="100">
        <f t="shared" ca="1" si="148"/>
        <v>4</v>
      </c>
      <c r="O505" s="136">
        <f t="shared" ca="1" si="149"/>
        <v>2.6618557453501217</v>
      </c>
      <c r="P505" s="136">
        <f t="shared" ca="1" si="150"/>
        <v>26.618557453501214</v>
      </c>
      <c r="Q505" s="136">
        <f t="shared" ca="1" si="151"/>
        <v>26.618557453501214</v>
      </c>
      <c r="R505" s="136">
        <f t="shared" ca="1" si="152"/>
        <v>2.6618557453501213</v>
      </c>
      <c r="S505" s="136">
        <f t="shared" ca="1" si="153"/>
        <v>2.6618557453501213</v>
      </c>
      <c r="T505" s="104">
        <f t="shared" ca="1" si="154"/>
        <v>0</v>
      </c>
      <c r="U505" s="87">
        <f t="shared" ca="1" si="155"/>
        <v>1310.4506512506252</v>
      </c>
      <c r="V505" s="104">
        <f t="shared" ca="1" si="156"/>
        <v>0</v>
      </c>
      <c r="W505" s="133">
        <f t="shared" ca="1" si="157"/>
        <v>4547.8140151953685</v>
      </c>
      <c r="X505" s="104">
        <f t="shared" ca="1" si="158"/>
        <v>0</v>
      </c>
      <c r="Y505" s="135">
        <f t="shared" ca="1" si="159"/>
        <v>0</v>
      </c>
      <c r="AE505" s="104"/>
    </row>
    <row r="506" spans="1:31" x14ac:dyDescent="0.2">
      <c r="A506" s="98">
        <v>3</v>
      </c>
      <c r="B506" s="98">
        <v>3</v>
      </c>
      <c r="C506" s="98">
        <f t="shared" si="140"/>
        <v>8</v>
      </c>
      <c r="D506" s="98">
        <f t="shared" si="141"/>
        <v>7</v>
      </c>
      <c r="E506" s="98">
        <f t="shared" si="142"/>
        <v>3</v>
      </c>
      <c r="F506" s="118">
        <f t="shared" ca="1" si="143"/>
        <v>8.9999999999999998E-4</v>
      </c>
      <c r="G506" s="98">
        <v>1</v>
      </c>
      <c r="H506" s="98">
        <v>0</v>
      </c>
      <c r="I506" s="98">
        <v>7</v>
      </c>
      <c r="J506" s="118">
        <f t="shared" ca="1" si="144"/>
        <v>0.66342043128906247</v>
      </c>
      <c r="K506" s="118">
        <f t="shared" ca="1" si="145"/>
        <v>5.9707838816015616E-4</v>
      </c>
      <c r="L506" s="133">
        <f t="shared" ca="1" si="146"/>
        <v>252</v>
      </c>
      <c r="M506" s="130">
        <f t="shared" ca="1" si="147"/>
        <v>748</v>
      </c>
      <c r="N506" s="100">
        <f t="shared" ca="1" si="148"/>
        <v>4</v>
      </c>
      <c r="O506" s="136">
        <f t="shared" ca="1" si="149"/>
        <v>2.6618557453501217</v>
      </c>
      <c r="P506" s="136">
        <f t="shared" ca="1" si="150"/>
        <v>26.618557453501214</v>
      </c>
      <c r="Q506" s="136">
        <f t="shared" ca="1" si="151"/>
        <v>26.618557453501214</v>
      </c>
      <c r="R506" s="136">
        <f t="shared" ca="1" si="152"/>
        <v>2.6618557453501213</v>
      </c>
      <c r="S506" s="136">
        <f t="shared" ca="1" si="153"/>
        <v>2.6618557453501213</v>
      </c>
      <c r="T506" s="104">
        <f t="shared" ca="1" si="154"/>
        <v>1.5893365379485015E-3</v>
      </c>
      <c r="U506" s="87">
        <f t="shared" ca="1" si="155"/>
        <v>1226.4506512506252</v>
      </c>
      <c r="V506" s="104">
        <f t="shared" ca="1" si="156"/>
        <v>0.73228717800669718</v>
      </c>
      <c r="W506" s="133">
        <f t="shared" ca="1" si="157"/>
        <v>17358.557719971053</v>
      </c>
      <c r="X506" s="104">
        <f t="shared" ca="1" si="158"/>
        <v>10.364419664225352</v>
      </c>
      <c r="Y506" s="135">
        <f t="shared" ca="1" si="159"/>
        <v>0.15046375381635935</v>
      </c>
      <c r="AE506" s="104"/>
    </row>
    <row r="507" spans="1:31" x14ac:dyDescent="0.2">
      <c r="A507" s="98">
        <v>3</v>
      </c>
      <c r="B507" s="98">
        <v>3</v>
      </c>
      <c r="C507" s="98">
        <f t="shared" si="140"/>
        <v>8</v>
      </c>
      <c r="D507" s="98">
        <f t="shared" si="141"/>
        <v>7</v>
      </c>
      <c r="E507" s="98">
        <f t="shared" si="142"/>
        <v>3</v>
      </c>
      <c r="F507" s="118">
        <f t="shared" ca="1" si="143"/>
        <v>8.9999999999999998E-4</v>
      </c>
      <c r="G507" s="98">
        <v>1</v>
      </c>
      <c r="H507" s="98">
        <v>0</v>
      </c>
      <c r="I507" s="98">
        <v>6</v>
      </c>
      <c r="J507" s="118">
        <f t="shared" ca="1" si="144"/>
        <v>0.24441805363281272</v>
      </c>
      <c r="K507" s="118">
        <f t="shared" ca="1" si="145"/>
        <v>2.1997624826953143E-4</v>
      </c>
      <c r="L507" s="133">
        <f t="shared" ca="1" si="146"/>
        <v>240</v>
      </c>
      <c r="M507" s="130">
        <f t="shared" ca="1" si="147"/>
        <v>760</v>
      </c>
      <c r="N507" s="100">
        <f t="shared" ca="1" si="148"/>
        <v>4</v>
      </c>
      <c r="O507" s="136">
        <f t="shared" ca="1" si="149"/>
        <v>2.6618557453501217</v>
      </c>
      <c r="P507" s="136">
        <f t="shared" ca="1" si="150"/>
        <v>26.618557453501214</v>
      </c>
      <c r="Q507" s="136">
        <f t="shared" ca="1" si="151"/>
        <v>26.618557453501214</v>
      </c>
      <c r="R507" s="136">
        <f t="shared" ca="1" si="152"/>
        <v>2.6618557453501213</v>
      </c>
      <c r="S507" s="136">
        <f t="shared" ca="1" si="153"/>
        <v>2.6618557453501213</v>
      </c>
      <c r="T507" s="104">
        <f t="shared" ca="1" si="154"/>
        <v>5.8554504029681691E-4</v>
      </c>
      <c r="U507" s="87">
        <f t="shared" ca="1" si="155"/>
        <v>1214.4506512506252</v>
      </c>
      <c r="V507" s="104">
        <f t="shared" ca="1" si="156"/>
        <v>0.26715029797060169</v>
      </c>
      <c r="W507" s="133">
        <f t="shared" ca="1" si="157"/>
        <v>15223.433769175106</v>
      </c>
      <c r="X507" s="104">
        <f t="shared" ca="1" si="158"/>
        <v>3.3487938463228319</v>
      </c>
      <c r="Y507" s="135">
        <f t="shared" ca="1" si="159"/>
        <v>5.2794299584687544E-2</v>
      </c>
      <c r="AE507" s="104"/>
    </row>
    <row r="508" spans="1:31" x14ac:dyDescent="0.2">
      <c r="A508" s="98">
        <v>3</v>
      </c>
      <c r="B508" s="98">
        <v>3</v>
      </c>
      <c r="C508" s="98">
        <f t="shared" si="140"/>
        <v>8</v>
      </c>
      <c r="D508" s="98">
        <f t="shared" si="141"/>
        <v>7</v>
      </c>
      <c r="E508" s="98">
        <f t="shared" si="142"/>
        <v>3</v>
      </c>
      <c r="F508" s="118">
        <f t="shared" ca="1" si="143"/>
        <v>8.9999999999999998E-4</v>
      </c>
      <c r="G508" s="98">
        <v>1</v>
      </c>
      <c r="H508" s="98">
        <v>0</v>
      </c>
      <c r="I508" s="98">
        <v>5</v>
      </c>
      <c r="J508" s="118">
        <f t="shared" ca="1" si="144"/>
        <v>3.8592324257812567E-2</v>
      </c>
      <c r="K508" s="118">
        <f t="shared" ca="1" si="145"/>
        <v>3.4733091832031313E-5</v>
      </c>
      <c r="L508" s="133">
        <f t="shared" ca="1" si="146"/>
        <v>228</v>
      </c>
      <c r="M508" s="130">
        <f t="shared" ca="1" si="147"/>
        <v>772</v>
      </c>
      <c r="N508" s="100">
        <f t="shared" ca="1" si="148"/>
        <v>4</v>
      </c>
      <c r="O508" s="136">
        <f t="shared" ca="1" si="149"/>
        <v>2.6618557453501217</v>
      </c>
      <c r="P508" s="136">
        <f t="shared" ca="1" si="150"/>
        <v>26.618557453501214</v>
      </c>
      <c r="Q508" s="136">
        <f t="shared" ca="1" si="151"/>
        <v>26.618557453501214</v>
      </c>
      <c r="R508" s="136">
        <f t="shared" ca="1" si="152"/>
        <v>2.6618557453501213</v>
      </c>
      <c r="S508" s="136">
        <f t="shared" ca="1" si="153"/>
        <v>2.6618557453501213</v>
      </c>
      <c r="T508" s="104">
        <f t="shared" ca="1" si="154"/>
        <v>9.2454480046865912E-5</v>
      </c>
      <c r="U508" s="87">
        <f t="shared" ca="1" si="155"/>
        <v>1202.4506512506252</v>
      </c>
      <c r="V508" s="104">
        <f t="shared" ca="1" si="156"/>
        <v>4.1764828893373823E-2</v>
      </c>
      <c r="W508" s="133">
        <f t="shared" ca="1" si="157"/>
        <v>13088.309818379159</v>
      </c>
      <c r="X508" s="104">
        <f t="shared" ca="1" si="158"/>
        <v>0.45459746684784041</v>
      </c>
      <c r="Y508" s="135">
        <f t="shared" ca="1" si="159"/>
        <v>7.9191449377031386E-3</v>
      </c>
      <c r="AE508" s="104"/>
    </row>
    <row r="509" spans="1:31" x14ac:dyDescent="0.2">
      <c r="A509" s="98">
        <v>3</v>
      </c>
      <c r="B509" s="98">
        <v>3</v>
      </c>
      <c r="C509" s="98">
        <f t="shared" si="140"/>
        <v>8</v>
      </c>
      <c r="D509" s="98">
        <f t="shared" si="141"/>
        <v>7</v>
      </c>
      <c r="E509" s="98">
        <f t="shared" si="142"/>
        <v>3</v>
      </c>
      <c r="F509" s="118">
        <f t="shared" ca="1" si="143"/>
        <v>8.9999999999999998E-4</v>
      </c>
      <c r="G509" s="98">
        <v>1</v>
      </c>
      <c r="H509" s="98">
        <v>0</v>
      </c>
      <c r="I509" s="98">
        <v>4</v>
      </c>
      <c r="J509" s="118">
        <f t="shared" ca="1" si="144"/>
        <v>3.3852916015625085E-3</v>
      </c>
      <c r="K509" s="118">
        <f t="shared" ca="1" si="145"/>
        <v>3.0467624414062576E-6</v>
      </c>
      <c r="L509" s="133">
        <f t="shared" ca="1" si="146"/>
        <v>216</v>
      </c>
      <c r="M509" s="130">
        <f t="shared" ca="1" si="147"/>
        <v>784</v>
      </c>
      <c r="N509" s="100">
        <f t="shared" ca="1" si="148"/>
        <v>4</v>
      </c>
      <c r="O509" s="136">
        <f t="shared" ca="1" si="149"/>
        <v>2.6618557453501217</v>
      </c>
      <c r="P509" s="136">
        <f t="shared" ca="1" si="150"/>
        <v>26.618557453501214</v>
      </c>
      <c r="Q509" s="136">
        <f t="shared" ca="1" si="151"/>
        <v>26.618557453501214</v>
      </c>
      <c r="R509" s="136">
        <f t="shared" ca="1" si="152"/>
        <v>2.6618557453501213</v>
      </c>
      <c r="S509" s="136">
        <f t="shared" ca="1" si="153"/>
        <v>2.6618557453501213</v>
      </c>
      <c r="T509" s="104">
        <f t="shared" ca="1" si="154"/>
        <v>8.1100421093742086E-6</v>
      </c>
      <c r="U509" s="87">
        <f t="shared" ca="1" si="155"/>
        <v>1190.4506512506252</v>
      </c>
      <c r="V509" s="104">
        <f t="shared" ca="1" si="156"/>
        <v>3.627020332578024E-3</v>
      </c>
      <c r="W509" s="133">
        <f t="shared" ca="1" si="157"/>
        <v>10953.185867583212</v>
      </c>
      <c r="X509" s="104">
        <f t="shared" ca="1" si="158"/>
        <v>3.3371755315094342E-2</v>
      </c>
      <c r="Y509" s="135">
        <f t="shared" ca="1" si="159"/>
        <v>6.5810068734375158E-4</v>
      </c>
      <c r="AE509" s="104"/>
    </row>
    <row r="510" spans="1:31" x14ac:dyDescent="0.2">
      <c r="A510" s="98">
        <v>3</v>
      </c>
      <c r="B510" s="98">
        <v>3</v>
      </c>
      <c r="C510" s="98">
        <f t="shared" si="140"/>
        <v>8</v>
      </c>
      <c r="D510" s="98">
        <f t="shared" si="141"/>
        <v>7</v>
      </c>
      <c r="E510" s="98">
        <f t="shared" si="142"/>
        <v>3</v>
      </c>
      <c r="F510" s="118">
        <f t="shared" ca="1" si="143"/>
        <v>8.9999999999999998E-4</v>
      </c>
      <c r="G510" s="98">
        <v>1</v>
      </c>
      <c r="H510" s="98">
        <v>0</v>
      </c>
      <c r="I510" s="98">
        <v>3</v>
      </c>
      <c r="J510" s="118">
        <f t="shared" ca="1" si="144"/>
        <v>1.7817324218750058E-4</v>
      </c>
      <c r="K510" s="118">
        <f t="shared" ca="1" si="145"/>
        <v>1.6035591796875052E-7</v>
      </c>
      <c r="L510" s="133">
        <f t="shared" ca="1" si="146"/>
        <v>204</v>
      </c>
      <c r="M510" s="130">
        <f t="shared" ca="1" si="147"/>
        <v>796</v>
      </c>
      <c r="N510" s="100">
        <f t="shared" ca="1" si="148"/>
        <v>4</v>
      </c>
      <c r="O510" s="136">
        <f t="shared" ca="1" si="149"/>
        <v>2.6618557453501217</v>
      </c>
      <c r="P510" s="136">
        <f t="shared" ca="1" si="150"/>
        <v>26.618557453501214</v>
      </c>
      <c r="Q510" s="136">
        <f t="shared" ca="1" si="151"/>
        <v>26.618557453501214</v>
      </c>
      <c r="R510" s="136">
        <f t="shared" ca="1" si="152"/>
        <v>2.6618557453501213</v>
      </c>
      <c r="S510" s="136">
        <f t="shared" ca="1" si="153"/>
        <v>2.6618557453501213</v>
      </c>
      <c r="T510" s="104">
        <f t="shared" ca="1" si="154"/>
        <v>4.2684432154601134E-7</v>
      </c>
      <c r="U510" s="87">
        <f t="shared" ca="1" si="155"/>
        <v>1178.4506512506252</v>
      </c>
      <c r="V510" s="104">
        <f t="shared" ca="1" si="156"/>
        <v>1.8897153596216589E-4</v>
      </c>
      <c r="W510" s="133">
        <f t="shared" ca="1" si="157"/>
        <v>8818.0619167872646</v>
      </c>
      <c r="X510" s="104">
        <f t="shared" ca="1" si="158"/>
        <v>1.4140284133717016E-3</v>
      </c>
      <c r="Y510" s="135">
        <f t="shared" ca="1" si="159"/>
        <v>3.2712607265625109E-5</v>
      </c>
      <c r="AE510" s="104"/>
    </row>
    <row r="511" spans="1:31" x14ac:dyDescent="0.2">
      <c r="A511" s="98">
        <v>3</v>
      </c>
      <c r="B511" s="98">
        <v>3</v>
      </c>
      <c r="C511" s="98">
        <f t="shared" si="140"/>
        <v>8</v>
      </c>
      <c r="D511" s="98">
        <f t="shared" si="141"/>
        <v>7</v>
      </c>
      <c r="E511" s="98">
        <f t="shared" si="142"/>
        <v>3</v>
      </c>
      <c r="F511" s="118">
        <f t="shared" ca="1" si="143"/>
        <v>8.9999999999999998E-4</v>
      </c>
      <c r="G511" s="98">
        <v>1</v>
      </c>
      <c r="H511" s="98">
        <v>0</v>
      </c>
      <c r="I511" s="98">
        <v>2</v>
      </c>
      <c r="J511" s="118">
        <f t="shared" ca="1" si="144"/>
        <v>5.6265234375000243E-6</v>
      </c>
      <c r="K511" s="118">
        <f t="shared" ca="1" si="145"/>
        <v>5.063871093750022E-9</v>
      </c>
      <c r="L511" s="133">
        <f t="shared" ca="1" si="146"/>
        <v>192</v>
      </c>
      <c r="M511" s="130">
        <f t="shared" ca="1" si="147"/>
        <v>808</v>
      </c>
      <c r="N511" s="100">
        <f t="shared" ca="1" si="148"/>
        <v>4</v>
      </c>
      <c r="O511" s="136">
        <f t="shared" ca="1" si="149"/>
        <v>2.6618557453501217</v>
      </c>
      <c r="P511" s="136">
        <f t="shared" ca="1" si="150"/>
        <v>26.618557453501214</v>
      </c>
      <c r="Q511" s="136">
        <f t="shared" ca="1" si="151"/>
        <v>26.618557453501214</v>
      </c>
      <c r="R511" s="136">
        <f t="shared" ca="1" si="152"/>
        <v>2.6618557453501213</v>
      </c>
      <c r="S511" s="136">
        <f t="shared" ca="1" si="153"/>
        <v>2.6618557453501213</v>
      </c>
      <c r="T511" s="104">
        <f t="shared" ca="1" si="154"/>
        <v>1.3479294364610898E-8</v>
      </c>
      <c r="U511" s="87">
        <f t="shared" ca="1" si="155"/>
        <v>1166.4506512506252</v>
      </c>
      <c r="V511" s="104">
        <f t="shared" ca="1" si="156"/>
        <v>5.9067557351539287E-6</v>
      </c>
      <c r="W511" s="133">
        <f t="shared" ca="1" si="157"/>
        <v>6682.9379659913157</v>
      </c>
      <c r="X511" s="104">
        <f t="shared" ca="1" si="158"/>
        <v>3.3841536387307993E-5</v>
      </c>
      <c r="Y511" s="135">
        <f t="shared" ca="1" si="159"/>
        <v>9.7226325000000411E-7</v>
      </c>
      <c r="AE511" s="104"/>
    </row>
    <row r="512" spans="1:31" x14ac:dyDescent="0.2">
      <c r="A512" s="98">
        <v>3</v>
      </c>
      <c r="B512" s="98">
        <v>3</v>
      </c>
      <c r="C512" s="98">
        <f t="shared" si="140"/>
        <v>8</v>
      </c>
      <c r="D512" s="98">
        <f t="shared" si="141"/>
        <v>7</v>
      </c>
      <c r="E512" s="98">
        <f t="shared" si="142"/>
        <v>3</v>
      </c>
      <c r="F512" s="118">
        <f t="shared" ca="1" si="143"/>
        <v>8.9999999999999998E-4</v>
      </c>
      <c r="G512" s="98">
        <v>1</v>
      </c>
      <c r="H512" s="98">
        <v>0</v>
      </c>
      <c r="I512" s="98">
        <v>1</v>
      </c>
      <c r="J512" s="118">
        <f t="shared" ca="1" si="144"/>
        <v>9.8710937500000504E-8</v>
      </c>
      <c r="K512" s="118">
        <f t="shared" ca="1" si="145"/>
        <v>8.8839843750000455E-11</v>
      </c>
      <c r="L512" s="133">
        <f t="shared" ca="1" si="146"/>
        <v>180</v>
      </c>
      <c r="M512" s="130">
        <f t="shared" ca="1" si="147"/>
        <v>820</v>
      </c>
      <c r="N512" s="100">
        <f t="shared" ca="1" si="148"/>
        <v>4</v>
      </c>
      <c r="O512" s="136">
        <f t="shared" ca="1" si="149"/>
        <v>2.6618557453501217</v>
      </c>
      <c r="P512" s="136">
        <f t="shared" ca="1" si="150"/>
        <v>26.618557453501214</v>
      </c>
      <c r="Q512" s="136">
        <f t="shared" ca="1" si="151"/>
        <v>26.618557453501214</v>
      </c>
      <c r="R512" s="136">
        <f t="shared" ca="1" si="152"/>
        <v>2.6618557453501213</v>
      </c>
      <c r="S512" s="136">
        <f t="shared" ca="1" si="153"/>
        <v>2.6618557453501213</v>
      </c>
      <c r="T512" s="104">
        <f t="shared" ca="1" si="154"/>
        <v>2.3647884850194576E-10</v>
      </c>
      <c r="U512" s="87">
        <f t="shared" ca="1" si="155"/>
        <v>1154.4506512506252</v>
      </c>
      <c r="V512" s="104">
        <f t="shared" ca="1" si="156"/>
        <v>1.0256121547419181E-7</v>
      </c>
      <c r="W512" s="133">
        <f t="shared" ca="1" si="157"/>
        <v>4547.8140151953685</v>
      </c>
      <c r="X512" s="104">
        <f t="shared" ca="1" si="158"/>
        <v>4.0402708651401873E-7</v>
      </c>
      <c r="Y512" s="135">
        <f t="shared" ca="1" si="159"/>
        <v>1.5991171875000082E-8</v>
      </c>
      <c r="AE512" s="104"/>
    </row>
    <row r="513" spans="1:31" x14ac:dyDescent="0.2">
      <c r="A513" s="98">
        <v>3</v>
      </c>
      <c r="B513" s="98">
        <v>3</v>
      </c>
      <c r="C513" s="98">
        <f t="shared" si="140"/>
        <v>8</v>
      </c>
      <c r="D513" s="98">
        <f t="shared" si="141"/>
        <v>7</v>
      </c>
      <c r="E513" s="98">
        <f t="shared" si="142"/>
        <v>3</v>
      </c>
      <c r="F513" s="118">
        <f t="shared" ca="1" si="143"/>
        <v>8.9999999999999998E-4</v>
      </c>
      <c r="G513" s="98">
        <v>1</v>
      </c>
      <c r="H513" s="98">
        <v>0</v>
      </c>
      <c r="I513" s="98">
        <v>0</v>
      </c>
      <c r="J513" s="118">
        <f t="shared" ca="1" si="144"/>
        <v>7.4218750000000458E-10</v>
      </c>
      <c r="K513" s="118">
        <f t="shared" ca="1" si="145"/>
        <v>6.6796875000000405E-13</v>
      </c>
      <c r="L513" s="133">
        <f t="shared" ca="1" si="146"/>
        <v>168</v>
      </c>
      <c r="M513" s="130">
        <f t="shared" ca="1" si="147"/>
        <v>832</v>
      </c>
      <c r="N513" s="100">
        <f t="shared" ca="1" si="148"/>
        <v>5</v>
      </c>
      <c r="O513" s="136">
        <f t="shared" ca="1" si="149"/>
        <v>3.2590583346360766</v>
      </c>
      <c r="P513" s="136">
        <f t="shared" ca="1" si="150"/>
        <v>28.410165221359076</v>
      </c>
      <c r="Q513" s="136">
        <f t="shared" ca="1" si="151"/>
        <v>26.618557453501214</v>
      </c>
      <c r="R513" s="136">
        <f t="shared" ca="1" si="152"/>
        <v>2.7514361337430144</v>
      </c>
      <c r="S513" s="136">
        <f t="shared" ca="1" si="153"/>
        <v>3.091543008341366</v>
      </c>
      <c r="T513" s="104">
        <f t="shared" ca="1" si="154"/>
        <v>2.0650541188530342E-12</v>
      </c>
      <c r="U513" s="87">
        <f t="shared" ca="1" si="155"/>
        <v>1294.1569825567776</v>
      </c>
      <c r="V513" s="104">
        <f t="shared" ca="1" si="156"/>
        <v>8.6445642194222784E-10</v>
      </c>
      <c r="W513" s="133">
        <f t="shared" ca="1" si="157"/>
        <v>2412.6900643994204</v>
      </c>
      <c r="X513" s="104">
        <f t="shared" ca="1" si="158"/>
        <v>1.6116015664543102E-9</v>
      </c>
      <c r="Y513" s="135">
        <f t="shared" ca="1" si="159"/>
        <v>1.1221875000000068E-10</v>
      </c>
      <c r="AE513" s="104"/>
    </row>
    <row r="514" spans="1:31" x14ac:dyDescent="0.2">
      <c r="A514" s="98">
        <v>3</v>
      </c>
      <c r="B514" s="98">
        <v>3</v>
      </c>
      <c r="C514" s="98">
        <f t="shared" si="140"/>
        <v>8</v>
      </c>
      <c r="D514" s="98">
        <f t="shared" si="141"/>
        <v>7</v>
      </c>
      <c r="E514" s="98">
        <f t="shared" si="142"/>
        <v>3</v>
      </c>
      <c r="F514" s="118">
        <f t="shared" ca="1" si="143"/>
        <v>8.9999999999999998E-4</v>
      </c>
      <c r="G514" s="98">
        <v>0</v>
      </c>
      <c r="H514" s="98">
        <v>1</v>
      </c>
      <c r="I514" s="98">
        <v>7</v>
      </c>
      <c r="J514" s="118">
        <f t="shared" ca="1" si="144"/>
        <v>0</v>
      </c>
      <c r="K514" s="118">
        <f t="shared" ca="1" si="145"/>
        <v>0</v>
      </c>
      <c r="L514" s="133">
        <f t="shared" ca="1" si="146"/>
        <v>252</v>
      </c>
      <c r="M514" s="130">
        <f t="shared" ca="1" si="147"/>
        <v>748</v>
      </c>
      <c r="N514" s="100">
        <f t="shared" ca="1" si="148"/>
        <v>4</v>
      </c>
      <c r="O514" s="136">
        <f t="shared" ca="1" si="149"/>
        <v>2.6618557453501217</v>
      </c>
      <c r="P514" s="136">
        <f t="shared" ca="1" si="150"/>
        <v>26.618557453501214</v>
      </c>
      <c r="Q514" s="136">
        <f t="shared" ca="1" si="151"/>
        <v>26.618557453501214</v>
      </c>
      <c r="R514" s="136">
        <f t="shared" ca="1" si="152"/>
        <v>2.6618557453501213</v>
      </c>
      <c r="S514" s="136">
        <f t="shared" ca="1" si="153"/>
        <v>2.6618557453501213</v>
      </c>
      <c r="T514" s="104">
        <f t="shared" ca="1" si="154"/>
        <v>0</v>
      </c>
      <c r="U514" s="87">
        <f t="shared" ca="1" si="155"/>
        <v>1226.4506512506252</v>
      </c>
      <c r="V514" s="104">
        <f t="shared" ca="1" si="156"/>
        <v>0</v>
      </c>
      <c r="W514" s="133">
        <f t="shared" ca="1" si="157"/>
        <v>17080.991606367581</v>
      </c>
      <c r="X514" s="104">
        <f t="shared" ca="1" si="158"/>
        <v>0</v>
      </c>
      <c r="Y514" s="135">
        <f t="shared" ca="1" si="159"/>
        <v>0</v>
      </c>
      <c r="AE514" s="104"/>
    </row>
    <row r="515" spans="1:31" x14ac:dyDescent="0.2">
      <c r="A515" s="98">
        <v>3</v>
      </c>
      <c r="B515" s="98">
        <v>3</v>
      </c>
      <c r="C515" s="98">
        <f t="shared" si="140"/>
        <v>8</v>
      </c>
      <c r="D515" s="98">
        <f t="shared" si="141"/>
        <v>7</v>
      </c>
      <c r="E515" s="98">
        <f t="shared" si="142"/>
        <v>3</v>
      </c>
      <c r="F515" s="118">
        <f t="shared" ca="1" si="143"/>
        <v>8.9999999999999998E-4</v>
      </c>
      <c r="G515" s="98">
        <v>0</v>
      </c>
      <c r="H515" s="98">
        <v>1</v>
      </c>
      <c r="I515" s="98">
        <v>6</v>
      </c>
      <c r="J515" s="118">
        <f t="shared" ca="1" si="144"/>
        <v>0</v>
      </c>
      <c r="K515" s="118">
        <f t="shared" ca="1" si="145"/>
        <v>0</v>
      </c>
      <c r="L515" s="133">
        <f t="shared" ca="1" si="146"/>
        <v>240</v>
      </c>
      <c r="M515" s="130">
        <f t="shared" ca="1" si="147"/>
        <v>760</v>
      </c>
      <c r="N515" s="100">
        <f t="shared" ca="1" si="148"/>
        <v>4</v>
      </c>
      <c r="O515" s="136">
        <f t="shared" ca="1" si="149"/>
        <v>2.6618557453501217</v>
      </c>
      <c r="P515" s="136">
        <f t="shared" ca="1" si="150"/>
        <v>26.618557453501214</v>
      </c>
      <c r="Q515" s="136">
        <f t="shared" ca="1" si="151"/>
        <v>26.618557453501214</v>
      </c>
      <c r="R515" s="136">
        <f t="shared" ca="1" si="152"/>
        <v>2.6618557453501213</v>
      </c>
      <c r="S515" s="136">
        <f t="shared" ca="1" si="153"/>
        <v>2.6618557453501213</v>
      </c>
      <c r="T515" s="104">
        <f t="shared" ca="1" si="154"/>
        <v>0</v>
      </c>
      <c r="U515" s="87">
        <f t="shared" ca="1" si="155"/>
        <v>1214.4506512506252</v>
      </c>
      <c r="V515" s="104">
        <f t="shared" ca="1" si="156"/>
        <v>0</v>
      </c>
      <c r="W515" s="133">
        <f t="shared" ca="1" si="157"/>
        <v>14945.867655571634</v>
      </c>
      <c r="X515" s="104">
        <f t="shared" ca="1" si="158"/>
        <v>0</v>
      </c>
      <c r="Y515" s="135">
        <f t="shared" ca="1" si="159"/>
        <v>0</v>
      </c>
      <c r="AE515" s="104"/>
    </row>
    <row r="516" spans="1:31" x14ac:dyDescent="0.2">
      <c r="A516" s="98">
        <v>3</v>
      </c>
      <c r="B516" s="98">
        <v>3</v>
      </c>
      <c r="C516" s="98">
        <f t="shared" si="140"/>
        <v>8</v>
      </c>
      <c r="D516" s="98">
        <f t="shared" si="141"/>
        <v>7</v>
      </c>
      <c r="E516" s="98">
        <f t="shared" si="142"/>
        <v>3</v>
      </c>
      <c r="F516" s="118">
        <f t="shared" ca="1" si="143"/>
        <v>8.9999999999999998E-4</v>
      </c>
      <c r="G516" s="98">
        <v>0</v>
      </c>
      <c r="H516" s="98">
        <v>1</v>
      </c>
      <c r="I516" s="98">
        <v>5</v>
      </c>
      <c r="J516" s="118">
        <f t="shared" ca="1" si="144"/>
        <v>0</v>
      </c>
      <c r="K516" s="118">
        <f t="shared" ca="1" si="145"/>
        <v>0</v>
      </c>
      <c r="L516" s="133">
        <f t="shared" ca="1" si="146"/>
        <v>228</v>
      </c>
      <c r="M516" s="130">
        <f t="shared" ca="1" si="147"/>
        <v>772</v>
      </c>
      <c r="N516" s="100">
        <f t="shared" ca="1" si="148"/>
        <v>4</v>
      </c>
      <c r="O516" s="136">
        <f t="shared" ca="1" si="149"/>
        <v>2.6618557453501217</v>
      </c>
      <c r="P516" s="136">
        <f t="shared" ca="1" si="150"/>
        <v>26.618557453501214</v>
      </c>
      <c r="Q516" s="136">
        <f t="shared" ca="1" si="151"/>
        <v>26.618557453501214</v>
      </c>
      <c r="R516" s="136">
        <f t="shared" ca="1" si="152"/>
        <v>2.6618557453501213</v>
      </c>
      <c r="S516" s="136">
        <f t="shared" ca="1" si="153"/>
        <v>2.6618557453501213</v>
      </c>
      <c r="T516" s="104">
        <f t="shared" ca="1" si="154"/>
        <v>0</v>
      </c>
      <c r="U516" s="87">
        <f t="shared" ca="1" si="155"/>
        <v>1202.4506512506252</v>
      </c>
      <c r="V516" s="104">
        <f t="shared" ca="1" si="156"/>
        <v>0</v>
      </c>
      <c r="W516" s="133">
        <f t="shared" ca="1" si="157"/>
        <v>12810.743704775685</v>
      </c>
      <c r="X516" s="104">
        <f t="shared" ca="1" si="158"/>
        <v>0</v>
      </c>
      <c r="Y516" s="135">
        <f t="shared" ca="1" si="159"/>
        <v>0</v>
      </c>
      <c r="AE516" s="104"/>
    </row>
    <row r="517" spans="1:31" x14ac:dyDescent="0.2">
      <c r="A517" s="98">
        <v>3</v>
      </c>
      <c r="B517" s="98">
        <v>3</v>
      </c>
      <c r="C517" s="98">
        <f t="shared" si="140"/>
        <v>8</v>
      </c>
      <c r="D517" s="98">
        <f t="shared" si="141"/>
        <v>7</v>
      </c>
      <c r="E517" s="98">
        <f t="shared" si="142"/>
        <v>3</v>
      </c>
      <c r="F517" s="118">
        <f t="shared" ca="1" si="143"/>
        <v>8.9999999999999998E-4</v>
      </c>
      <c r="G517" s="98">
        <v>0</v>
      </c>
      <c r="H517" s="98">
        <v>1</v>
      </c>
      <c r="I517" s="98">
        <v>4</v>
      </c>
      <c r="J517" s="118">
        <f t="shared" ca="1" si="144"/>
        <v>0</v>
      </c>
      <c r="K517" s="118">
        <f t="shared" ca="1" si="145"/>
        <v>0</v>
      </c>
      <c r="L517" s="133">
        <f t="shared" ca="1" si="146"/>
        <v>216</v>
      </c>
      <c r="M517" s="130">
        <f t="shared" ca="1" si="147"/>
        <v>784</v>
      </c>
      <c r="N517" s="100">
        <f t="shared" ca="1" si="148"/>
        <v>4</v>
      </c>
      <c r="O517" s="136">
        <f t="shared" ca="1" si="149"/>
        <v>2.6618557453501217</v>
      </c>
      <c r="P517" s="136">
        <f t="shared" ca="1" si="150"/>
        <v>26.618557453501214</v>
      </c>
      <c r="Q517" s="136">
        <f t="shared" ca="1" si="151"/>
        <v>26.618557453501214</v>
      </c>
      <c r="R517" s="136">
        <f t="shared" ca="1" si="152"/>
        <v>2.6618557453501213</v>
      </c>
      <c r="S517" s="136">
        <f t="shared" ca="1" si="153"/>
        <v>2.6618557453501213</v>
      </c>
      <c r="T517" s="104">
        <f t="shared" ca="1" si="154"/>
        <v>0</v>
      </c>
      <c r="U517" s="87">
        <f t="shared" ca="1" si="155"/>
        <v>1190.4506512506252</v>
      </c>
      <c r="V517" s="104">
        <f t="shared" ca="1" si="156"/>
        <v>0</v>
      </c>
      <c r="W517" s="133">
        <f t="shared" ca="1" si="157"/>
        <v>10675.619753979738</v>
      </c>
      <c r="X517" s="104">
        <f t="shared" ca="1" si="158"/>
        <v>0</v>
      </c>
      <c r="Y517" s="135">
        <f t="shared" ca="1" si="159"/>
        <v>0</v>
      </c>
      <c r="AE517" s="104"/>
    </row>
    <row r="518" spans="1:31" x14ac:dyDescent="0.2">
      <c r="A518" s="98">
        <v>3</v>
      </c>
      <c r="B518" s="98">
        <v>3</v>
      </c>
      <c r="C518" s="98">
        <f t="shared" si="140"/>
        <v>8</v>
      </c>
      <c r="D518" s="98">
        <f t="shared" si="141"/>
        <v>7</v>
      </c>
      <c r="E518" s="98">
        <f t="shared" si="142"/>
        <v>3</v>
      </c>
      <c r="F518" s="118">
        <f t="shared" ca="1" si="143"/>
        <v>8.9999999999999998E-4</v>
      </c>
      <c r="G518" s="98">
        <v>0</v>
      </c>
      <c r="H518" s="98">
        <v>1</v>
      </c>
      <c r="I518" s="98">
        <v>3</v>
      </c>
      <c r="J518" s="118">
        <f t="shared" ca="1" si="144"/>
        <v>0</v>
      </c>
      <c r="K518" s="118">
        <f t="shared" ca="1" si="145"/>
        <v>0</v>
      </c>
      <c r="L518" s="133">
        <f t="shared" ca="1" si="146"/>
        <v>204</v>
      </c>
      <c r="M518" s="130">
        <f t="shared" ca="1" si="147"/>
        <v>796</v>
      </c>
      <c r="N518" s="100">
        <f t="shared" ca="1" si="148"/>
        <v>4</v>
      </c>
      <c r="O518" s="136">
        <f t="shared" ca="1" si="149"/>
        <v>2.6618557453501217</v>
      </c>
      <c r="P518" s="136">
        <f t="shared" ca="1" si="150"/>
        <v>26.618557453501214</v>
      </c>
      <c r="Q518" s="136">
        <f t="shared" ca="1" si="151"/>
        <v>26.618557453501214</v>
      </c>
      <c r="R518" s="136">
        <f t="shared" ca="1" si="152"/>
        <v>2.6618557453501213</v>
      </c>
      <c r="S518" s="136">
        <f t="shared" ca="1" si="153"/>
        <v>2.6618557453501213</v>
      </c>
      <c r="T518" s="104">
        <f t="shared" ca="1" si="154"/>
        <v>0</v>
      </c>
      <c r="U518" s="87">
        <f t="shared" ca="1" si="155"/>
        <v>1178.4506512506252</v>
      </c>
      <c r="V518" s="104">
        <f t="shared" ca="1" si="156"/>
        <v>0</v>
      </c>
      <c r="W518" s="133">
        <f t="shared" ca="1" si="157"/>
        <v>8540.4958031837905</v>
      </c>
      <c r="X518" s="104">
        <f t="shared" ca="1" si="158"/>
        <v>0</v>
      </c>
      <c r="Y518" s="135">
        <f t="shared" ca="1" si="159"/>
        <v>0</v>
      </c>
      <c r="AE518" s="104"/>
    </row>
    <row r="519" spans="1:31" x14ac:dyDescent="0.2">
      <c r="A519" s="98">
        <v>3</v>
      </c>
      <c r="B519" s="98">
        <v>3</v>
      </c>
      <c r="C519" s="98">
        <f t="shared" si="140"/>
        <v>8</v>
      </c>
      <c r="D519" s="98">
        <f t="shared" si="141"/>
        <v>7</v>
      </c>
      <c r="E519" s="98">
        <f t="shared" si="142"/>
        <v>3</v>
      </c>
      <c r="F519" s="118">
        <f t="shared" ca="1" si="143"/>
        <v>8.9999999999999998E-4</v>
      </c>
      <c r="G519" s="98">
        <v>0</v>
      </c>
      <c r="H519" s="98">
        <v>1</v>
      </c>
      <c r="I519" s="98">
        <v>2</v>
      </c>
      <c r="J519" s="118">
        <f t="shared" ca="1" si="144"/>
        <v>0</v>
      </c>
      <c r="K519" s="118">
        <f t="shared" ca="1" si="145"/>
        <v>0</v>
      </c>
      <c r="L519" s="133">
        <f t="shared" ca="1" si="146"/>
        <v>192</v>
      </c>
      <c r="M519" s="130">
        <f t="shared" ca="1" si="147"/>
        <v>808</v>
      </c>
      <c r="N519" s="100">
        <f t="shared" ca="1" si="148"/>
        <v>4</v>
      </c>
      <c r="O519" s="136">
        <f t="shared" ca="1" si="149"/>
        <v>2.6618557453501217</v>
      </c>
      <c r="P519" s="136">
        <f t="shared" ca="1" si="150"/>
        <v>26.618557453501214</v>
      </c>
      <c r="Q519" s="136">
        <f t="shared" ca="1" si="151"/>
        <v>26.618557453501214</v>
      </c>
      <c r="R519" s="136">
        <f t="shared" ca="1" si="152"/>
        <v>2.6618557453501213</v>
      </c>
      <c r="S519" s="136">
        <f t="shared" ca="1" si="153"/>
        <v>2.6618557453501213</v>
      </c>
      <c r="T519" s="104">
        <f t="shared" ca="1" si="154"/>
        <v>0</v>
      </c>
      <c r="U519" s="87">
        <f t="shared" ca="1" si="155"/>
        <v>1166.4506512506252</v>
      </c>
      <c r="V519" s="104">
        <f t="shared" ca="1" si="156"/>
        <v>0</v>
      </c>
      <c r="W519" s="133">
        <f t="shared" ca="1" si="157"/>
        <v>6405.3718523878433</v>
      </c>
      <c r="X519" s="104">
        <f t="shared" ca="1" si="158"/>
        <v>0</v>
      </c>
      <c r="Y519" s="135">
        <f t="shared" ca="1" si="159"/>
        <v>0</v>
      </c>
      <c r="AE519" s="104"/>
    </row>
    <row r="520" spans="1:31" x14ac:dyDescent="0.2">
      <c r="A520" s="98">
        <v>3</v>
      </c>
      <c r="B520" s="98">
        <v>3</v>
      </c>
      <c r="C520" s="98">
        <f t="shared" si="140"/>
        <v>8</v>
      </c>
      <c r="D520" s="98">
        <f t="shared" si="141"/>
        <v>7</v>
      </c>
      <c r="E520" s="98">
        <f t="shared" si="142"/>
        <v>3</v>
      </c>
      <c r="F520" s="118">
        <f t="shared" ca="1" si="143"/>
        <v>8.9999999999999998E-4</v>
      </c>
      <c r="G520" s="98">
        <v>0</v>
      </c>
      <c r="H520" s="98">
        <v>1</v>
      </c>
      <c r="I520" s="98">
        <v>1</v>
      </c>
      <c r="J520" s="118">
        <f t="shared" ca="1" si="144"/>
        <v>0</v>
      </c>
      <c r="K520" s="118">
        <f t="shared" ca="1" si="145"/>
        <v>0</v>
      </c>
      <c r="L520" s="133">
        <f t="shared" ca="1" si="146"/>
        <v>180</v>
      </c>
      <c r="M520" s="130">
        <f t="shared" ca="1" si="147"/>
        <v>820</v>
      </c>
      <c r="N520" s="100">
        <f t="shared" ca="1" si="148"/>
        <v>4</v>
      </c>
      <c r="O520" s="136">
        <f t="shared" ca="1" si="149"/>
        <v>2.6618557453501217</v>
      </c>
      <c r="P520" s="136">
        <f t="shared" ca="1" si="150"/>
        <v>26.618557453501214</v>
      </c>
      <c r="Q520" s="136">
        <f t="shared" ca="1" si="151"/>
        <v>26.618557453501214</v>
      </c>
      <c r="R520" s="136">
        <f t="shared" ca="1" si="152"/>
        <v>2.6618557453501213</v>
      </c>
      <c r="S520" s="136">
        <f t="shared" ca="1" si="153"/>
        <v>2.6618557453501213</v>
      </c>
      <c r="T520" s="104">
        <f t="shared" ca="1" si="154"/>
        <v>0</v>
      </c>
      <c r="U520" s="87">
        <f t="shared" ca="1" si="155"/>
        <v>1154.4506512506252</v>
      </c>
      <c r="V520" s="104">
        <f t="shared" ca="1" si="156"/>
        <v>0</v>
      </c>
      <c r="W520" s="133">
        <f t="shared" ca="1" si="157"/>
        <v>4270.2479015918952</v>
      </c>
      <c r="X520" s="104">
        <f t="shared" ca="1" si="158"/>
        <v>0</v>
      </c>
      <c r="Y520" s="135">
        <f t="shared" ca="1" si="159"/>
        <v>0</v>
      </c>
      <c r="AE520" s="104"/>
    </row>
    <row r="521" spans="1:31" x14ac:dyDescent="0.2">
      <c r="A521" s="98">
        <v>3</v>
      </c>
      <c r="B521" s="98">
        <v>3</v>
      </c>
      <c r="C521" s="98">
        <f t="shared" si="140"/>
        <v>8</v>
      </c>
      <c r="D521" s="98">
        <f t="shared" si="141"/>
        <v>7</v>
      </c>
      <c r="E521" s="98">
        <f t="shared" si="142"/>
        <v>3</v>
      </c>
      <c r="F521" s="118">
        <f t="shared" ca="1" si="143"/>
        <v>8.9999999999999998E-4</v>
      </c>
      <c r="G521" s="98">
        <v>0</v>
      </c>
      <c r="H521" s="98">
        <v>1</v>
      </c>
      <c r="I521" s="98">
        <v>0</v>
      </c>
      <c r="J521" s="118">
        <f t="shared" ca="1" si="144"/>
        <v>0</v>
      </c>
      <c r="K521" s="118">
        <f t="shared" ca="1" si="145"/>
        <v>0</v>
      </c>
      <c r="L521" s="133">
        <f t="shared" ca="1" si="146"/>
        <v>168</v>
      </c>
      <c r="M521" s="130">
        <f t="shared" ca="1" si="147"/>
        <v>832</v>
      </c>
      <c r="N521" s="100">
        <f t="shared" ca="1" si="148"/>
        <v>5</v>
      </c>
      <c r="O521" s="136">
        <f t="shared" ca="1" si="149"/>
        <v>3.2590583346360766</v>
      </c>
      <c r="P521" s="136">
        <f t="shared" ca="1" si="150"/>
        <v>28.410165221359076</v>
      </c>
      <c r="Q521" s="136">
        <f t="shared" ca="1" si="151"/>
        <v>26.618557453501214</v>
      </c>
      <c r="R521" s="136">
        <f t="shared" ca="1" si="152"/>
        <v>2.7514361337430144</v>
      </c>
      <c r="S521" s="136">
        <f t="shared" ca="1" si="153"/>
        <v>3.091543008341366</v>
      </c>
      <c r="T521" s="104">
        <f t="shared" ca="1" si="154"/>
        <v>0</v>
      </c>
      <c r="U521" s="87">
        <f t="shared" ca="1" si="155"/>
        <v>1294.1569825567776</v>
      </c>
      <c r="V521" s="104">
        <f t="shared" ca="1" si="156"/>
        <v>0</v>
      </c>
      <c r="W521" s="133">
        <f t="shared" ca="1" si="157"/>
        <v>2135.1239507959476</v>
      </c>
      <c r="X521" s="104">
        <f t="shared" ca="1" si="158"/>
        <v>0</v>
      </c>
      <c r="Y521" s="135">
        <f t="shared" ca="1" si="159"/>
        <v>0</v>
      </c>
      <c r="AE521" s="104"/>
    </row>
    <row r="522" spans="1:31" x14ac:dyDescent="0.2">
      <c r="A522" s="98">
        <v>3</v>
      </c>
      <c r="B522" s="98">
        <v>3</v>
      </c>
      <c r="C522" s="98">
        <f t="shared" si="140"/>
        <v>8</v>
      </c>
      <c r="D522" s="98">
        <f t="shared" si="141"/>
        <v>7</v>
      </c>
      <c r="E522" s="98">
        <f t="shared" si="142"/>
        <v>3</v>
      </c>
      <c r="F522" s="118">
        <f t="shared" ca="1" si="143"/>
        <v>8.9999999999999998E-4</v>
      </c>
      <c r="G522" s="98">
        <v>0</v>
      </c>
      <c r="H522" s="98">
        <v>0</v>
      </c>
      <c r="I522" s="98">
        <v>7</v>
      </c>
      <c r="J522" s="118">
        <f t="shared" ca="1" si="144"/>
        <v>3.4916864804687496E-2</v>
      </c>
      <c r="K522" s="118">
        <f t="shared" ca="1" si="145"/>
        <v>3.1425178324218745E-5</v>
      </c>
      <c r="L522" s="133">
        <f t="shared" ca="1" si="146"/>
        <v>84</v>
      </c>
      <c r="M522" s="130">
        <f t="shared" ca="1" si="147"/>
        <v>916</v>
      </c>
      <c r="N522" s="100">
        <f t="shared" ca="1" si="148"/>
        <v>5</v>
      </c>
      <c r="O522" s="136">
        <f t="shared" ca="1" si="149"/>
        <v>3.2590583346360766</v>
      </c>
      <c r="P522" s="136">
        <f t="shared" ca="1" si="150"/>
        <v>32.590583346360766</v>
      </c>
      <c r="Q522" s="136">
        <f t="shared" ca="1" si="151"/>
        <v>32.590583346360766</v>
      </c>
      <c r="R522" s="136">
        <f t="shared" ca="1" si="152"/>
        <v>3.2590583346360766</v>
      </c>
      <c r="S522" s="136">
        <f t="shared" ca="1" si="153"/>
        <v>3.2590583346360766</v>
      </c>
      <c r="T522" s="104">
        <f t="shared" ca="1" si="154"/>
        <v>1.0241648933497008E-4</v>
      </c>
      <c r="U522" s="87">
        <f t="shared" ca="1" si="155"/>
        <v>1269.3003125517403</v>
      </c>
      <c r="V522" s="104">
        <f t="shared" ca="1" si="156"/>
        <v>3.9887988668925026E-2</v>
      </c>
      <c r="W522" s="133">
        <f t="shared" ca="1" si="157"/>
        <v>14945.867655571634</v>
      </c>
      <c r="X522" s="104">
        <f t="shared" ca="1" si="158"/>
        <v>0.46967655628651173</v>
      </c>
      <c r="Y522" s="135">
        <f t="shared" ca="1" si="159"/>
        <v>2.6397149792343746E-3</v>
      </c>
      <c r="AE522" s="104"/>
    </row>
    <row r="523" spans="1:31" x14ac:dyDescent="0.2">
      <c r="A523" s="98">
        <v>3</v>
      </c>
      <c r="B523" s="98">
        <v>3</v>
      </c>
      <c r="C523" s="98">
        <f t="shared" si="140"/>
        <v>8</v>
      </c>
      <c r="D523" s="98">
        <f t="shared" si="141"/>
        <v>7</v>
      </c>
      <c r="E523" s="98">
        <f t="shared" si="142"/>
        <v>3</v>
      </c>
      <c r="F523" s="118">
        <f t="shared" ca="1" si="143"/>
        <v>8.9999999999999998E-4</v>
      </c>
      <c r="G523" s="98">
        <v>0</v>
      </c>
      <c r="H523" s="98">
        <v>0</v>
      </c>
      <c r="I523" s="98">
        <v>6</v>
      </c>
      <c r="J523" s="118">
        <f t="shared" ca="1" si="144"/>
        <v>1.2864108085937513E-2</v>
      </c>
      <c r="K523" s="118">
        <f t="shared" ca="1" si="145"/>
        <v>1.1577697277343762E-5</v>
      </c>
      <c r="L523" s="133">
        <f t="shared" ca="1" si="146"/>
        <v>72</v>
      </c>
      <c r="M523" s="130">
        <f t="shared" ca="1" si="147"/>
        <v>928</v>
      </c>
      <c r="N523" s="100">
        <f t="shared" ca="1" si="148"/>
        <v>5</v>
      </c>
      <c r="O523" s="136">
        <f t="shared" ca="1" si="149"/>
        <v>3.2590583346360766</v>
      </c>
      <c r="P523" s="136">
        <f t="shared" ca="1" si="150"/>
        <v>32.590583346360766</v>
      </c>
      <c r="Q523" s="136">
        <f t="shared" ca="1" si="151"/>
        <v>32.590583346360766</v>
      </c>
      <c r="R523" s="136">
        <f t="shared" ca="1" si="152"/>
        <v>3.2590583346360766</v>
      </c>
      <c r="S523" s="136">
        <f t="shared" ca="1" si="153"/>
        <v>3.2590583346360766</v>
      </c>
      <c r="T523" s="104">
        <f t="shared" ca="1" si="154"/>
        <v>3.7732390807620596E-5</v>
      </c>
      <c r="U523" s="87">
        <f t="shared" ca="1" si="155"/>
        <v>1257.3003125517403</v>
      </c>
      <c r="V523" s="104">
        <f t="shared" ca="1" si="156"/>
        <v>1.4556642405433744E-2</v>
      </c>
      <c r="W523" s="133">
        <f t="shared" ca="1" si="157"/>
        <v>12810.743704775687</v>
      </c>
      <c r="X523" s="104">
        <f t="shared" ca="1" si="158"/>
        <v>0.1483189125115302</v>
      </c>
      <c r="Y523" s="135">
        <f t="shared" ca="1" si="159"/>
        <v>8.3359420396875085E-4</v>
      </c>
      <c r="AE523" s="104"/>
    </row>
    <row r="524" spans="1:31" x14ac:dyDescent="0.2">
      <c r="A524" s="98">
        <v>3</v>
      </c>
      <c r="B524" s="98">
        <v>3</v>
      </c>
      <c r="C524" s="98">
        <f t="shared" si="140"/>
        <v>8</v>
      </c>
      <c r="D524" s="98">
        <f t="shared" si="141"/>
        <v>7</v>
      </c>
      <c r="E524" s="98">
        <f t="shared" si="142"/>
        <v>3</v>
      </c>
      <c r="F524" s="118">
        <f t="shared" ca="1" si="143"/>
        <v>8.9999999999999998E-4</v>
      </c>
      <c r="G524" s="98">
        <v>0</v>
      </c>
      <c r="H524" s="98">
        <v>0</v>
      </c>
      <c r="I524" s="98">
        <v>5</v>
      </c>
      <c r="J524" s="118">
        <f t="shared" ca="1" si="144"/>
        <v>2.0311749609375038E-3</v>
      </c>
      <c r="K524" s="118">
        <f t="shared" ca="1" si="145"/>
        <v>1.8280574648437534E-6</v>
      </c>
      <c r="L524" s="133">
        <f t="shared" ca="1" si="146"/>
        <v>60</v>
      </c>
      <c r="M524" s="130">
        <f t="shared" ca="1" si="147"/>
        <v>940</v>
      </c>
      <c r="N524" s="100">
        <f t="shared" ca="1" si="148"/>
        <v>5</v>
      </c>
      <c r="O524" s="136">
        <f t="shared" ca="1" si="149"/>
        <v>3.2590583346360766</v>
      </c>
      <c r="P524" s="136">
        <f t="shared" ca="1" si="150"/>
        <v>32.590583346360766</v>
      </c>
      <c r="Q524" s="136">
        <f t="shared" ca="1" si="151"/>
        <v>32.590583346360766</v>
      </c>
      <c r="R524" s="136">
        <f t="shared" ca="1" si="152"/>
        <v>3.2590583346360766</v>
      </c>
      <c r="S524" s="136">
        <f t="shared" ca="1" si="153"/>
        <v>3.2590583346360766</v>
      </c>
      <c r="T524" s="104">
        <f t="shared" ca="1" si="154"/>
        <v>5.9577459169927309E-6</v>
      </c>
      <c r="U524" s="87">
        <f t="shared" ca="1" si="155"/>
        <v>1245.3003125517403</v>
      </c>
      <c r="V524" s="104">
        <f t="shared" ca="1" si="156"/>
        <v>2.276480532332468E-3</v>
      </c>
      <c r="W524" s="133">
        <f t="shared" ca="1" si="157"/>
        <v>10675.619753979738</v>
      </c>
      <c r="X524" s="104">
        <f t="shared" ca="1" si="158"/>
        <v>1.9515646383096094E-2</v>
      </c>
      <c r="Y524" s="135">
        <f t="shared" ca="1" si="159"/>
        <v>1.0968344789062521E-4</v>
      </c>
      <c r="AE524" s="104"/>
    </row>
    <row r="525" spans="1:31" x14ac:dyDescent="0.2">
      <c r="A525" s="98">
        <v>3</v>
      </c>
      <c r="B525" s="98">
        <v>3</v>
      </c>
      <c r="C525" s="98">
        <f t="shared" si="140"/>
        <v>8</v>
      </c>
      <c r="D525" s="98">
        <f t="shared" si="141"/>
        <v>7</v>
      </c>
      <c r="E525" s="98">
        <f t="shared" si="142"/>
        <v>3</v>
      </c>
      <c r="F525" s="118">
        <f t="shared" ca="1" si="143"/>
        <v>8.9999999999999998E-4</v>
      </c>
      <c r="G525" s="98">
        <v>0</v>
      </c>
      <c r="H525" s="98">
        <v>0</v>
      </c>
      <c r="I525" s="98">
        <v>4</v>
      </c>
      <c r="J525" s="118">
        <f t="shared" ca="1" si="144"/>
        <v>1.7817324218750047E-4</v>
      </c>
      <c r="K525" s="118">
        <f t="shared" ca="1" si="145"/>
        <v>1.6035591796875042E-7</v>
      </c>
      <c r="L525" s="133">
        <f t="shared" ca="1" si="146"/>
        <v>48</v>
      </c>
      <c r="M525" s="130">
        <f t="shared" ca="1" si="147"/>
        <v>952</v>
      </c>
      <c r="N525" s="100">
        <f t="shared" ca="1" si="148"/>
        <v>5</v>
      </c>
      <c r="O525" s="136">
        <f t="shared" ca="1" si="149"/>
        <v>3.2590583346360766</v>
      </c>
      <c r="P525" s="136">
        <f t="shared" ca="1" si="150"/>
        <v>32.590583346360766</v>
      </c>
      <c r="Q525" s="136">
        <f t="shared" ca="1" si="151"/>
        <v>32.590583346360766</v>
      </c>
      <c r="R525" s="136">
        <f t="shared" ca="1" si="152"/>
        <v>3.2590583346360766</v>
      </c>
      <c r="S525" s="136">
        <f t="shared" ca="1" si="153"/>
        <v>3.2590583346360766</v>
      </c>
      <c r="T525" s="104">
        <f t="shared" ca="1" si="154"/>
        <v>5.2260929096427502E-7</v>
      </c>
      <c r="U525" s="87">
        <f t="shared" ca="1" si="155"/>
        <v>1233.3003125517403</v>
      </c>
      <c r="V525" s="104">
        <f t="shared" ca="1" si="156"/>
        <v>1.9776700375038111E-4</v>
      </c>
      <c r="W525" s="133">
        <f t="shared" ca="1" si="157"/>
        <v>8540.4958031837905</v>
      </c>
      <c r="X525" s="104">
        <f t="shared" ca="1" si="158"/>
        <v>1.3695190444277972E-3</v>
      </c>
      <c r="Y525" s="135">
        <f t="shared" ca="1" si="159"/>
        <v>7.6970840625000209E-6</v>
      </c>
      <c r="AE525" s="104"/>
    </row>
    <row r="526" spans="1:31" x14ac:dyDescent="0.2">
      <c r="A526" s="98">
        <v>3</v>
      </c>
      <c r="B526" s="98">
        <v>3</v>
      </c>
      <c r="C526" s="98">
        <f t="shared" si="140"/>
        <v>8</v>
      </c>
      <c r="D526" s="98">
        <f t="shared" si="141"/>
        <v>7</v>
      </c>
      <c r="E526" s="98">
        <f t="shared" si="142"/>
        <v>3</v>
      </c>
      <c r="F526" s="118">
        <f t="shared" ca="1" si="143"/>
        <v>8.9999999999999998E-4</v>
      </c>
      <c r="G526" s="98">
        <v>0</v>
      </c>
      <c r="H526" s="98">
        <v>0</v>
      </c>
      <c r="I526" s="98">
        <v>3</v>
      </c>
      <c r="J526" s="118">
        <f t="shared" ca="1" si="144"/>
        <v>9.3775390625000315E-6</v>
      </c>
      <c r="K526" s="118">
        <f t="shared" ca="1" si="145"/>
        <v>8.4397851562500278E-9</v>
      </c>
      <c r="L526" s="133">
        <f t="shared" ca="1" si="146"/>
        <v>36</v>
      </c>
      <c r="M526" s="130">
        <f t="shared" ca="1" si="147"/>
        <v>964</v>
      </c>
      <c r="N526" s="100">
        <f t="shared" ca="1" si="148"/>
        <v>5</v>
      </c>
      <c r="O526" s="136">
        <f t="shared" ca="1" si="149"/>
        <v>3.2590583346360766</v>
      </c>
      <c r="P526" s="136">
        <f t="shared" ca="1" si="150"/>
        <v>32.590583346360766</v>
      </c>
      <c r="Q526" s="136">
        <f t="shared" ca="1" si="151"/>
        <v>32.590583346360766</v>
      </c>
      <c r="R526" s="136">
        <f t="shared" ca="1" si="152"/>
        <v>3.2590583346360766</v>
      </c>
      <c r="S526" s="136">
        <f t="shared" ca="1" si="153"/>
        <v>3.2590583346360766</v>
      </c>
      <c r="T526" s="104">
        <f t="shared" ca="1" si="154"/>
        <v>2.7505752156014494E-8</v>
      </c>
      <c r="U526" s="87">
        <f t="shared" ca="1" si="155"/>
        <v>1221.3003125517403</v>
      </c>
      <c r="V526" s="104">
        <f t="shared" ca="1" si="156"/>
        <v>1.0307512249197696E-5</v>
      </c>
      <c r="W526" s="133">
        <f t="shared" ca="1" si="157"/>
        <v>6405.3718523878433</v>
      </c>
      <c r="X526" s="104">
        <f t="shared" ca="1" si="158"/>
        <v>5.4059962280044661E-5</v>
      </c>
      <c r="Y526" s="135">
        <f t="shared" ca="1" si="159"/>
        <v>3.0383226562500099E-7</v>
      </c>
      <c r="AE526" s="104"/>
    </row>
    <row r="527" spans="1:31" x14ac:dyDescent="0.2">
      <c r="A527" s="98">
        <v>3</v>
      </c>
      <c r="B527" s="98">
        <v>3</v>
      </c>
      <c r="C527" s="98">
        <f t="shared" si="140"/>
        <v>8</v>
      </c>
      <c r="D527" s="98">
        <f t="shared" si="141"/>
        <v>7</v>
      </c>
      <c r="E527" s="98">
        <f t="shared" si="142"/>
        <v>3</v>
      </c>
      <c r="F527" s="118">
        <f t="shared" ca="1" si="143"/>
        <v>8.9999999999999998E-4</v>
      </c>
      <c r="G527" s="98">
        <v>0</v>
      </c>
      <c r="H527" s="98">
        <v>0</v>
      </c>
      <c r="I527" s="98">
        <v>2</v>
      </c>
      <c r="J527" s="118">
        <f t="shared" ca="1" si="144"/>
        <v>2.961328125000013E-7</v>
      </c>
      <c r="K527" s="118">
        <f t="shared" ca="1" si="145"/>
        <v>2.6651953125000117E-10</v>
      </c>
      <c r="L527" s="133">
        <f t="shared" ca="1" si="146"/>
        <v>24</v>
      </c>
      <c r="M527" s="130">
        <f t="shared" ca="1" si="147"/>
        <v>976</v>
      </c>
      <c r="N527" s="100">
        <f t="shared" ca="1" si="148"/>
        <v>5</v>
      </c>
      <c r="O527" s="136">
        <f t="shared" ca="1" si="149"/>
        <v>3.2590583346360766</v>
      </c>
      <c r="P527" s="136">
        <f t="shared" ca="1" si="150"/>
        <v>32.590583346360766</v>
      </c>
      <c r="Q527" s="136">
        <f t="shared" ca="1" si="151"/>
        <v>32.590583346360766</v>
      </c>
      <c r="R527" s="136">
        <f t="shared" ca="1" si="152"/>
        <v>3.2590583346360766</v>
      </c>
      <c r="S527" s="136">
        <f t="shared" ca="1" si="153"/>
        <v>3.2590583346360766</v>
      </c>
      <c r="T527" s="104">
        <f t="shared" ca="1" si="154"/>
        <v>8.6860269966361657E-10</v>
      </c>
      <c r="U527" s="87">
        <f t="shared" ca="1" si="155"/>
        <v>1209.3003125517403</v>
      </c>
      <c r="V527" s="104">
        <f t="shared" ca="1" si="156"/>
        <v>3.2230215244176971E-7</v>
      </c>
      <c r="W527" s="133">
        <f t="shared" ca="1" si="157"/>
        <v>4270.2479015918952</v>
      </c>
      <c r="X527" s="104">
        <f t="shared" ca="1" si="158"/>
        <v>1.1381044690535731E-6</v>
      </c>
      <c r="Y527" s="135">
        <f t="shared" ca="1" si="159"/>
        <v>6.3964687500000277E-9</v>
      </c>
      <c r="AE527" s="104"/>
    </row>
    <row r="528" spans="1:31" x14ac:dyDescent="0.2">
      <c r="A528" s="98">
        <v>3</v>
      </c>
      <c r="B528" s="98">
        <v>3</v>
      </c>
      <c r="C528" s="98">
        <f t="shared" si="140"/>
        <v>8</v>
      </c>
      <c r="D528" s="98">
        <f t="shared" si="141"/>
        <v>7</v>
      </c>
      <c r="E528" s="98">
        <f t="shared" si="142"/>
        <v>3</v>
      </c>
      <c r="F528" s="118">
        <f t="shared" ca="1" si="143"/>
        <v>8.9999999999999998E-4</v>
      </c>
      <c r="G528" s="98">
        <v>0</v>
      </c>
      <c r="H528" s="98">
        <v>0</v>
      </c>
      <c r="I528" s="98">
        <v>1</v>
      </c>
      <c r="J528" s="118">
        <f t="shared" ca="1" si="144"/>
        <v>5.1953125000000272E-9</v>
      </c>
      <c r="K528" s="118">
        <f t="shared" ca="1" si="145"/>
        <v>4.6757812500000246E-12</v>
      </c>
      <c r="L528" s="133">
        <f t="shared" ca="1" si="146"/>
        <v>12</v>
      </c>
      <c r="M528" s="130">
        <f t="shared" ca="1" si="147"/>
        <v>988</v>
      </c>
      <c r="N528" s="100">
        <f t="shared" ca="1" si="148"/>
        <v>5</v>
      </c>
      <c r="O528" s="136">
        <f t="shared" ca="1" si="149"/>
        <v>3.2590583346360766</v>
      </c>
      <c r="P528" s="136">
        <f t="shared" ca="1" si="150"/>
        <v>32.590583346360766</v>
      </c>
      <c r="Q528" s="136">
        <f t="shared" ca="1" si="151"/>
        <v>32.590583346360766</v>
      </c>
      <c r="R528" s="136">
        <f t="shared" ca="1" si="152"/>
        <v>3.2590583346360766</v>
      </c>
      <c r="S528" s="136">
        <f t="shared" ca="1" si="153"/>
        <v>3.2590583346360766</v>
      </c>
      <c r="T528" s="104">
        <f t="shared" ca="1" si="154"/>
        <v>1.5238643853747672E-11</v>
      </c>
      <c r="U528" s="87">
        <f t="shared" ca="1" si="155"/>
        <v>1197.3003125517403</v>
      </c>
      <c r="V528" s="104">
        <f t="shared" ca="1" si="156"/>
        <v>5.5983143520485963E-9</v>
      </c>
      <c r="W528" s="133">
        <f t="shared" ca="1" si="157"/>
        <v>2135.1239507959476</v>
      </c>
      <c r="X528" s="104">
        <f t="shared" ca="1" si="158"/>
        <v>9.9833725355576676E-9</v>
      </c>
      <c r="Y528" s="135">
        <f t="shared" ca="1" si="159"/>
        <v>5.6109375000000293E-11</v>
      </c>
      <c r="AE528" s="104"/>
    </row>
    <row r="529" spans="1:31" x14ac:dyDescent="0.2">
      <c r="A529" s="98">
        <v>3</v>
      </c>
      <c r="B529" s="98">
        <v>3</v>
      </c>
      <c r="C529" s="98">
        <f t="shared" si="140"/>
        <v>8</v>
      </c>
      <c r="D529" s="98">
        <f t="shared" si="141"/>
        <v>7</v>
      </c>
      <c r="E529" s="98">
        <f t="shared" si="142"/>
        <v>3</v>
      </c>
      <c r="F529" s="118">
        <f t="shared" ca="1" si="143"/>
        <v>8.9999999999999998E-4</v>
      </c>
      <c r="G529" s="98">
        <v>0</v>
      </c>
      <c r="H529" s="98">
        <v>0</v>
      </c>
      <c r="I529" s="98">
        <v>0</v>
      </c>
      <c r="J529" s="118">
        <f t="shared" ca="1" si="144"/>
        <v>3.9062500000000246E-11</v>
      </c>
      <c r="K529" s="118">
        <f t="shared" ca="1" si="145"/>
        <v>3.5156250000000219E-14</v>
      </c>
      <c r="L529" s="133">
        <f t="shared" ca="1" si="146"/>
        <v>0</v>
      </c>
      <c r="M529" s="130">
        <f t="shared" ca="1" si="147"/>
        <v>1000</v>
      </c>
      <c r="N529" s="100">
        <f t="shared" ca="1" si="148"/>
        <v>5</v>
      </c>
      <c r="O529" s="136">
        <f t="shared" ca="1" si="149"/>
        <v>3.2590583346360766</v>
      </c>
      <c r="P529" s="136">
        <f t="shared" ca="1" si="150"/>
        <v>32.590583346360766</v>
      </c>
      <c r="Q529" s="136">
        <f t="shared" ca="1" si="151"/>
        <v>32.590583346360766</v>
      </c>
      <c r="R529" s="136">
        <f t="shared" ca="1" si="152"/>
        <v>3.2590583346360766</v>
      </c>
      <c r="S529" s="136">
        <f t="shared" ca="1" si="153"/>
        <v>3.2590583346360766</v>
      </c>
      <c r="T529" s="104">
        <f t="shared" ca="1" si="154"/>
        <v>1.1457626957705027E-13</v>
      </c>
      <c r="U529" s="87">
        <f t="shared" ca="1" si="155"/>
        <v>1185.3003125517403</v>
      </c>
      <c r="V529" s="104">
        <f t="shared" ca="1" si="156"/>
        <v>4.1670714113147382E-11</v>
      </c>
      <c r="W529" s="133">
        <f t="shared" ca="1" si="157"/>
        <v>0</v>
      </c>
      <c r="X529" s="104">
        <f t="shared" ca="1" si="158"/>
        <v>0</v>
      </c>
      <c r="Y529" s="135">
        <f t="shared" ca="1" si="159"/>
        <v>0</v>
      </c>
      <c r="AE529" s="104"/>
    </row>
    <row r="531" spans="1:31" x14ac:dyDescent="0.2">
      <c r="J531" s="101" t="s">
        <v>235</v>
      </c>
      <c r="K531" s="106">
        <f ca="1">SUM(K18:K529)</f>
        <v>1.0000000000000004</v>
      </c>
      <c r="O531" s="100"/>
      <c r="P531" s="100"/>
      <c r="Q531" s="100"/>
      <c r="R531" s="100"/>
      <c r="S531" s="100" t="s">
        <v>236</v>
      </c>
      <c r="T531" s="104">
        <f ca="1">SUM(T18:T529)</f>
        <v>2.6917331012774013</v>
      </c>
      <c r="U531" s="98" t="s">
        <v>202</v>
      </c>
      <c r="V531" s="104">
        <f ca="1">SUM(V18:V529)</f>
        <v>1191.9970647286375</v>
      </c>
      <c r="W531" s="98" t="s">
        <v>237</v>
      </c>
      <c r="X531" s="104">
        <f ca="1">SUM(X18:X529)</f>
        <v>10725.412339099068</v>
      </c>
      <c r="Y531" s="104">
        <f ca="1">SUM(Y18:Y529)</f>
        <v>206.99784839999987</v>
      </c>
      <c r="AE531" s="104"/>
    </row>
    <row r="534" spans="1:31" x14ac:dyDescent="0.2">
      <c r="A534" s="98" t="s">
        <v>387</v>
      </c>
      <c r="I534" s="225" t="s">
        <v>1712</v>
      </c>
      <c r="L534" s="225" t="s">
        <v>1711</v>
      </c>
      <c r="Q534" s="100"/>
      <c r="R534" s="100"/>
    </row>
    <row r="535" spans="1:31" x14ac:dyDescent="0.2">
      <c r="A535" s="129" t="str">
        <f>Setup!C29</f>
        <v>Stardiver</v>
      </c>
      <c r="F535" s="101"/>
      <c r="I535" s="98" t="str">
        <f>VLOOKUP($A$535, WeaponskillData, MATCH("WSC1 Name", WeaponskillDataCols, 0), 0)</f>
        <v>Str</v>
      </c>
      <c r="J535" s="130">
        <f ca="1">INDIRECT($A$534 &amp; "WS" &amp; I535)</f>
        <v>354</v>
      </c>
      <c r="K535" s="131">
        <f>VLOOKUP($A$535, WeaponskillData, MATCH("WSC1 Value", WeaponskillDataCols, 0), 0)</f>
        <v>0.85</v>
      </c>
      <c r="L535" s="98" t="str">
        <f>IF(Gear!$X4="Utu Grip","Dex","N/A")</f>
        <v>N/A</v>
      </c>
      <c r="M535" s="98">
        <f ca="1">IF(L535&lt;&gt;"N/A",INDIRECT($A$534 &amp; "WS" &amp; L535),0)</f>
        <v>0</v>
      </c>
      <c r="N535" s="101">
        <f>IF(Gear!$X4="Utu Grip",10%,0%)</f>
        <v>0</v>
      </c>
      <c r="P535" s="100"/>
      <c r="Q535" s="132"/>
      <c r="R535" s="132"/>
    </row>
    <row r="536" spans="1:31" x14ac:dyDescent="0.2">
      <c r="A536" s="98" t="s">
        <v>190</v>
      </c>
      <c r="B536" s="107">
        <f ca="1">Set2MeleeTP</f>
        <v>217</v>
      </c>
      <c r="D536" s="98" t="s">
        <v>191</v>
      </c>
      <c r="E536" s="101">
        <f ca="1">Set2DA</f>
        <v>0.36</v>
      </c>
      <c r="F536" s="101">
        <f ca="1">Set2DA</f>
        <v>0.36</v>
      </c>
      <c r="I536" s="98" t="str">
        <f>VLOOKUP($A$535, WeaponskillData, MATCH("WSC2 Name", WeaponskillDataCols, 0), 0)</f>
        <v>N/A</v>
      </c>
      <c r="J536" s="130">
        <f ca="1">IF(I536&lt;&gt;"N/A", INDIRECT($A$534 &amp; "WS" &amp; I536), 0)</f>
        <v>0</v>
      </c>
      <c r="K536" s="131">
        <f>IF(I536&lt;&gt;"N/A", VLOOKUP($A$535, WeaponskillData, MATCH("WSC2 Value", WeaponskillDataCols, 0), 0), 0)</f>
        <v>0</v>
      </c>
      <c r="P536" s="100"/>
      <c r="Q536" s="120"/>
      <c r="R536" s="120"/>
    </row>
    <row r="537" spans="1:31" x14ac:dyDescent="0.2">
      <c r="A537" s="98" t="s">
        <v>193</v>
      </c>
      <c r="B537" s="98">
        <f ca="1">Set2WSTP</f>
        <v>168</v>
      </c>
      <c r="D537" s="98" t="s">
        <v>194</v>
      </c>
      <c r="E537" s="101">
        <f ca="1">Set2TA</f>
        <v>0.09</v>
      </c>
      <c r="F537" s="101">
        <f ca="1">Set2TA</f>
        <v>0.09</v>
      </c>
      <c r="I537" s="98" t="s">
        <v>197</v>
      </c>
      <c r="J537" s="98">
        <f ca="1">TRUNC(J535*K535+J536*K536+M535*N535)</f>
        <v>300</v>
      </c>
    </row>
    <row r="538" spans="1:31" x14ac:dyDescent="0.2">
      <c r="A538" s="98" t="s">
        <v>383</v>
      </c>
      <c r="B538" s="98">
        <f ca="1">Set2WSStoreTP</f>
        <v>26</v>
      </c>
      <c r="D538" s="98" t="s">
        <v>196</v>
      </c>
      <c r="E538" s="101">
        <f ca="1">Set2QA</f>
        <v>0.03</v>
      </c>
      <c r="F538" s="101">
        <f ca="1">Set2QA</f>
        <v>0.03</v>
      </c>
      <c r="I538" s="98" t="s">
        <v>199</v>
      </c>
      <c r="J538" s="113">
        <f>VLOOKUP($A$535, WeaponskillData, MATCH("FTP1", WeaponskillDataCols, 0), 0)</f>
        <v>0.75</v>
      </c>
      <c r="K538" s="113">
        <f>VLOOKUP($A$535, WeaponskillData, MATCH("FTP2", WeaponskillDataCols, 0), 0)</f>
        <v>1.25</v>
      </c>
      <c r="L538" s="113">
        <f>VLOOKUP($A$535, WeaponskillData, MATCH("FTP3", WeaponskillDataCols, 0), 0)</f>
        <v>1.75</v>
      </c>
    </row>
    <row r="539" spans="1:31" x14ac:dyDescent="0.2">
      <c r="A539" s="98" t="s">
        <v>198</v>
      </c>
      <c r="B539" s="98">
        <f ca="1">TRUNC(10*(1+B538/100))</f>
        <v>12</v>
      </c>
      <c r="D539" s="121" t="s">
        <v>437</v>
      </c>
      <c r="E539" s="101">
        <f>Melee!B64</f>
        <v>0</v>
      </c>
      <c r="F539" s="101">
        <v>0</v>
      </c>
      <c r="I539" s="134" t="s">
        <v>201</v>
      </c>
      <c r="J539" s="113">
        <f ca="1">J538+Set2FTP</f>
        <v>0.9453125</v>
      </c>
      <c r="K539" s="113">
        <f ca="1">K538+Set2FTP</f>
        <v>1.4453125</v>
      </c>
      <c r="L539" s="113">
        <f ca="1">L538+Set2FTP</f>
        <v>1.9453125</v>
      </c>
    </row>
    <row r="540" spans="1:31" x14ac:dyDescent="0.2">
      <c r="A540" s="98" t="s">
        <v>200</v>
      </c>
      <c r="B540" s="99">
        <f ca="1">Set2WSHitRate</f>
        <v>0.95</v>
      </c>
      <c r="D540" s="121" t="s">
        <v>438</v>
      </c>
      <c r="E540" s="101">
        <f>Melee!B65</f>
        <v>0</v>
      </c>
      <c r="F540" s="101">
        <v>0</v>
      </c>
      <c r="I540" s="98" t="s">
        <v>202</v>
      </c>
      <c r="J540" s="107">
        <f ca="1">MIN(TRUNC(V1064+Set2TPBonus+Set2Fotia*Set2OverTP*AvgHitsPerRound2*Set2MeleeTP), 3000)</f>
        <v>1487</v>
      </c>
      <c r="K540" s="98" t="s">
        <v>203</v>
      </c>
      <c r="L540" s="113">
        <f ca="1">IF(J540&lt;1000, 0, IF(J540&lt;2000, J539+(J540-1000)/1000*(K539-J539), K539+(J540-2000)/1000*(L539-K539)))</f>
        <v>1.1888125</v>
      </c>
    </row>
    <row r="541" spans="1:31" x14ac:dyDescent="0.2">
      <c r="D541" s="121" t="s">
        <v>439</v>
      </c>
      <c r="E541" s="101">
        <f>Melee!B66</f>
        <v>0</v>
      </c>
      <c r="F541" s="101">
        <v>0</v>
      </c>
      <c r="I541" s="98" t="s">
        <v>205</v>
      </c>
      <c r="J541" s="131">
        <f>VLOOKUP($A$535, WeaponskillData, MATCH("Crit0", WeaponskillDataCols, 0), 0)</f>
        <v>0</v>
      </c>
      <c r="K541" s="118">
        <f ca="1">(MIN(J540-1000, 1000)/1000)*VLOOKUP($A$535, WeaponskillData, MATCH("Crit1", WeaponskillDataCols, 0), 0) + (MAX(J540-2000, 0)/1000)*VLOOKUP($A$535, WeaponskillData, MATCH("Crit2", WeaponskillDataCols, 0), 0)</f>
        <v>0</v>
      </c>
      <c r="P541" s="98" t="s">
        <v>206</v>
      </c>
      <c r="Q541" s="104">
        <f>Set2OverTP</f>
        <v>0</v>
      </c>
    </row>
    <row r="542" spans="1:31" x14ac:dyDescent="0.2">
      <c r="A542" s="98" t="s">
        <v>204</v>
      </c>
      <c r="B542" s="98">
        <f>VLOOKUP($A$535, WeaponskillData, MATCH("Extra Hits", WeaponskillDataCols, 0), 0)</f>
        <v>3</v>
      </c>
      <c r="K542" s="98" t="s">
        <v>208</v>
      </c>
      <c r="L542" s="98" t="s">
        <v>209</v>
      </c>
      <c r="M542" s="98" t="s">
        <v>131</v>
      </c>
      <c r="P542" s="98" t="s">
        <v>343</v>
      </c>
      <c r="Q542" s="101">
        <f ca="1">Set2ConserveTP</f>
        <v>0.33</v>
      </c>
    </row>
    <row r="543" spans="1:31" x14ac:dyDescent="0.2">
      <c r="A543" s="98" t="s">
        <v>207</v>
      </c>
      <c r="B543" s="98">
        <f>VLOOKUP($A$535, WeaponskillData, MATCH("Offhand", WeaponskillDataCols, 0), 0)</f>
        <v>0</v>
      </c>
      <c r="I543" s="98" t="s">
        <v>210</v>
      </c>
      <c r="J543" s="98">
        <f ca="1">Set2MainDmg</f>
        <v>347</v>
      </c>
      <c r="K543" s="98">
        <f ca="1">FLOOR((J543+J537)*L540, 1)</f>
        <v>769</v>
      </c>
      <c r="L543" s="118">
        <f>IF(J541=0, 0, MIN($J$541+$K$541+Set2CritMain, 100%))</f>
        <v>0</v>
      </c>
      <c r="M543" s="101">
        <f ca="1">Set2CritDmg</f>
        <v>1.08</v>
      </c>
      <c r="P543" s="98" t="s">
        <v>344</v>
      </c>
      <c r="Q543" s="98">
        <f ca="1">Set2SaveTP</f>
        <v>0</v>
      </c>
    </row>
    <row r="544" spans="1:31" x14ac:dyDescent="0.2">
      <c r="I544" s="98" t="s">
        <v>211</v>
      </c>
      <c r="J544" s="98">
        <f ca="1">Set2MainDmg</f>
        <v>347</v>
      </c>
      <c r="K544" s="98">
        <f ca="1">IF(J544&gt;0, FLOOR((J544+$J$537) * IF(VLOOKUP($A$535, WeaponskillData, MATCH("FTPCarry", WeaponskillDataCols, 0), 0)=1, $L$540, 1), 1), 0)</f>
        <v>769</v>
      </c>
      <c r="L544" s="118">
        <f>IF(J541=0, 0, MIN($J$541+$K$541+Set2CritMain, 100%))</f>
        <v>0</v>
      </c>
      <c r="M544" s="101">
        <f ca="1">Set2CritDmg</f>
        <v>1.08</v>
      </c>
      <c r="P544" s="98" t="s">
        <v>378</v>
      </c>
      <c r="Q544" s="98">
        <f>Set2MinTP</f>
        <v>1000</v>
      </c>
    </row>
    <row r="545" spans="1:24" x14ac:dyDescent="0.2">
      <c r="I545" s="98" t="s">
        <v>212</v>
      </c>
      <c r="J545" s="98">
        <v>0</v>
      </c>
      <c r="K545" s="98">
        <f>IF(J545&gt;0, FLOOR((J545+$J$537) * IF(VLOOKUP($A$535, WeaponskillData, MATCH("FTPCarry", WeaponskillDataCols, 0), 0)=1, $L$540, 1), 1), 0)</f>
        <v>0</v>
      </c>
      <c r="L545" s="118">
        <f>IF(J541=0, 0, MIN($J$541+$K$541+Set2CritMain, 100%))</f>
        <v>0</v>
      </c>
      <c r="P545" s="121" t="s">
        <v>402</v>
      </c>
      <c r="Q545" s="101">
        <f ca="1">Set2WSDmg</f>
        <v>1.1299999999999999</v>
      </c>
      <c r="V545" s="107"/>
    </row>
    <row r="546" spans="1:24" x14ac:dyDescent="0.2">
      <c r="I546" s="98" t="s">
        <v>213</v>
      </c>
      <c r="J546" s="98">
        <f ca="1">Set2OffDmg</f>
        <v>347</v>
      </c>
      <c r="K546" s="98">
        <f ca="1">IF(J546&gt;0, FLOOR((J546+$J$537) * IF(VLOOKUP($A$535, WeaponskillData, MATCH("FTPCarry", WeaponskillDataCols, 0), 0)=1, $L$540, 1), 1), 0)</f>
        <v>769</v>
      </c>
      <c r="L546" s="118">
        <f>IF(J541=0, 0, MIN($J$541+$K$541+Set2CritOff, 100%))</f>
        <v>0</v>
      </c>
    </row>
    <row r="547" spans="1:24" x14ac:dyDescent="0.2">
      <c r="I547" s="98" t="s">
        <v>164</v>
      </c>
      <c r="J547" s="135">
        <f ca="1">Set2CRatio</f>
        <v>2.7626628075253254</v>
      </c>
      <c r="K547" t="s">
        <v>522</v>
      </c>
      <c r="L547" s="135">
        <f ca="1">Data!E119</f>
        <v>2.8317293777134585</v>
      </c>
      <c r="M547" s="135">
        <f ca="1">Data!E135</f>
        <v>3.8567293777134584</v>
      </c>
    </row>
    <row r="548" spans="1:24" x14ac:dyDescent="0.2">
      <c r="I548" s="98" t="s">
        <v>214</v>
      </c>
      <c r="J548" s="130">
        <f ca="1">Set2Regain</f>
        <v>0</v>
      </c>
    </row>
    <row r="550" spans="1:24" x14ac:dyDescent="0.2">
      <c r="A550" s="98" t="s">
        <v>384</v>
      </c>
      <c r="B550" s="98" t="s">
        <v>385</v>
      </c>
      <c r="C550" s="98" t="s">
        <v>216</v>
      </c>
      <c r="D550" s="134" t="s">
        <v>218</v>
      </c>
      <c r="E550" s="98" t="s">
        <v>217</v>
      </c>
      <c r="F550" s="98" t="s">
        <v>386</v>
      </c>
      <c r="G550" s="98" t="s">
        <v>219</v>
      </c>
      <c r="H550" s="98" t="s">
        <v>220</v>
      </c>
      <c r="I550" s="98" t="s">
        <v>221</v>
      </c>
      <c r="J550" s="98" t="s">
        <v>222</v>
      </c>
      <c r="K550" s="101" t="s">
        <v>223</v>
      </c>
      <c r="L550" s="98" t="s">
        <v>224</v>
      </c>
      <c r="M550" s="98" t="s">
        <v>379</v>
      </c>
      <c r="N550" s="100" t="s">
        <v>380</v>
      </c>
      <c r="O550" s="115" t="s">
        <v>225</v>
      </c>
      <c r="P550" s="115" t="s">
        <v>226</v>
      </c>
      <c r="Q550" s="115" t="s">
        <v>227</v>
      </c>
      <c r="R550" s="115" t="s">
        <v>228</v>
      </c>
      <c r="S550" s="115" t="s">
        <v>229</v>
      </c>
      <c r="T550" s="110" t="s">
        <v>230</v>
      </c>
      <c r="U550" s="110" t="s">
        <v>231</v>
      </c>
      <c r="V550" s="110" t="s">
        <v>232</v>
      </c>
      <c r="W550" s="110" t="s">
        <v>233</v>
      </c>
      <c r="X550" s="110" t="s">
        <v>234</v>
      </c>
    </row>
    <row r="551" spans="1:24" x14ac:dyDescent="0.2">
      <c r="A551" s="98">
        <v>0</v>
      </c>
      <c r="B551" s="98">
        <v>0</v>
      </c>
      <c r="C551" s="98">
        <f t="shared" ref="C551:C614" si="160">MIN(8, 1+$B$543+$B$542+A551+B551)</f>
        <v>4</v>
      </c>
      <c r="D551" s="98">
        <f t="shared" ref="D551:D614" si="161">C551-(1+$B$543)</f>
        <v>3</v>
      </c>
      <c r="E551" s="98">
        <f t="shared" ref="E551:E614" si="162">MIN(A551, C551-(1+$B$543+$B$542))</f>
        <v>0</v>
      </c>
      <c r="F551" s="118">
        <f t="shared" ref="F551:F614" ca="1" si="163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0.31914364518399996</v>
      </c>
      <c r="G551" s="98">
        <v>1</v>
      </c>
      <c r="H551" s="98">
        <v>1</v>
      </c>
      <c r="I551" s="98">
        <v>7</v>
      </c>
      <c r="J551" s="118">
        <f t="shared" ref="J551:J614" si="164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18">
        <f t="shared" ref="K551:K614" ca="1" si="165">F551*J551</f>
        <v>0</v>
      </c>
      <c r="L551" s="133">
        <f t="shared" ref="L551:L614" ca="1" si="166">MAX((G551+H551)*Set2WSTP + I551*$B$539, Set2SaveTP)</f>
        <v>420</v>
      </c>
      <c r="M551" s="130">
        <f t="shared" ref="M551:M614" ca="1" si="167">MAX(Set2MinTP-(L551+Set2Regain), 0)</f>
        <v>580</v>
      </c>
      <c r="N551" s="100">
        <f t="shared" ref="N551:N614" ca="1" si="168">CEILING(M551/Set2MeleeTP, 1)</f>
        <v>3</v>
      </c>
      <c r="O551" s="136">
        <f t="shared" ref="O551:O614" ca="1" si="169">VLOOKUP(N551, AvgRoundsSet2, 2)</f>
        <v>2.1177215542739054</v>
      </c>
      <c r="P551" s="136">
        <f t="shared" ref="P551:P614" ca="1" si="170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21.177215542739059</v>
      </c>
      <c r="Q551" s="136">
        <f t="shared" ref="Q551:Q614" ca="1" si="171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21.177215542739059</v>
      </c>
      <c r="R551" s="136">
        <f t="shared" ref="R551:R614" ca="1" si="172">(P551+Q551)/20</f>
        <v>2.1177215542739058</v>
      </c>
      <c r="S551" s="136">
        <f t="shared" ref="S551:S614" ca="1" si="173">R551*Set2ConserveTP + O551*(1-Set2ConserveTP)</f>
        <v>2.1177215542739054</v>
      </c>
      <c r="T551" s="104">
        <f t="shared" ref="T551:T614" ca="1" si="174">K551*S551</f>
        <v>0</v>
      </c>
      <c r="U551" s="120">
        <f t="shared" ref="U551:U614" ca="1" si="175">MIN(L551+(S551+Set2OverTP)*AvgHitsPerRound2*Set2MeleeTP + Set2Regain + 105*Set2ConserveTP, 3000)</f>
        <v>1227.5224659982036</v>
      </c>
      <c r="V551" s="104">
        <f t="shared" ref="V551:V614" ca="1" si="176">U551*K551</f>
        <v>0</v>
      </c>
      <c r="W551" s="133">
        <f t="shared" ref="W551:W614" ca="1" si="177">G551*$K$543*((1-$L$543)*$L$547 + $L$543*$M$547*$M$543)*Set2WSDmg + H551*$K$546*((1-$L$546)*$L$547 + $L$546*$M$547*$M$544) + I551*$K$544*((1-$L$544)*$L$547 + $L$544*$M$547*$M$544) + E551*$K$545*$L$545*$M$543</f>
        <v>19881.48700904486</v>
      </c>
      <c r="X551" s="104">
        <f t="shared" ref="X551:X614" ca="1" si="178">K551*W551</f>
        <v>0</v>
      </c>
    </row>
    <row r="552" spans="1:24" x14ac:dyDescent="0.2">
      <c r="A552" s="98">
        <v>0</v>
      </c>
      <c r="B552" s="98">
        <v>0</v>
      </c>
      <c r="C552" s="98">
        <f t="shared" si="160"/>
        <v>4</v>
      </c>
      <c r="D552" s="98">
        <f t="shared" si="161"/>
        <v>3</v>
      </c>
      <c r="E552" s="98">
        <f t="shared" si="162"/>
        <v>0</v>
      </c>
      <c r="F552" s="118">
        <f t="shared" ca="1" si="163"/>
        <v>0.31914364518399996</v>
      </c>
      <c r="G552" s="98">
        <v>1</v>
      </c>
      <c r="H552" s="98">
        <v>1</v>
      </c>
      <c r="I552" s="98">
        <v>6</v>
      </c>
      <c r="J552" s="118">
        <f t="shared" si="164"/>
        <v>0</v>
      </c>
      <c r="K552" s="118">
        <f t="shared" ca="1" si="165"/>
        <v>0</v>
      </c>
      <c r="L552" s="133">
        <f t="shared" ca="1" si="166"/>
        <v>408</v>
      </c>
      <c r="M552" s="130">
        <f t="shared" ca="1" si="167"/>
        <v>592</v>
      </c>
      <c r="N552" s="100">
        <f t="shared" ca="1" si="168"/>
        <v>3</v>
      </c>
      <c r="O552" s="136">
        <f t="shared" ca="1" si="169"/>
        <v>2.1177215542739054</v>
      </c>
      <c r="P552" s="136">
        <f t="shared" ca="1" si="170"/>
        <v>21.177215542739059</v>
      </c>
      <c r="Q552" s="136">
        <f t="shared" ca="1" si="171"/>
        <v>21.177215542739059</v>
      </c>
      <c r="R552" s="136">
        <f t="shared" ca="1" si="172"/>
        <v>2.1177215542739058</v>
      </c>
      <c r="S552" s="136">
        <f t="shared" ca="1" si="173"/>
        <v>2.1177215542739054</v>
      </c>
      <c r="T552" s="104">
        <f t="shared" ca="1" si="174"/>
        <v>0</v>
      </c>
      <c r="U552" s="120">
        <f t="shared" ca="1" si="175"/>
        <v>1215.5224659982036</v>
      </c>
      <c r="V552" s="104">
        <f t="shared" ca="1" si="176"/>
        <v>0</v>
      </c>
      <c r="W552" s="133">
        <f t="shared" ca="1" si="177"/>
        <v>17703.88711758321</v>
      </c>
      <c r="X552" s="104">
        <f t="shared" ca="1" si="178"/>
        <v>0</v>
      </c>
    </row>
    <row r="553" spans="1:24" x14ac:dyDescent="0.2">
      <c r="A553" s="98">
        <v>0</v>
      </c>
      <c r="B553" s="98">
        <v>0</v>
      </c>
      <c r="C553" s="98">
        <f t="shared" si="160"/>
        <v>4</v>
      </c>
      <c r="D553" s="98">
        <f t="shared" si="161"/>
        <v>3</v>
      </c>
      <c r="E553" s="98">
        <f t="shared" si="162"/>
        <v>0</v>
      </c>
      <c r="F553" s="118">
        <f t="shared" ca="1" si="163"/>
        <v>0.31914364518399996</v>
      </c>
      <c r="G553" s="98">
        <v>1</v>
      </c>
      <c r="H553" s="98">
        <v>1</v>
      </c>
      <c r="I553" s="98">
        <v>5</v>
      </c>
      <c r="J553" s="118">
        <f t="shared" si="164"/>
        <v>0</v>
      </c>
      <c r="K553" s="118">
        <f t="shared" ca="1" si="165"/>
        <v>0</v>
      </c>
      <c r="L553" s="133">
        <f t="shared" ca="1" si="166"/>
        <v>396</v>
      </c>
      <c r="M553" s="130">
        <f t="shared" ca="1" si="167"/>
        <v>604</v>
      </c>
      <c r="N553" s="100">
        <f t="shared" ca="1" si="168"/>
        <v>3</v>
      </c>
      <c r="O553" s="136">
        <f t="shared" ca="1" si="169"/>
        <v>2.1177215542739054</v>
      </c>
      <c r="P553" s="136">
        <f t="shared" ca="1" si="170"/>
        <v>21.177215542739059</v>
      </c>
      <c r="Q553" s="136">
        <f t="shared" ca="1" si="171"/>
        <v>21.177215542739059</v>
      </c>
      <c r="R553" s="136">
        <f t="shared" ca="1" si="172"/>
        <v>2.1177215542739058</v>
      </c>
      <c r="S553" s="136">
        <f t="shared" ca="1" si="173"/>
        <v>2.1177215542739054</v>
      </c>
      <c r="T553" s="104">
        <f t="shared" ca="1" si="174"/>
        <v>0</v>
      </c>
      <c r="U553" s="120">
        <f t="shared" ca="1" si="175"/>
        <v>1203.5224659982036</v>
      </c>
      <c r="V553" s="104">
        <f t="shared" ca="1" si="176"/>
        <v>0</v>
      </c>
      <c r="W553" s="133">
        <f t="shared" ca="1" si="177"/>
        <v>15526.28722612156</v>
      </c>
      <c r="X553" s="104">
        <f t="shared" ca="1" si="178"/>
        <v>0</v>
      </c>
    </row>
    <row r="554" spans="1:24" x14ac:dyDescent="0.2">
      <c r="A554" s="98">
        <v>0</v>
      </c>
      <c r="B554" s="98">
        <v>0</v>
      </c>
      <c r="C554" s="98">
        <f t="shared" si="160"/>
        <v>4</v>
      </c>
      <c r="D554" s="98">
        <f t="shared" si="161"/>
        <v>3</v>
      </c>
      <c r="E554" s="98">
        <f t="shared" si="162"/>
        <v>0</v>
      </c>
      <c r="F554" s="118">
        <f t="shared" ca="1" si="163"/>
        <v>0.31914364518399996</v>
      </c>
      <c r="G554" s="98">
        <v>1</v>
      </c>
      <c r="H554" s="98">
        <v>1</v>
      </c>
      <c r="I554" s="98">
        <v>4</v>
      </c>
      <c r="J554" s="118">
        <f t="shared" si="164"/>
        <v>0</v>
      </c>
      <c r="K554" s="118">
        <f t="shared" ca="1" si="165"/>
        <v>0</v>
      </c>
      <c r="L554" s="133">
        <f t="shared" ca="1" si="166"/>
        <v>384</v>
      </c>
      <c r="M554" s="130">
        <f t="shared" ca="1" si="167"/>
        <v>616</v>
      </c>
      <c r="N554" s="100">
        <f t="shared" ca="1" si="168"/>
        <v>3</v>
      </c>
      <c r="O554" s="136">
        <f t="shared" ca="1" si="169"/>
        <v>2.1177215542739054</v>
      </c>
      <c r="P554" s="136">
        <f t="shared" ca="1" si="170"/>
        <v>21.177215542739059</v>
      </c>
      <c r="Q554" s="136">
        <f t="shared" ca="1" si="171"/>
        <v>21.177215542739059</v>
      </c>
      <c r="R554" s="136">
        <f t="shared" ca="1" si="172"/>
        <v>2.1177215542739058</v>
      </c>
      <c r="S554" s="136">
        <f t="shared" ca="1" si="173"/>
        <v>2.1177215542739054</v>
      </c>
      <c r="T554" s="104">
        <f t="shared" ca="1" si="174"/>
        <v>0</v>
      </c>
      <c r="U554" s="120">
        <f t="shared" ca="1" si="175"/>
        <v>1191.5224659982036</v>
      </c>
      <c r="V554" s="104">
        <f t="shared" ca="1" si="176"/>
        <v>0</v>
      </c>
      <c r="W554" s="133">
        <f t="shared" ca="1" si="177"/>
        <v>13348.68733465991</v>
      </c>
      <c r="X554" s="104">
        <f t="shared" ca="1" si="178"/>
        <v>0</v>
      </c>
    </row>
    <row r="555" spans="1:24" x14ac:dyDescent="0.2">
      <c r="A555" s="98">
        <v>0</v>
      </c>
      <c r="B555" s="98">
        <v>0</v>
      </c>
      <c r="C555" s="98">
        <f t="shared" si="160"/>
        <v>4</v>
      </c>
      <c r="D555" s="98">
        <f t="shared" si="161"/>
        <v>3</v>
      </c>
      <c r="E555" s="98">
        <f t="shared" si="162"/>
        <v>0</v>
      </c>
      <c r="F555" s="118">
        <f t="shared" ca="1" si="163"/>
        <v>0.31914364518399996</v>
      </c>
      <c r="G555" s="98">
        <v>1</v>
      </c>
      <c r="H555" s="98">
        <v>1</v>
      </c>
      <c r="I555" s="98">
        <v>3</v>
      </c>
      <c r="J555" s="118">
        <f t="shared" ca="1" si="164"/>
        <v>0</v>
      </c>
      <c r="K555" s="118">
        <f t="shared" ca="1" si="165"/>
        <v>0</v>
      </c>
      <c r="L555" s="133">
        <f t="shared" ca="1" si="166"/>
        <v>372</v>
      </c>
      <c r="M555" s="130">
        <f t="shared" ca="1" si="167"/>
        <v>628</v>
      </c>
      <c r="N555" s="100">
        <f t="shared" ca="1" si="168"/>
        <v>3</v>
      </c>
      <c r="O555" s="136">
        <f t="shared" ca="1" si="169"/>
        <v>2.1177215542739054</v>
      </c>
      <c r="P555" s="136">
        <f t="shared" ca="1" si="170"/>
        <v>21.177215542739059</v>
      </c>
      <c r="Q555" s="136">
        <f t="shared" ca="1" si="171"/>
        <v>21.177215542739059</v>
      </c>
      <c r="R555" s="136">
        <f t="shared" ca="1" si="172"/>
        <v>2.1177215542739058</v>
      </c>
      <c r="S555" s="136">
        <f t="shared" ca="1" si="173"/>
        <v>2.1177215542739054</v>
      </c>
      <c r="T555" s="104">
        <f t="shared" ca="1" si="174"/>
        <v>0</v>
      </c>
      <c r="U555" s="120">
        <f t="shared" ca="1" si="175"/>
        <v>1179.5224659982036</v>
      </c>
      <c r="V555" s="104">
        <f t="shared" ca="1" si="176"/>
        <v>0</v>
      </c>
      <c r="W555" s="133">
        <f t="shared" ca="1" si="177"/>
        <v>11171.087443198263</v>
      </c>
      <c r="X555" s="104">
        <f t="shared" ca="1" si="178"/>
        <v>0</v>
      </c>
    </row>
    <row r="556" spans="1:24" x14ac:dyDescent="0.2">
      <c r="A556" s="98">
        <v>0</v>
      </c>
      <c r="B556" s="98">
        <v>0</v>
      </c>
      <c r="C556" s="98">
        <f t="shared" si="160"/>
        <v>4</v>
      </c>
      <c r="D556" s="98">
        <f t="shared" si="161"/>
        <v>3</v>
      </c>
      <c r="E556" s="98">
        <f t="shared" si="162"/>
        <v>0</v>
      </c>
      <c r="F556" s="118">
        <f t="shared" ca="1" si="163"/>
        <v>0.31914364518399996</v>
      </c>
      <c r="G556" s="98">
        <v>1</v>
      </c>
      <c r="H556" s="98">
        <v>1</v>
      </c>
      <c r="I556" s="98">
        <v>2</v>
      </c>
      <c r="J556" s="118">
        <f t="shared" ca="1" si="164"/>
        <v>0</v>
      </c>
      <c r="K556" s="118">
        <f t="shared" ca="1" si="165"/>
        <v>0</v>
      </c>
      <c r="L556" s="133">
        <f t="shared" ca="1" si="166"/>
        <v>360</v>
      </c>
      <c r="M556" s="130">
        <f t="shared" ca="1" si="167"/>
        <v>640</v>
      </c>
      <c r="N556" s="100">
        <f t="shared" ca="1" si="168"/>
        <v>3</v>
      </c>
      <c r="O556" s="136">
        <f t="shared" ca="1" si="169"/>
        <v>2.1177215542739054</v>
      </c>
      <c r="P556" s="136">
        <f t="shared" ca="1" si="170"/>
        <v>21.177215542739059</v>
      </c>
      <c r="Q556" s="136">
        <f t="shared" ca="1" si="171"/>
        <v>21.177215542739059</v>
      </c>
      <c r="R556" s="136">
        <f t="shared" ca="1" si="172"/>
        <v>2.1177215542739058</v>
      </c>
      <c r="S556" s="136">
        <f t="shared" ca="1" si="173"/>
        <v>2.1177215542739054</v>
      </c>
      <c r="T556" s="104">
        <f t="shared" ca="1" si="174"/>
        <v>0</v>
      </c>
      <c r="U556" s="120">
        <f t="shared" ca="1" si="175"/>
        <v>1167.5224659982036</v>
      </c>
      <c r="V556" s="104">
        <f t="shared" ca="1" si="176"/>
        <v>0</v>
      </c>
      <c r="W556" s="133">
        <f t="shared" ca="1" si="177"/>
        <v>8993.4875517366127</v>
      </c>
      <c r="X556" s="104">
        <f t="shared" ca="1" si="178"/>
        <v>0</v>
      </c>
    </row>
    <row r="557" spans="1:24" x14ac:dyDescent="0.2">
      <c r="A557" s="98">
        <v>0</v>
      </c>
      <c r="B557" s="98">
        <v>0</v>
      </c>
      <c r="C557" s="98">
        <f t="shared" si="160"/>
        <v>4</v>
      </c>
      <c r="D557" s="98">
        <f t="shared" si="161"/>
        <v>3</v>
      </c>
      <c r="E557" s="98">
        <f t="shared" si="162"/>
        <v>0</v>
      </c>
      <c r="F557" s="118">
        <f t="shared" ca="1" si="163"/>
        <v>0.31914364518399996</v>
      </c>
      <c r="G557" s="98">
        <v>1</v>
      </c>
      <c r="H557" s="98">
        <v>1</v>
      </c>
      <c r="I557" s="98">
        <v>1</v>
      </c>
      <c r="J557" s="118">
        <f t="shared" ca="1" si="164"/>
        <v>0</v>
      </c>
      <c r="K557" s="118">
        <f t="shared" ca="1" si="165"/>
        <v>0</v>
      </c>
      <c r="L557" s="133">
        <f t="shared" ca="1" si="166"/>
        <v>348</v>
      </c>
      <c r="M557" s="130">
        <f t="shared" ca="1" si="167"/>
        <v>652</v>
      </c>
      <c r="N557" s="100">
        <f t="shared" ca="1" si="168"/>
        <v>4</v>
      </c>
      <c r="O557" s="136">
        <f t="shared" ca="1" si="169"/>
        <v>2.6973744602864622</v>
      </c>
      <c r="P557" s="136">
        <f t="shared" ca="1" si="170"/>
        <v>21.177215542739059</v>
      </c>
      <c r="Q557" s="136">
        <f t="shared" ca="1" si="171"/>
        <v>21.177215542739059</v>
      </c>
      <c r="R557" s="136">
        <f t="shared" ca="1" si="172"/>
        <v>2.1177215542739058</v>
      </c>
      <c r="S557" s="136">
        <f t="shared" ca="1" si="173"/>
        <v>2.5060890013023185</v>
      </c>
      <c r="T557" s="104">
        <f t="shared" ca="1" si="174"/>
        <v>0</v>
      </c>
      <c r="U557" s="120">
        <f t="shared" ca="1" si="175"/>
        <v>1297.2589968903351</v>
      </c>
      <c r="V557" s="104">
        <f t="shared" ca="1" si="176"/>
        <v>0</v>
      </c>
      <c r="W557" s="133">
        <f t="shared" ca="1" si="177"/>
        <v>6815.8876602749624</v>
      </c>
      <c r="X557" s="104">
        <f t="shared" ca="1" si="178"/>
        <v>0</v>
      </c>
    </row>
    <row r="558" spans="1:24" x14ac:dyDescent="0.2">
      <c r="A558" s="98">
        <v>0</v>
      </c>
      <c r="B558" s="98">
        <v>0</v>
      </c>
      <c r="C558" s="98">
        <f t="shared" si="160"/>
        <v>4</v>
      </c>
      <c r="D558" s="98">
        <f t="shared" si="161"/>
        <v>3</v>
      </c>
      <c r="E558" s="98">
        <f t="shared" si="162"/>
        <v>0</v>
      </c>
      <c r="F558" s="118">
        <f t="shared" ca="1" si="163"/>
        <v>0.31914364518399996</v>
      </c>
      <c r="G558" s="98">
        <v>1</v>
      </c>
      <c r="H558" s="98">
        <v>1</v>
      </c>
      <c r="I558" s="98">
        <v>0</v>
      </c>
      <c r="J558" s="118">
        <f t="shared" ca="1" si="164"/>
        <v>0</v>
      </c>
      <c r="K558" s="118">
        <f t="shared" ca="1" si="165"/>
        <v>0</v>
      </c>
      <c r="L558" s="133">
        <f t="shared" ca="1" si="166"/>
        <v>336</v>
      </c>
      <c r="M558" s="130">
        <f t="shared" ca="1" si="167"/>
        <v>664</v>
      </c>
      <c r="N558" s="100">
        <f t="shared" ca="1" si="168"/>
        <v>4</v>
      </c>
      <c r="O558" s="136">
        <f t="shared" ca="1" si="169"/>
        <v>2.6973744602864622</v>
      </c>
      <c r="P558" s="136">
        <f t="shared" ca="1" si="170"/>
        <v>26.973744602864617</v>
      </c>
      <c r="Q558" s="136">
        <f t="shared" ca="1" si="171"/>
        <v>22.336521354764173</v>
      </c>
      <c r="R558" s="136">
        <f t="shared" ca="1" si="172"/>
        <v>2.4655132978814391</v>
      </c>
      <c r="S558" s="136">
        <f t="shared" ca="1" si="173"/>
        <v>2.6208602766928046</v>
      </c>
      <c r="T558" s="104">
        <f t="shared" ca="1" si="174"/>
        <v>0</v>
      </c>
      <c r="U558" s="120">
        <f t="shared" ca="1" si="175"/>
        <v>1327.1453149748754</v>
      </c>
      <c r="V558" s="104">
        <f t="shared" ca="1" si="176"/>
        <v>0</v>
      </c>
      <c r="W558" s="133">
        <f t="shared" ca="1" si="177"/>
        <v>4638.2877688133131</v>
      </c>
      <c r="X558" s="104">
        <f t="shared" ca="1" si="178"/>
        <v>0</v>
      </c>
    </row>
    <row r="559" spans="1:24" x14ac:dyDescent="0.2">
      <c r="A559" s="98">
        <v>0</v>
      </c>
      <c r="B559" s="98">
        <v>0</v>
      </c>
      <c r="C559" s="98">
        <f t="shared" si="160"/>
        <v>4</v>
      </c>
      <c r="D559" s="98">
        <f t="shared" si="161"/>
        <v>3</v>
      </c>
      <c r="E559" s="98">
        <f t="shared" si="162"/>
        <v>0</v>
      </c>
      <c r="F559" s="118">
        <f t="shared" ca="1" si="163"/>
        <v>0.31914364518399996</v>
      </c>
      <c r="G559" s="98">
        <v>1</v>
      </c>
      <c r="H559" s="98">
        <v>0</v>
      </c>
      <c r="I559" s="98">
        <v>7</v>
      </c>
      <c r="J559" s="118">
        <f t="shared" si="164"/>
        <v>0</v>
      </c>
      <c r="K559" s="118">
        <f t="shared" ca="1" si="165"/>
        <v>0</v>
      </c>
      <c r="L559" s="133">
        <f t="shared" ca="1" si="166"/>
        <v>252</v>
      </c>
      <c r="M559" s="130">
        <f t="shared" ca="1" si="167"/>
        <v>748</v>
      </c>
      <c r="N559" s="100">
        <f t="shared" ca="1" si="168"/>
        <v>4</v>
      </c>
      <c r="O559" s="136">
        <f t="shared" ca="1" si="169"/>
        <v>2.6973744602864622</v>
      </c>
      <c r="P559" s="136">
        <f t="shared" ca="1" si="170"/>
        <v>26.973744602864617</v>
      </c>
      <c r="Q559" s="136">
        <f t="shared" ca="1" si="171"/>
        <v>26.973744602864617</v>
      </c>
      <c r="R559" s="136">
        <f t="shared" ca="1" si="172"/>
        <v>2.6973744602864618</v>
      </c>
      <c r="S559" s="136">
        <f t="shared" ca="1" si="173"/>
        <v>2.6973744602864622</v>
      </c>
      <c r="T559" s="104">
        <f t="shared" ca="1" si="174"/>
        <v>0</v>
      </c>
      <c r="U559" s="120">
        <f t="shared" ca="1" si="175"/>
        <v>1271.0695270312358</v>
      </c>
      <c r="V559" s="104">
        <f t="shared" ca="1" si="176"/>
        <v>0</v>
      </c>
      <c r="W559" s="133">
        <f t="shared" ca="1" si="177"/>
        <v>17703.88711758321</v>
      </c>
      <c r="X559" s="104">
        <f t="shared" ca="1" si="178"/>
        <v>0</v>
      </c>
    </row>
    <row r="560" spans="1:24" x14ac:dyDescent="0.2">
      <c r="A560" s="98">
        <v>0</v>
      </c>
      <c r="B560" s="98">
        <v>0</v>
      </c>
      <c r="C560" s="98">
        <f t="shared" si="160"/>
        <v>4</v>
      </c>
      <c r="D560" s="98">
        <f t="shared" si="161"/>
        <v>3</v>
      </c>
      <c r="E560" s="98">
        <f t="shared" si="162"/>
        <v>0</v>
      </c>
      <c r="F560" s="118">
        <f t="shared" ca="1" si="163"/>
        <v>0.31914364518399996</v>
      </c>
      <c r="G560" s="98">
        <v>1</v>
      </c>
      <c r="H560" s="98">
        <v>0</v>
      </c>
      <c r="I560" s="98">
        <v>6</v>
      </c>
      <c r="J560" s="118">
        <f t="shared" si="164"/>
        <v>0</v>
      </c>
      <c r="K560" s="118">
        <f t="shared" ca="1" si="165"/>
        <v>0</v>
      </c>
      <c r="L560" s="133">
        <f t="shared" ca="1" si="166"/>
        <v>240</v>
      </c>
      <c r="M560" s="130">
        <f t="shared" ca="1" si="167"/>
        <v>760</v>
      </c>
      <c r="N560" s="100">
        <f t="shared" ca="1" si="168"/>
        <v>4</v>
      </c>
      <c r="O560" s="136">
        <f t="shared" ca="1" si="169"/>
        <v>2.6973744602864622</v>
      </c>
      <c r="P560" s="136">
        <f t="shared" ca="1" si="170"/>
        <v>26.973744602864617</v>
      </c>
      <c r="Q560" s="136">
        <f t="shared" ca="1" si="171"/>
        <v>26.973744602864617</v>
      </c>
      <c r="R560" s="136">
        <f t="shared" ca="1" si="172"/>
        <v>2.6973744602864618</v>
      </c>
      <c r="S560" s="136">
        <f t="shared" ca="1" si="173"/>
        <v>2.6973744602864622</v>
      </c>
      <c r="T560" s="104">
        <f t="shared" ca="1" si="174"/>
        <v>0</v>
      </c>
      <c r="U560" s="120">
        <f t="shared" ca="1" si="175"/>
        <v>1259.0695270312358</v>
      </c>
      <c r="V560" s="104">
        <f t="shared" ca="1" si="176"/>
        <v>0</v>
      </c>
      <c r="W560" s="133">
        <f t="shared" ca="1" si="177"/>
        <v>15526.287226121562</v>
      </c>
      <c r="X560" s="104">
        <f t="shared" ca="1" si="178"/>
        <v>0</v>
      </c>
    </row>
    <row r="561" spans="1:24" x14ac:dyDescent="0.2">
      <c r="A561" s="98">
        <v>0</v>
      </c>
      <c r="B561" s="98">
        <v>0</v>
      </c>
      <c r="C561" s="98">
        <f t="shared" si="160"/>
        <v>4</v>
      </c>
      <c r="D561" s="98">
        <f t="shared" si="161"/>
        <v>3</v>
      </c>
      <c r="E561" s="98">
        <f t="shared" si="162"/>
        <v>0</v>
      </c>
      <c r="F561" s="118">
        <f t="shared" ca="1" si="163"/>
        <v>0.31914364518399996</v>
      </c>
      <c r="G561" s="98">
        <v>1</v>
      </c>
      <c r="H561" s="98">
        <v>0</v>
      </c>
      <c r="I561" s="98">
        <v>5</v>
      </c>
      <c r="J561" s="118">
        <f t="shared" si="164"/>
        <v>0</v>
      </c>
      <c r="K561" s="118">
        <f t="shared" ca="1" si="165"/>
        <v>0</v>
      </c>
      <c r="L561" s="133">
        <f t="shared" ca="1" si="166"/>
        <v>228</v>
      </c>
      <c r="M561" s="130">
        <f t="shared" ca="1" si="167"/>
        <v>772</v>
      </c>
      <c r="N561" s="100">
        <f t="shared" ca="1" si="168"/>
        <v>4</v>
      </c>
      <c r="O561" s="136">
        <f t="shared" ca="1" si="169"/>
        <v>2.6973744602864622</v>
      </c>
      <c r="P561" s="136">
        <f t="shared" ca="1" si="170"/>
        <v>26.973744602864617</v>
      </c>
      <c r="Q561" s="136">
        <f t="shared" ca="1" si="171"/>
        <v>26.973744602864617</v>
      </c>
      <c r="R561" s="136">
        <f t="shared" ca="1" si="172"/>
        <v>2.6973744602864618</v>
      </c>
      <c r="S561" s="136">
        <f t="shared" ca="1" si="173"/>
        <v>2.6973744602864622</v>
      </c>
      <c r="T561" s="104">
        <f t="shared" ca="1" si="174"/>
        <v>0</v>
      </c>
      <c r="U561" s="120">
        <f t="shared" ca="1" si="175"/>
        <v>1247.0695270312358</v>
      </c>
      <c r="V561" s="104">
        <f t="shared" ca="1" si="176"/>
        <v>0</v>
      </c>
      <c r="W561" s="133">
        <f t="shared" ca="1" si="177"/>
        <v>13348.687334659911</v>
      </c>
      <c r="X561" s="104">
        <f t="shared" ca="1" si="178"/>
        <v>0</v>
      </c>
    </row>
    <row r="562" spans="1:24" x14ac:dyDescent="0.2">
      <c r="A562" s="98">
        <v>0</v>
      </c>
      <c r="B562" s="98">
        <v>0</v>
      </c>
      <c r="C562" s="98">
        <f t="shared" si="160"/>
        <v>4</v>
      </c>
      <c r="D562" s="98">
        <f t="shared" si="161"/>
        <v>3</v>
      </c>
      <c r="E562" s="98">
        <f t="shared" si="162"/>
        <v>0</v>
      </c>
      <c r="F562" s="118">
        <f t="shared" ca="1" si="163"/>
        <v>0.31914364518399996</v>
      </c>
      <c r="G562" s="98">
        <v>1</v>
      </c>
      <c r="H562" s="98">
        <v>0</v>
      </c>
      <c r="I562" s="98">
        <v>4</v>
      </c>
      <c r="J562" s="118">
        <f t="shared" si="164"/>
        <v>0</v>
      </c>
      <c r="K562" s="118">
        <f t="shared" ca="1" si="165"/>
        <v>0</v>
      </c>
      <c r="L562" s="133">
        <f t="shared" ca="1" si="166"/>
        <v>216</v>
      </c>
      <c r="M562" s="130">
        <f t="shared" ca="1" si="167"/>
        <v>784</v>
      </c>
      <c r="N562" s="100">
        <f t="shared" ca="1" si="168"/>
        <v>4</v>
      </c>
      <c r="O562" s="136">
        <f t="shared" ca="1" si="169"/>
        <v>2.6973744602864622</v>
      </c>
      <c r="P562" s="136">
        <f t="shared" ca="1" si="170"/>
        <v>26.973744602864617</v>
      </c>
      <c r="Q562" s="136">
        <f t="shared" ca="1" si="171"/>
        <v>26.973744602864617</v>
      </c>
      <c r="R562" s="136">
        <f t="shared" ca="1" si="172"/>
        <v>2.6973744602864618</v>
      </c>
      <c r="S562" s="136">
        <f t="shared" ca="1" si="173"/>
        <v>2.6973744602864622</v>
      </c>
      <c r="T562" s="104">
        <f t="shared" ca="1" si="174"/>
        <v>0</v>
      </c>
      <c r="U562" s="120">
        <f t="shared" ca="1" si="175"/>
        <v>1235.0695270312358</v>
      </c>
      <c r="V562" s="104">
        <f t="shared" ca="1" si="176"/>
        <v>0</v>
      </c>
      <c r="W562" s="133">
        <f t="shared" ca="1" si="177"/>
        <v>11171.087443198261</v>
      </c>
      <c r="X562" s="104">
        <f t="shared" ca="1" si="178"/>
        <v>0</v>
      </c>
    </row>
    <row r="563" spans="1:24" x14ac:dyDescent="0.2">
      <c r="A563" s="98">
        <v>0</v>
      </c>
      <c r="B563" s="98">
        <v>0</v>
      </c>
      <c r="C563" s="98">
        <f t="shared" si="160"/>
        <v>4</v>
      </c>
      <c r="D563" s="98">
        <f t="shared" si="161"/>
        <v>3</v>
      </c>
      <c r="E563" s="98">
        <f t="shared" si="162"/>
        <v>0</v>
      </c>
      <c r="F563" s="118">
        <f t="shared" ca="1" si="163"/>
        <v>0.31914364518399996</v>
      </c>
      <c r="G563" s="98">
        <v>1</v>
      </c>
      <c r="H563" s="98">
        <v>0</v>
      </c>
      <c r="I563" s="98">
        <v>3</v>
      </c>
      <c r="J563" s="118">
        <f t="shared" ca="1" si="164"/>
        <v>0.81450624999999988</v>
      </c>
      <c r="K563" s="118">
        <f t="shared" ca="1" si="165"/>
        <v>0.25994449365015032</v>
      </c>
      <c r="L563" s="133">
        <f t="shared" ca="1" si="166"/>
        <v>204</v>
      </c>
      <c r="M563" s="130">
        <f t="shared" ca="1" si="167"/>
        <v>796</v>
      </c>
      <c r="N563" s="100">
        <f t="shared" ca="1" si="168"/>
        <v>4</v>
      </c>
      <c r="O563" s="136">
        <f t="shared" ca="1" si="169"/>
        <v>2.6973744602864622</v>
      </c>
      <c r="P563" s="136">
        <f t="shared" ca="1" si="170"/>
        <v>26.973744602864617</v>
      </c>
      <c r="Q563" s="136">
        <f t="shared" ca="1" si="171"/>
        <v>26.973744602864617</v>
      </c>
      <c r="R563" s="136">
        <f t="shared" ca="1" si="172"/>
        <v>2.6973744602864618</v>
      </c>
      <c r="S563" s="136">
        <f t="shared" ca="1" si="173"/>
        <v>2.6973744602864622</v>
      </c>
      <c r="T563" s="104">
        <f t="shared" ca="1" si="174"/>
        <v>0.70116763826401196</v>
      </c>
      <c r="U563" s="120">
        <f t="shared" ca="1" si="175"/>
        <v>1223.0695270312358</v>
      </c>
      <c r="V563" s="104">
        <f t="shared" ca="1" si="176"/>
        <v>317.93018890306342</v>
      </c>
      <c r="W563" s="133">
        <f t="shared" ca="1" si="177"/>
        <v>8993.4875517366127</v>
      </c>
      <c r="X563" s="104">
        <f t="shared" ca="1" si="178"/>
        <v>2337.8075677851039</v>
      </c>
    </row>
    <row r="564" spans="1:24" x14ac:dyDescent="0.2">
      <c r="A564" s="98">
        <v>0</v>
      </c>
      <c r="B564" s="98">
        <v>0</v>
      </c>
      <c r="C564" s="98">
        <f t="shared" si="160"/>
        <v>4</v>
      </c>
      <c r="D564" s="98">
        <f t="shared" si="161"/>
        <v>3</v>
      </c>
      <c r="E564" s="98">
        <f t="shared" si="162"/>
        <v>0</v>
      </c>
      <c r="F564" s="118">
        <f t="shared" ca="1" si="163"/>
        <v>0.31914364518399996</v>
      </c>
      <c r="G564" s="98">
        <v>1</v>
      </c>
      <c r="H564" s="98">
        <v>0</v>
      </c>
      <c r="I564" s="98">
        <v>2</v>
      </c>
      <c r="J564" s="118">
        <f t="shared" ca="1" si="164"/>
        <v>0.12860625000000012</v>
      </c>
      <c r="K564" s="118">
        <f t="shared" ca="1" si="165"/>
        <v>4.1043867418444832E-2</v>
      </c>
      <c r="L564" s="133">
        <f t="shared" ca="1" si="166"/>
        <v>192</v>
      </c>
      <c r="M564" s="130">
        <f t="shared" ca="1" si="167"/>
        <v>808</v>
      </c>
      <c r="N564" s="100">
        <f t="shared" ca="1" si="168"/>
        <v>4</v>
      </c>
      <c r="O564" s="136">
        <f t="shared" ca="1" si="169"/>
        <v>2.6973744602864622</v>
      </c>
      <c r="P564" s="136">
        <f t="shared" ca="1" si="170"/>
        <v>26.973744602864617</v>
      </c>
      <c r="Q564" s="136">
        <f t="shared" ca="1" si="171"/>
        <v>26.973744602864617</v>
      </c>
      <c r="R564" s="136">
        <f t="shared" ca="1" si="172"/>
        <v>2.6973744602864618</v>
      </c>
      <c r="S564" s="136">
        <f t="shared" ca="1" si="173"/>
        <v>2.6973744602864622</v>
      </c>
      <c r="T564" s="104">
        <f t="shared" ca="1" si="174"/>
        <v>0.11071067972589674</v>
      </c>
      <c r="U564" s="120">
        <f t="shared" ca="1" si="175"/>
        <v>1211.0695270312358</v>
      </c>
      <c r="V564" s="104">
        <f t="shared" ca="1" si="176"/>
        <v>49.706977101988734</v>
      </c>
      <c r="W564" s="133">
        <f t="shared" ca="1" si="177"/>
        <v>6815.8876602749624</v>
      </c>
      <c r="X564" s="104">
        <f t="shared" ca="1" si="178"/>
        <v>279.75038946733969</v>
      </c>
    </row>
    <row r="565" spans="1:24" x14ac:dyDescent="0.2">
      <c r="A565" s="98">
        <v>0</v>
      </c>
      <c r="B565" s="98">
        <v>0</v>
      </c>
      <c r="C565" s="98">
        <f t="shared" si="160"/>
        <v>4</v>
      </c>
      <c r="D565" s="98">
        <f t="shared" si="161"/>
        <v>3</v>
      </c>
      <c r="E565" s="98">
        <f t="shared" si="162"/>
        <v>0</v>
      </c>
      <c r="F565" s="118">
        <f t="shared" ca="1" si="163"/>
        <v>0.31914364518399996</v>
      </c>
      <c r="G565" s="98">
        <v>1</v>
      </c>
      <c r="H565" s="98">
        <v>0</v>
      </c>
      <c r="I565" s="98">
        <v>1</v>
      </c>
      <c r="J565" s="118">
        <f t="shared" ca="1" si="164"/>
        <v>6.7687500000000109E-3</v>
      </c>
      <c r="K565" s="118">
        <f t="shared" ca="1" si="165"/>
        <v>2.1602035483392033E-3</v>
      </c>
      <c r="L565" s="133">
        <f t="shared" ca="1" si="166"/>
        <v>180</v>
      </c>
      <c r="M565" s="130">
        <f t="shared" ca="1" si="167"/>
        <v>820</v>
      </c>
      <c r="N565" s="100">
        <f t="shared" ca="1" si="168"/>
        <v>4</v>
      </c>
      <c r="O565" s="136">
        <f t="shared" ca="1" si="169"/>
        <v>2.6973744602864622</v>
      </c>
      <c r="P565" s="136">
        <f t="shared" ca="1" si="170"/>
        <v>26.973744602864617</v>
      </c>
      <c r="Q565" s="136">
        <f t="shared" ca="1" si="171"/>
        <v>26.973744602864617</v>
      </c>
      <c r="R565" s="136">
        <f t="shared" ca="1" si="172"/>
        <v>2.6973744602864618</v>
      </c>
      <c r="S565" s="136">
        <f t="shared" ca="1" si="173"/>
        <v>2.6973744602864622</v>
      </c>
      <c r="T565" s="104">
        <f t="shared" ca="1" si="174"/>
        <v>5.8268778803103596E-3</v>
      </c>
      <c r="U565" s="120">
        <f t="shared" ca="1" si="175"/>
        <v>1199.0695270312358</v>
      </c>
      <c r="V565" s="104">
        <f t="shared" ca="1" si="176"/>
        <v>2.590234246998286</v>
      </c>
      <c r="W565" s="133">
        <f t="shared" ca="1" si="177"/>
        <v>4638.2877688133131</v>
      </c>
      <c r="X565" s="104">
        <f t="shared" ca="1" si="178"/>
        <v>10.019645696408846</v>
      </c>
    </row>
    <row r="566" spans="1:24" x14ac:dyDescent="0.2">
      <c r="A566" s="98">
        <v>0</v>
      </c>
      <c r="B566" s="98">
        <v>0</v>
      </c>
      <c r="C566" s="98">
        <f t="shared" si="160"/>
        <v>4</v>
      </c>
      <c r="D566" s="98">
        <f t="shared" si="161"/>
        <v>3</v>
      </c>
      <c r="E566" s="98">
        <f t="shared" si="162"/>
        <v>0</v>
      </c>
      <c r="F566" s="118">
        <f t="shared" ca="1" si="163"/>
        <v>0.31914364518399996</v>
      </c>
      <c r="G566" s="98">
        <v>1</v>
      </c>
      <c r="H566" s="98">
        <v>0</v>
      </c>
      <c r="I566" s="98">
        <v>0</v>
      </c>
      <c r="J566" s="118">
        <f t="shared" ca="1" si="164"/>
        <v>1.1875000000000031E-4</v>
      </c>
      <c r="K566" s="118">
        <f t="shared" ca="1" si="165"/>
        <v>3.7898307865600094E-5</v>
      </c>
      <c r="L566" s="133">
        <f t="shared" ca="1" si="166"/>
        <v>168</v>
      </c>
      <c r="M566" s="130">
        <f t="shared" ca="1" si="167"/>
        <v>832</v>
      </c>
      <c r="N566" s="100">
        <f t="shared" ca="1" si="168"/>
        <v>4</v>
      </c>
      <c r="O566" s="136">
        <f t="shared" ca="1" si="169"/>
        <v>2.6973744602864622</v>
      </c>
      <c r="P566" s="136">
        <f t="shared" ca="1" si="170"/>
        <v>26.973744602864617</v>
      </c>
      <c r="Q566" s="136">
        <f t="shared" ca="1" si="171"/>
        <v>26.973744602864617</v>
      </c>
      <c r="R566" s="136">
        <f t="shared" ca="1" si="172"/>
        <v>2.6973744602864618</v>
      </c>
      <c r="S566" s="136">
        <f t="shared" ca="1" si="173"/>
        <v>2.6973744602864622</v>
      </c>
      <c r="T566" s="104">
        <f t="shared" ca="1" si="174"/>
        <v>1.0222592772474324E-4</v>
      </c>
      <c r="U566" s="120">
        <f t="shared" ca="1" si="175"/>
        <v>1187.0695270312358</v>
      </c>
      <c r="V566" s="104">
        <f t="shared" ca="1" si="176"/>
        <v>4.4987926393302069E-2</v>
      </c>
      <c r="W566" s="133">
        <f t="shared" ca="1" si="177"/>
        <v>2460.6878773516637</v>
      </c>
      <c r="X566" s="104">
        <f t="shared" ca="1" si="178"/>
        <v>9.3255906737023359E-2</v>
      </c>
    </row>
    <row r="567" spans="1:24" x14ac:dyDescent="0.2">
      <c r="A567" s="98">
        <v>0</v>
      </c>
      <c r="B567" s="98">
        <v>0</v>
      </c>
      <c r="C567" s="98">
        <f t="shared" si="160"/>
        <v>4</v>
      </c>
      <c r="D567" s="98">
        <f t="shared" si="161"/>
        <v>3</v>
      </c>
      <c r="E567" s="98">
        <f t="shared" si="162"/>
        <v>0</v>
      </c>
      <c r="F567" s="118">
        <f t="shared" ca="1" si="163"/>
        <v>0.31914364518399996</v>
      </c>
      <c r="G567" s="98">
        <v>0</v>
      </c>
      <c r="H567" s="98">
        <v>1</v>
      </c>
      <c r="I567" s="98">
        <v>7</v>
      </c>
      <c r="J567" s="118">
        <f t="shared" si="164"/>
        <v>0</v>
      </c>
      <c r="K567" s="118">
        <f t="shared" ca="1" si="165"/>
        <v>0</v>
      </c>
      <c r="L567" s="133">
        <f t="shared" ca="1" si="166"/>
        <v>252</v>
      </c>
      <c r="M567" s="130">
        <f t="shared" ca="1" si="167"/>
        <v>748</v>
      </c>
      <c r="N567" s="100">
        <f t="shared" ca="1" si="168"/>
        <v>4</v>
      </c>
      <c r="O567" s="136">
        <f t="shared" ca="1" si="169"/>
        <v>2.6973744602864622</v>
      </c>
      <c r="P567" s="136">
        <f t="shared" ca="1" si="170"/>
        <v>26.973744602864617</v>
      </c>
      <c r="Q567" s="136">
        <f t="shared" ca="1" si="171"/>
        <v>26.973744602864617</v>
      </c>
      <c r="R567" s="136">
        <f t="shared" ca="1" si="172"/>
        <v>2.6973744602864618</v>
      </c>
      <c r="S567" s="136">
        <f t="shared" ca="1" si="173"/>
        <v>2.6973744602864622</v>
      </c>
      <c r="T567" s="104">
        <f t="shared" ca="1" si="174"/>
        <v>0</v>
      </c>
      <c r="U567" s="120">
        <f t="shared" ca="1" si="175"/>
        <v>1271.0695270312358</v>
      </c>
      <c r="V567" s="104">
        <f t="shared" ca="1" si="176"/>
        <v>0</v>
      </c>
      <c r="W567" s="133">
        <f t="shared" ca="1" si="177"/>
        <v>17420.799131693195</v>
      </c>
      <c r="X567" s="104">
        <f t="shared" ca="1" si="178"/>
        <v>0</v>
      </c>
    </row>
    <row r="568" spans="1:24" x14ac:dyDescent="0.2">
      <c r="A568" s="98">
        <v>0</v>
      </c>
      <c r="B568" s="98">
        <v>0</v>
      </c>
      <c r="C568" s="98">
        <f t="shared" si="160"/>
        <v>4</v>
      </c>
      <c r="D568" s="98">
        <f t="shared" si="161"/>
        <v>3</v>
      </c>
      <c r="E568" s="98">
        <f t="shared" si="162"/>
        <v>0</v>
      </c>
      <c r="F568" s="118">
        <f t="shared" ca="1" si="163"/>
        <v>0.31914364518399996</v>
      </c>
      <c r="G568" s="98">
        <v>0</v>
      </c>
      <c r="H568" s="98">
        <v>1</v>
      </c>
      <c r="I568" s="98">
        <v>6</v>
      </c>
      <c r="J568" s="118">
        <f t="shared" si="164"/>
        <v>0</v>
      </c>
      <c r="K568" s="118">
        <f t="shared" ca="1" si="165"/>
        <v>0</v>
      </c>
      <c r="L568" s="133">
        <f t="shared" ca="1" si="166"/>
        <v>240</v>
      </c>
      <c r="M568" s="130">
        <f t="shared" ca="1" si="167"/>
        <v>760</v>
      </c>
      <c r="N568" s="100">
        <f t="shared" ca="1" si="168"/>
        <v>4</v>
      </c>
      <c r="O568" s="136">
        <f t="shared" ca="1" si="169"/>
        <v>2.6973744602864622</v>
      </c>
      <c r="P568" s="136">
        <f t="shared" ca="1" si="170"/>
        <v>26.973744602864617</v>
      </c>
      <c r="Q568" s="136">
        <f t="shared" ca="1" si="171"/>
        <v>26.973744602864617</v>
      </c>
      <c r="R568" s="136">
        <f t="shared" ca="1" si="172"/>
        <v>2.6973744602864618</v>
      </c>
      <c r="S568" s="136">
        <f t="shared" ca="1" si="173"/>
        <v>2.6973744602864622</v>
      </c>
      <c r="T568" s="104">
        <f t="shared" ca="1" si="174"/>
        <v>0</v>
      </c>
      <c r="U568" s="120">
        <f t="shared" ca="1" si="175"/>
        <v>1259.0695270312358</v>
      </c>
      <c r="V568" s="104">
        <f t="shared" ca="1" si="176"/>
        <v>0</v>
      </c>
      <c r="W568" s="133">
        <f t="shared" ca="1" si="177"/>
        <v>15243.199240231548</v>
      </c>
      <c r="X568" s="104">
        <f t="shared" ca="1" si="178"/>
        <v>0</v>
      </c>
    </row>
    <row r="569" spans="1:24" x14ac:dyDescent="0.2">
      <c r="A569" s="98">
        <v>0</v>
      </c>
      <c r="B569" s="98">
        <v>0</v>
      </c>
      <c r="C569" s="98">
        <f t="shared" si="160"/>
        <v>4</v>
      </c>
      <c r="D569" s="98">
        <f t="shared" si="161"/>
        <v>3</v>
      </c>
      <c r="E569" s="98">
        <f t="shared" si="162"/>
        <v>0</v>
      </c>
      <c r="F569" s="118">
        <f t="shared" ca="1" si="163"/>
        <v>0.31914364518399996</v>
      </c>
      <c r="G569" s="98">
        <v>0</v>
      </c>
      <c r="H569" s="98">
        <v>1</v>
      </c>
      <c r="I569" s="98">
        <v>5</v>
      </c>
      <c r="J569" s="118">
        <f t="shared" si="164"/>
        <v>0</v>
      </c>
      <c r="K569" s="118">
        <f t="shared" ca="1" si="165"/>
        <v>0</v>
      </c>
      <c r="L569" s="133">
        <f t="shared" ca="1" si="166"/>
        <v>228</v>
      </c>
      <c r="M569" s="130">
        <f t="shared" ca="1" si="167"/>
        <v>772</v>
      </c>
      <c r="N569" s="100">
        <f t="shared" ca="1" si="168"/>
        <v>4</v>
      </c>
      <c r="O569" s="136">
        <f t="shared" ca="1" si="169"/>
        <v>2.6973744602864622</v>
      </c>
      <c r="P569" s="136">
        <f t="shared" ca="1" si="170"/>
        <v>26.973744602864617</v>
      </c>
      <c r="Q569" s="136">
        <f t="shared" ca="1" si="171"/>
        <v>26.973744602864617</v>
      </c>
      <c r="R569" s="136">
        <f t="shared" ca="1" si="172"/>
        <v>2.6973744602864618</v>
      </c>
      <c r="S569" s="136">
        <f t="shared" ca="1" si="173"/>
        <v>2.6973744602864622</v>
      </c>
      <c r="T569" s="104">
        <f t="shared" ca="1" si="174"/>
        <v>0</v>
      </c>
      <c r="U569" s="120">
        <f t="shared" ca="1" si="175"/>
        <v>1247.0695270312358</v>
      </c>
      <c r="V569" s="104">
        <f t="shared" ca="1" si="176"/>
        <v>0</v>
      </c>
      <c r="W569" s="133">
        <f t="shared" ca="1" si="177"/>
        <v>13065.599348769898</v>
      </c>
      <c r="X569" s="104">
        <f t="shared" ca="1" si="178"/>
        <v>0</v>
      </c>
    </row>
    <row r="570" spans="1:24" x14ac:dyDescent="0.2">
      <c r="A570" s="98">
        <v>0</v>
      </c>
      <c r="B570" s="98">
        <v>0</v>
      </c>
      <c r="C570" s="98">
        <f t="shared" si="160"/>
        <v>4</v>
      </c>
      <c r="D570" s="98">
        <f t="shared" si="161"/>
        <v>3</v>
      </c>
      <c r="E570" s="98">
        <f t="shared" si="162"/>
        <v>0</v>
      </c>
      <c r="F570" s="118">
        <f t="shared" ca="1" si="163"/>
        <v>0.31914364518399996</v>
      </c>
      <c r="G570" s="98">
        <v>0</v>
      </c>
      <c r="H570" s="98">
        <v>1</v>
      </c>
      <c r="I570" s="98">
        <v>4</v>
      </c>
      <c r="J570" s="118">
        <f t="shared" si="164"/>
        <v>0</v>
      </c>
      <c r="K570" s="118">
        <f t="shared" ca="1" si="165"/>
        <v>0</v>
      </c>
      <c r="L570" s="133">
        <f t="shared" ca="1" si="166"/>
        <v>216</v>
      </c>
      <c r="M570" s="130">
        <f t="shared" ca="1" si="167"/>
        <v>784</v>
      </c>
      <c r="N570" s="100">
        <f t="shared" ca="1" si="168"/>
        <v>4</v>
      </c>
      <c r="O570" s="136">
        <f t="shared" ca="1" si="169"/>
        <v>2.6973744602864622</v>
      </c>
      <c r="P570" s="136">
        <f t="shared" ca="1" si="170"/>
        <v>26.973744602864617</v>
      </c>
      <c r="Q570" s="136">
        <f t="shared" ca="1" si="171"/>
        <v>26.973744602864617</v>
      </c>
      <c r="R570" s="136">
        <f t="shared" ca="1" si="172"/>
        <v>2.6973744602864618</v>
      </c>
      <c r="S570" s="136">
        <f t="shared" ca="1" si="173"/>
        <v>2.6973744602864622</v>
      </c>
      <c r="T570" s="104">
        <f t="shared" ca="1" si="174"/>
        <v>0</v>
      </c>
      <c r="U570" s="120">
        <f t="shared" ca="1" si="175"/>
        <v>1235.0695270312358</v>
      </c>
      <c r="V570" s="104">
        <f t="shared" ca="1" si="176"/>
        <v>0</v>
      </c>
      <c r="W570" s="133">
        <f t="shared" ca="1" si="177"/>
        <v>10887.999457308248</v>
      </c>
      <c r="X570" s="104">
        <f t="shared" ca="1" si="178"/>
        <v>0</v>
      </c>
    </row>
    <row r="571" spans="1:24" x14ac:dyDescent="0.2">
      <c r="A571" s="98">
        <v>0</v>
      </c>
      <c r="B571" s="98">
        <v>0</v>
      </c>
      <c r="C571" s="98">
        <f t="shared" si="160"/>
        <v>4</v>
      </c>
      <c r="D571" s="98">
        <f t="shared" si="161"/>
        <v>3</v>
      </c>
      <c r="E571" s="98">
        <f t="shared" si="162"/>
        <v>0</v>
      </c>
      <c r="F571" s="118">
        <f t="shared" ca="1" si="163"/>
        <v>0.31914364518399996</v>
      </c>
      <c r="G571" s="98">
        <v>0</v>
      </c>
      <c r="H571" s="98">
        <v>1</v>
      </c>
      <c r="I571" s="98">
        <v>3</v>
      </c>
      <c r="J571" s="118">
        <f t="shared" ca="1" si="164"/>
        <v>0</v>
      </c>
      <c r="K571" s="118">
        <f t="shared" ca="1" si="165"/>
        <v>0</v>
      </c>
      <c r="L571" s="133">
        <f t="shared" ca="1" si="166"/>
        <v>204</v>
      </c>
      <c r="M571" s="130">
        <f t="shared" ca="1" si="167"/>
        <v>796</v>
      </c>
      <c r="N571" s="100">
        <f t="shared" ca="1" si="168"/>
        <v>4</v>
      </c>
      <c r="O571" s="136">
        <f t="shared" ca="1" si="169"/>
        <v>2.6973744602864622</v>
      </c>
      <c r="P571" s="136">
        <f t="shared" ca="1" si="170"/>
        <v>26.973744602864617</v>
      </c>
      <c r="Q571" s="136">
        <f t="shared" ca="1" si="171"/>
        <v>26.973744602864617</v>
      </c>
      <c r="R571" s="136">
        <f t="shared" ca="1" si="172"/>
        <v>2.6973744602864618</v>
      </c>
      <c r="S571" s="136">
        <f t="shared" ca="1" si="173"/>
        <v>2.6973744602864622</v>
      </c>
      <c r="T571" s="104">
        <f t="shared" ca="1" si="174"/>
        <v>0</v>
      </c>
      <c r="U571" s="120">
        <f t="shared" ca="1" si="175"/>
        <v>1223.0695270312358</v>
      </c>
      <c r="V571" s="104">
        <f t="shared" ca="1" si="176"/>
        <v>0</v>
      </c>
      <c r="W571" s="133">
        <f t="shared" ca="1" si="177"/>
        <v>8710.3995658465974</v>
      </c>
      <c r="X571" s="104">
        <f t="shared" ca="1" si="178"/>
        <v>0</v>
      </c>
    </row>
    <row r="572" spans="1:24" x14ac:dyDescent="0.2">
      <c r="A572" s="98">
        <v>0</v>
      </c>
      <c r="B572" s="98">
        <v>0</v>
      </c>
      <c r="C572" s="98">
        <f t="shared" si="160"/>
        <v>4</v>
      </c>
      <c r="D572" s="98">
        <f t="shared" si="161"/>
        <v>3</v>
      </c>
      <c r="E572" s="98">
        <f t="shared" si="162"/>
        <v>0</v>
      </c>
      <c r="F572" s="118">
        <f t="shared" ca="1" si="163"/>
        <v>0.31914364518399996</v>
      </c>
      <c r="G572" s="98">
        <v>0</v>
      </c>
      <c r="H572" s="98">
        <v>1</v>
      </c>
      <c r="I572" s="98">
        <v>2</v>
      </c>
      <c r="J572" s="118">
        <f t="shared" ca="1" si="164"/>
        <v>0</v>
      </c>
      <c r="K572" s="118">
        <f t="shared" ca="1" si="165"/>
        <v>0</v>
      </c>
      <c r="L572" s="133">
        <f t="shared" ca="1" si="166"/>
        <v>192</v>
      </c>
      <c r="M572" s="130">
        <f t="shared" ca="1" si="167"/>
        <v>808</v>
      </c>
      <c r="N572" s="100">
        <f t="shared" ca="1" si="168"/>
        <v>4</v>
      </c>
      <c r="O572" s="136">
        <f t="shared" ca="1" si="169"/>
        <v>2.6973744602864622</v>
      </c>
      <c r="P572" s="136">
        <f t="shared" ca="1" si="170"/>
        <v>26.973744602864617</v>
      </c>
      <c r="Q572" s="136">
        <f t="shared" ca="1" si="171"/>
        <v>26.973744602864617</v>
      </c>
      <c r="R572" s="136">
        <f t="shared" ca="1" si="172"/>
        <v>2.6973744602864618</v>
      </c>
      <c r="S572" s="136">
        <f t="shared" ca="1" si="173"/>
        <v>2.6973744602864622</v>
      </c>
      <c r="T572" s="104">
        <f t="shared" ca="1" si="174"/>
        <v>0</v>
      </c>
      <c r="U572" s="120">
        <f t="shared" ca="1" si="175"/>
        <v>1211.0695270312358</v>
      </c>
      <c r="V572" s="104">
        <f t="shared" ca="1" si="176"/>
        <v>0</v>
      </c>
      <c r="W572" s="133">
        <f t="shared" ca="1" si="177"/>
        <v>6532.799674384948</v>
      </c>
      <c r="X572" s="104">
        <f t="shared" ca="1" si="178"/>
        <v>0</v>
      </c>
    </row>
    <row r="573" spans="1:24" x14ac:dyDescent="0.2">
      <c r="A573" s="98">
        <v>0</v>
      </c>
      <c r="B573" s="98">
        <v>0</v>
      </c>
      <c r="C573" s="98">
        <f t="shared" si="160"/>
        <v>4</v>
      </c>
      <c r="D573" s="98">
        <f t="shared" si="161"/>
        <v>3</v>
      </c>
      <c r="E573" s="98">
        <f t="shared" si="162"/>
        <v>0</v>
      </c>
      <c r="F573" s="118">
        <f t="shared" ca="1" si="163"/>
        <v>0.31914364518399996</v>
      </c>
      <c r="G573" s="98">
        <v>0</v>
      </c>
      <c r="H573" s="98">
        <v>1</v>
      </c>
      <c r="I573" s="98">
        <v>1</v>
      </c>
      <c r="J573" s="118">
        <f t="shared" ca="1" si="164"/>
        <v>0</v>
      </c>
      <c r="K573" s="118">
        <f t="shared" ca="1" si="165"/>
        <v>0</v>
      </c>
      <c r="L573" s="133">
        <f t="shared" ca="1" si="166"/>
        <v>180</v>
      </c>
      <c r="M573" s="130">
        <f t="shared" ca="1" si="167"/>
        <v>820</v>
      </c>
      <c r="N573" s="100">
        <f t="shared" ca="1" si="168"/>
        <v>4</v>
      </c>
      <c r="O573" s="136">
        <f t="shared" ca="1" si="169"/>
        <v>2.6973744602864622</v>
      </c>
      <c r="P573" s="136">
        <f t="shared" ca="1" si="170"/>
        <v>26.973744602864617</v>
      </c>
      <c r="Q573" s="136">
        <f t="shared" ca="1" si="171"/>
        <v>26.973744602864617</v>
      </c>
      <c r="R573" s="136">
        <f t="shared" ca="1" si="172"/>
        <v>2.6973744602864618</v>
      </c>
      <c r="S573" s="136">
        <f t="shared" ca="1" si="173"/>
        <v>2.6973744602864622</v>
      </c>
      <c r="T573" s="104">
        <f t="shared" ca="1" si="174"/>
        <v>0</v>
      </c>
      <c r="U573" s="120">
        <f t="shared" ca="1" si="175"/>
        <v>1199.0695270312358</v>
      </c>
      <c r="V573" s="104">
        <f t="shared" ca="1" si="176"/>
        <v>0</v>
      </c>
      <c r="W573" s="133">
        <f t="shared" ca="1" si="177"/>
        <v>4355.1997829232987</v>
      </c>
      <c r="X573" s="104">
        <f t="shared" ca="1" si="178"/>
        <v>0</v>
      </c>
    </row>
    <row r="574" spans="1:24" x14ac:dyDescent="0.2">
      <c r="A574" s="98">
        <v>0</v>
      </c>
      <c r="B574" s="98">
        <v>0</v>
      </c>
      <c r="C574" s="98">
        <f t="shared" si="160"/>
        <v>4</v>
      </c>
      <c r="D574" s="98">
        <f t="shared" si="161"/>
        <v>3</v>
      </c>
      <c r="E574" s="98">
        <f t="shared" si="162"/>
        <v>0</v>
      </c>
      <c r="F574" s="118">
        <f t="shared" ca="1" si="163"/>
        <v>0.31914364518399996</v>
      </c>
      <c r="G574" s="98">
        <v>0</v>
      </c>
      <c r="H574" s="98">
        <v>1</v>
      </c>
      <c r="I574" s="98">
        <v>0</v>
      </c>
      <c r="J574" s="118">
        <f t="shared" ca="1" si="164"/>
        <v>0</v>
      </c>
      <c r="K574" s="118">
        <f t="shared" ca="1" si="165"/>
        <v>0</v>
      </c>
      <c r="L574" s="133">
        <f t="shared" ca="1" si="166"/>
        <v>168</v>
      </c>
      <c r="M574" s="130">
        <f t="shared" ca="1" si="167"/>
        <v>832</v>
      </c>
      <c r="N574" s="100">
        <f t="shared" ca="1" si="168"/>
        <v>4</v>
      </c>
      <c r="O574" s="136">
        <f t="shared" ca="1" si="169"/>
        <v>2.6973744602864622</v>
      </c>
      <c r="P574" s="136">
        <f t="shared" ca="1" si="170"/>
        <v>26.973744602864617</v>
      </c>
      <c r="Q574" s="136">
        <f t="shared" ca="1" si="171"/>
        <v>26.973744602864617</v>
      </c>
      <c r="R574" s="136">
        <f t="shared" ca="1" si="172"/>
        <v>2.6973744602864618</v>
      </c>
      <c r="S574" s="136">
        <f t="shared" ca="1" si="173"/>
        <v>2.6973744602864622</v>
      </c>
      <c r="T574" s="104">
        <f t="shared" ca="1" si="174"/>
        <v>0</v>
      </c>
      <c r="U574" s="120">
        <f t="shared" ca="1" si="175"/>
        <v>1187.0695270312358</v>
      </c>
      <c r="V574" s="104">
        <f t="shared" ca="1" si="176"/>
        <v>0</v>
      </c>
      <c r="W574" s="133">
        <f t="shared" ca="1" si="177"/>
        <v>2177.5998914616493</v>
      </c>
      <c r="X574" s="104">
        <f t="shared" ca="1" si="178"/>
        <v>0</v>
      </c>
    </row>
    <row r="575" spans="1:24" x14ac:dyDescent="0.2">
      <c r="A575" s="98">
        <v>0</v>
      </c>
      <c r="B575" s="98">
        <v>0</v>
      </c>
      <c r="C575" s="98">
        <f t="shared" si="160"/>
        <v>4</v>
      </c>
      <c r="D575" s="98">
        <f t="shared" si="161"/>
        <v>3</v>
      </c>
      <c r="E575" s="98">
        <f t="shared" si="162"/>
        <v>0</v>
      </c>
      <c r="F575" s="118">
        <f t="shared" ca="1" si="163"/>
        <v>0.31914364518399996</v>
      </c>
      <c r="G575" s="98">
        <v>0</v>
      </c>
      <c r="H575" s="98">
        <v>0</v>
      </c>
      <c r="I575" s="98">
        <v>7</v>
      </c>
      <c r="J575" s="118">
        <f t="shared" si="164"/>
        <v>0</v>
      </c>
      <c r="K575" s="118">
        <f t="shared" ca="1" si="165"/>
        <v>0</v>
      </c>
      <c r="L575" s="133">
        <f t="shared" ca="1" si="166"/>
        <v>84</v>
      </c>
      <c r="M575" s="130">
        <f t="shared" ca="1" si="167"/>
        <v>916</v>
      </c>
      <c r="N575" s="100">
        <f t="shared" ca="1" si="168"/>
        <v>5</v>
      </c>
      <c r="O575" s="136">
        <f t="shared" ca="1" si="169"/>
        <v>3.301004590397413</v>
      </c>
      <c r="P575" s="136">
        <f t="shared" ca="1" si="170"/>
        <v>33.010045903974124</v>
      </c>
      <c r="Q575" s="136">
        <f t="shared" ca="1" si="171"/>
        <v>33.010045903974124</v>
      </c>
      <c r="R575" s="136">
        <f t="shared" ca="1" si="172"/>
        <v>3.3010045903974126</v>
      </c>
      <c r="S575" s="136">
        <f t="shared" ca="1" si="173"/>
        <v>3.3010045903974126</v>
      </c>
      <c r="T575" s="104">
        <f t="shared" ca="1" si="174"/>
        <v>0</v>
      </c>
      <c r="U575" s="120">
        <f t="shared" ca="1" si="175"/>
        <v>1323.3671890482913</v>
      </c>
      <c r="V575" s="104">
        <f t="shared" ca="1" si="176"/>
        <v>0</v>
      </c>
      <c r="W575" s="133">
        <f t="shared" ca="1" si="177"/>
        <v>15243.199240231546</v>
      </c>
      <c r="X575" s="104">
        <f t="shared" ca="1" si="178"/>
        <v>0</v>
      </c>
    </row>
    <row r="576" spans="1:24" x14ac:dyDescent="0.2">
      <c r="A576" s="98">
        <v>0</v>
      </c>
      <c r="B576" s="98">
        <v>0</v>
      </c>
      <c r="C576" s="98">
        <f t="shared" si="160"/>
        <v>4</v>
      </c>
      <c r="D576" s="98">
        <f t="shared" si="161"/>
        <v>3</v>
      </c>
      <c r="E576" s="98">
        <f t="shared" si="162"/>
        <v>0</v>
      </c>
      <c r="F576" s="118">
        <f t="shared" ca="1" si="163"/>
        <v>0.31914364518399996</v>
      </c>
      <c r="G576" s="98">
        <v>0</v>
      </c>
      <c r="H576" s="98">
        <v>0</v>
      </c>
      <c r="I576" s="98">
        <v>6</v>
      </c>
      <c r="J576" s="118">
        <f t="shared" si="164"/>
        <v>0</v>
      </c>
      <c r="K576" s="118">
        <f t="shared" ca="1" si="165"/>
        <v>0</v>
      </c>
      <c r="L576" s="133">
        <f t="shared" ca="1" si="166"/>
        <v>72</v>
      </c>
      <c r="M576" s="130">
        <f t="shared" ca="1" si="167"/>
        <v>928</v>
      </c>
      <c r="N576" s="100">
        <f t="shared" ca="1" si="168"/>
        <v>5</v>
      </c>
      <c r="O576" s="136">
        <f t="shared" ca="1" si="169"/>
        <v>3.301004590397413</v>
      </c>
      <c r="P576" s="136">
        <f t="shared" ca="1" si="170"/>
        <v>33.010045903974124</v>
      </c>
      <c r="Q576" s="136">
        <f t="shared" ca="1" si="171"/>
        <v>33.010045903974124</v>
      </c>
      <c r="R576" s="136">
        <f t="shared" ca="1" si="172"/>
        <v>3.3010045903974126</v>
      </c>
      <c r="S576" s="136">
        <f t="shared" ca="1" si="173"/>
        <v>3.3010045903974126</v>
      </c>
      <c r="T576" s="104">
        <f t="shared" ca="1" si="174"/>
        <v>0</v>
      </c>
      <c r="U576" s="120">
        <f t="shared" ca="1" si="175"/>
        <v>1311.3671890482913</v>
      </c>
      <c r="V576" s="104">
        <f t="shared" ca="1" si="176"/>
        <v>0</v>
      </c>
      <c r="W576" s="133">
        <f t="shared" ca="1" si="177"/>
        <v>13065.599348769898</v>
      </c>
      <c r="X576" s="104">
        <f t="shared" ca="1" si="178"/>
        <v>0</v>
      </c>
    </row>
    <row r="577" spans="1:24" x14ac:dyDescent="0.2">
      <c r="A577" s="98">
        <v>0</v>
      </c>
      <c r="B577" s="98">
        <v>0</v>
      </c>
      <c r="C577" s="98">
        <f t="shared" si="160"/>
        <v>4</v>
      </c>
      <c r="D577" s="98">
        <f t="shared" si="161"/>
        <v>3</v>
      </c>
      <c r="E577" s="98">
        <f t="shared" si="162"/>
        <v>0</v>
      </c>
      <c r="F577" s="118">
        <f t="shared" ca="1" si="163"/>
        <v>0.31914364518399996</v>
      </c>
      <c r="G577" s="98">
        <v>0</v>
      </c>
      <c r="H577" s="98">
        <v>0</v>
      </c>
      <c r="I577" s="98">
        <v>5</v>
      </c>
      <c r="J577" s="118">
        <f t="shared" si="164"/>
        <v>0</v>
      </c>
      <c r="K577" s="118">
        <f t="shared" ca="1" si="165"/>
        <v>0</v>
      </c>
      <c r="L577" s="133">
        <f t="shared" ca="1" si="166"/>
        <v>60</v>
      </c>
      <c r="M577" s="130">
        <f t="shared" ca="1" si="167"/>
        <v>940</v>
      </c>
      <c r="N577" s="100">
        <f t="shared" ca="1" si="168"/>
        <v>5</v>
      </c>
      <c r="O577" s="136">
        <f t="shared" ca="1" si="169"/>
        <v>3.301004590397413</v>
      </c>
      <c r="P577" s="136">
        <f t="shared" ca="1" si="170"/>
        <v>33.010045903974124</v>
      </c>
      <c r="Q577" s="136">
        <f t="shared" ca="1" si="171"/>
        <v>33.010045903974124</v>
      </c>
      <c r="R577" s="136">
        <f t="shared" ca="1" si="172"/>
        <v>3.3010045903974126</v>
      </c>
      <c r="S577" s="136">
        <f t="shared" ca="1" si="173"/>
        <v>3.3010045903974126</v>
      </c>
      <c r="T577" s="104">
        <f t="shared" ca="1" si="174"/>
        <v>0</v>
      </c>
      <c r="U577" s="120">
        <f t="shared" ca="1" si="175"/>
        <v>1299.3671890482913</v>
      </c>
      <c r="V577" s="104">
        <f t="shared" ca="1" si="176"/>
        <v>0</v>
      </c>
      <c r="W577" s="133">
        <f t="shared" ca="1" si="177"/>
        <v>10887.999457308248</v>
      </c>
      <c r="X577" s="104">
        <f t="shared" ca="1" si="178"/>
        <v>0</v>
      </c>
    </row>
    <row r="578" spans="1:24" x14ac:dyDescent="0.2">
      <c r="A578" s="98">
        <v>0</v>
      </c>
      <c r="B578" s="98">
        <v>0</v>
      </c>
      <c r="C578" s="98">
        <f t="shared" si="160"/>
        <v>4</v>
      </c>
      <c r="D578" s="98">
        <f t="shared" si="161"/>
        <v>3</v>
      </c>
      <c r="E578" s="98">
        <f t="shared" si="162"/>
        <v>0</v>
      </c>
      <c r="F578" s="118">
        <f t="shared" ca="1" si="163"/>
        <v>0.31914364518399996</v>
      </c>
      <c r="G578" s="98">
        <v>0</v>
      </c>
      <c r="H578" s="98">
        <v>0</v>
      </c>
      <c r="I578" s="98">
        <v>4</v>
      </c>
      <c r="J578" s="118">
        <f t="shared" si="164"/>
        <v>0</v>
      </c>
      <c r="K578" s="118">
        <f t="shared" ca="1" si="165"/>
        <v>0</v>
      </c>
      <c r="L578" s="133">
        <f t="shared" ca="1" si="166"/>
        <v>48</v>
      </c>
      <c r="M578" s="130">
        <f t="shared" ca="1" si="167"/>
        <v>952</v>
      </c>
      <c r="N578" s="100">
        <f t="shared" ca="1" si="168"/>
        <v>5</v>
      </c>
      <c r="O578" s="136">
        <f t="shared" ca="1" si="169"/>
        <v>3.301004590397413</v>
      </c>
      <c r="P578" s="136">
        <f t="shared" ca="1" si="170"/>
        <v>33.010045903974124</v>
      </c>
      <c r="Q578" s="136">
        <f t="shared" ca="1" si="171"/>
        <v>33.010045903974124</v>
      </c>
      <c r="R578" s="136">
        <f t="shared" ca="1" si="172"/>
        <v>3.3010045903974126</v>
      </c>
      <c r="S578" s="136">
        <f t="shared" ca="1" si="173"/>
        <v>3.3010045903974126</v>
      </c>
      <c r="T578" s="104">
        <f t="shared" ca="1" si="174"/>
        <v>0</v>
      </c>
      <c r="U578" s="120">
        <f t="shared" ca="1" si="175"/>
        <v>1287.3671890482913</v>
      </c>
      <c r="V578" s="104">
        <f t="shared" ca="1" si="176"/>
        <v>0</v>
      </c>
      <c r="W578" s="133">
        <f t="shared" ca="1" si="177"/>
        <v>8710.3995658465974</v>
      </c>
      <c r="X578" s="104">
        <f t="shared" ca="1" si="178"/>
        <v>0</v>
      </c>
    </row>
    <row r="579" spans="1:24" x14ac:dyDescent="0.2">
      <c r="A579" s="98">
        <v>0</v>
      </c>
      <c r="B579" s="98">
        <v>0</v>
      </c>
      <c r="C579" s="98">
        <f t="shared" si="160"/>
        <v>4</v>
      </c>
      <c r="D579" s="98">
        <f t="shared" si="161"/>
        <v>3</v>
      </c>
      <c r="E579" s="98">
        <f t="shared" si="162"/>
        <v>0</v>
      </c>
      <c r="F579" s="118">
        <f t="shared" ca="1" si="163"/>
        <v>0.31914364518399996</v>
      </c>
      <c r="G579" s="98">
        <v>0</v>
      </c>
      <c r="H579" s="98">
        <v>0</v>
      </c>
      <c r="I579" s="98">
        <v>3</v>
      </c>
      <c r="J579" s="118">
        <f t="shared" ca="1" si="164"/>
        <v>4.2868749999999997E-2</v>
      </c>
      <c r="K579" s="118">
        <f t="shared" ca="1" si="165"/>
        <v>1.3681289139481597E-2</v>
      </c>
      <c r="L579" s="133">
        <f t="shared" ca="1" si="166"/>
        <v>36</v>
      </c>
      <c r="M579" s="130">
        <f t="shared" ca="1" si="167"/>
        <v>964</v>
      </c>
      <c r="N579" s="100">
        <f t="shared" ca="1" si="168"/>
        <v>5</v>
      </c>
      <c r="O579" s="136">
        <f t="shared" ca="1" si="169"/>
        <v>3.301004590397413</v>
      </c>
      <c r="P579" s="136">
        <f t="shared" ca="1" si="170"/>
        <v>33.010045903974124</v>
      </c>
      <c r="Q579" s="136">
        <f t="shared" ca="1" si="171"/>
        <v>33.010045903974124</v>
      </c>
      <c r="R579" s="136">
        <f t="shared" ca="1" si="172"/>
        <v>3.3010045903974126</v>
      </c>
      <c r="S579" s="136">
        <f t="shared" ca="1" si="173"/>
        <v>3.3010045903974126</v>
      </c>
      <c r="T579" s="104">
        <f t="shared" ca="1" si="174"/>
        <v>4.516199825198302E-2</v>
      </c>
      <c r="U579" s="120">
        <f t="shared" ca="1" si="175"/>
        <v>1275.3671890482913</v>
      </c>
      <c r="V579" s="104">
        <f t="shared" ca="1" si="176"/>
        <v>17.448667272377559</v>
      </c>
      <c r="W579" s="133">
        <f t="shared" ca="1" si="177"/>
        <v>6532.799674384949</v>
      </c>
      <c r="X579" s="104">
        <f t="shared" ca="1" si="178"/>
        <v>89.377121235571721</v>
      </c>
    </row>
    <row r="580" spans="1:24" x14ac:dyDescent="0.2">
      <c r="A580" s="98">
        <v>0</v>
      </c>
      <c r="B580" s="98">
        <v>0</v>
      </c>
      <c r="C580" s="98">
        <f t="shared" si="160"/>
        <v>4</v>
      </c>
      <c r="D580" s="98">
        <f t="shared" si="161"/>
        <v>3</v>
      </c>
      <c r="E580" s="98">
        <f t="shared" si="162"/>
        <v>0</v>
      </c>
      <c r="F580" s="118">
        <f t="shared" ca="1" si="163"/>
        <v>0.31914364518399996</v>
      </c>
      <c r="G580" s="98">
        <v>0</v>
      </c>
      <c r="H580" s="98">
        <v>0</v>
      </c>
      <c r="I580" s="98">
        <v>2</v>
      </c>
      <c r="J580" s="118">
        <f t="shared" ca="1" si="164"/>
        <v>6.7687500000000074E-3</v>
      </c>
      <c r="K580" s="118">
        <f t="shared" ca="1" si="165"/>
        <v>2.160203548339202E-3</v>
      </c>
      <c r="L580" s="133">
        <f t="shared" ca="1" si="166"/>
        <v>24</v>
      </c>
      <c r="M580" s="130">
        <f t="shared" ca="1" si="167"/>
        <v>976</v>
      </c>
      <c r="N580" s="100">
        <f t="shared" ca="1" si="168"/>
        <v>5</v>
      </c>
      <c r="O580" s="136">
        <f t="shared" ca="1" si="169"/>
        <v>3.301004590397413</v>
      </c>
      <c r="P580" s="136">
        <f t="shared" ca="1" si="170"/>
        <v>33.010045903974124</v>
      </c>
      <c r="Q580" s="136">
        <f t="shared" ca="1" si="171"/>
        <v>33.010045903974124</v>
      </c>
      <c r="R580" s="136">
        <f t="shared" ca="1" si="172"/>
        <v>3.3010045903974126</v>
      </c>
      <c r="S580" s="136">
        <f t="shared" ca="1" si="173"/>
        <v>3.3010045903974126</v>
      </c>
      <c r="T580" s="104">
        <f t="shared" ca="1" si="174"/>
        <v>7.1308418292604847E-3</v>
      </c>
      <c r="U580" s="120">
        <f t="shared" ca="1" si="175"/>
        <v>1263.3671890482913</v>
      </c>
      <c r="V580" s="104">
        <f t="shared" ca="1" si="176"/>
        <v>2.7291302846374421</v>
      </c>
      <c r="W580" s="133">
        <f t="shared" ca="1" si="177"/>
        <v>4355.1997829232987</v>
      </c>
      <c r="X580" s="104">
        <f t="shared" ca="1" si="178"/>
        <v>9.408118024797032</v>
      </c>
    </row>
    <row r="581" spans="1:24" x14ac:dyDescent="0.2">
      <c r="A581" s="98">
        <v>0</v>
      </c>
      <c r="B581" s="98">
        <v>0</v>
      </c>
      <c r="C581" s="98">
        <f t="shared" si="160"/>
        <v>4</v>
      </c>
      <c r="D581" s="98">
        <f t="shared" si="161"/>
        <v>3</v>
      </c>
      <c r="E581" s="98">
        <f t="shared" si="162"/>
        <v>0</v>
      </c>
      <c r="F581" s="118">
        <f t="shared" ca="1" si="163"/>
        <v>0.31914364518399996</v>
      </c>
      <c r="G581" s="98">
        <v>0</v>
      </c>
      <c r="H581" s="98">
        <v>0</v>
      </c>
      <c r="I581" s="98">
        <v>1</v>
      </c>
      <c r="J581" s="118">
        <f t="shared" ca="1" si="164"/>
        <v>3.5625000000000061E-4</v>
      </c>
      <c r="K581" s="118">
        <f t="shared" ca="1" si="165"/>
        <v>1.1369492359680018E-4</v>
      </c>
      <c r="L581" s="133">
        <f t="shared" ca="1" si="166"/>
        <v>12</v>
      </c>
      <c r="M581" s="130">
        <f t="shared" ca="1" si="167"/>
        <v>988</v>
      </c>
      <c r="N581" s="100">
        <f t="shared" ca="1" si="168"/>
        <v>5</v>
      </c>
      <c r="O581" s="136">
        <f t="shared" ca="1" si="169"/>
        <v>3.301004590397413</v>
      </c>
      <c r="P581" s="136">
        <f t="shared" ca="1" si="170"/>
        <v>33.010045903974124</v>
      </c>
      <c r="Q581" s="136">
        <f t="shared" ca="1" si="171"/>
        <v>33.010045903974124</v>
      </c>
      <c r="R581" s="136">
        <f t="shared" ca="1" si="172"/>
        <v>3.3010045903974126</v>
      </c>
      <c r="S581" s="136">
        <f t="shared" ca="1" si="173"/>
        <v>3.3010045903974126</v>
      </c>
      <c r="T581" s="104">
        <f t="shared" ca="1" si="174"/>
        <v>3.7530746469792051E-4</v>
      </c>
      <c r="U581" s="120">
        <f t="shared" ca="1" si="175"/>
        <v>1251.3671890482913</v>
      </c>
      <c r="V581" s="104">
        <f t="shared" ca="1" si="176"/>
        <v>0.14227409695038809</v>
      </c>
      <c r="W581" s="133">
        <f t="shared" ca="1" si="177"/>
        <v>2177.5998914616493</v>
      </c>
      <c r="X581" s="104">
        <f t="shared" ca="1" si="178"/>
        <v>0.2475820532841326</v>
      </c>
    </row>
    <row r="582" spans="1:24" x14ac:dyDescent="0.2">
      <c r="A582" s="98">
        <v>0</v>
      </c>
      <c r="B582" s="98">
        <v>0</v>
      </c>
      <c r="C582" s="98">
        <f t="shared" si="160"/>
        <v>4</v>
      </c>
      <c r="D582" s="98">
        <f t="shared" si="161"/>
        <v>3</v>
      </c>
      <c r="E582" s="98">
        <f t="shared" si="162"/>
        <v>0</v>
      </c>
      <c r="F582" s="118">
        <f t="shared" ca="1" si="163"/>
        <v>0.31914364518399996</v>
      </c>
      <c r="G582" s="98">
        <v>0</v>
      </c>
      <c r="H582" s="98">
        <v>0</v>
      </c>
      <c r="I582" s="98">
        <v>0</v>
      </c>
      <c r="J582" s="118">
        <f t="shared" ca="1" si="164"/>
        <v>6.2500000000000164E-6</v>
      </c>
      <c r="K582" s="118">
        <f t="shared" ca="1" si="165"/>
        <v>1.9946477824000048E-6</v>
      </c>
      <c r="L582" s="133">
        <f t="shared" ca="1" si="166"/>
        <v>0</v>
      </c>
      <c r="M582" s="130">
        <f t="shared" ca="1" si="167"/>
        <v>1000</v>
      </c>
      <c r="N582" s="100">
        <f t="shared" ca="1" si="168"/>
        <v>5</v>
      </c>
      <c r="O582" s="136">
        <f t="shared" ca="1" si="169"/>
        <v>3.301004590397413</v>
      </c>
      <c r="P582" s="136">
        <f t="shared" ca="1" si="170"/>
        <v>33.010045903974124</v>
      </c>
      <c r="Q582" s="136">
        <f t="shared" ca="1" si="171"/>
        <v>33.010045903974124</v>
      </c>
      <c r="R582" s="136">
        <f t="shared" ca="1" si="172"/>
        <v>3.3010045903974126</v>
      </c>
      <c r="S582" s="136">
        <f t="shared" ca="1" si="173"/>
        <v>3.3010045903974126</v>
      </c>
      <c r="T582" s="104">
        <f t="shared" ca="1" si="174"/>
        <v>6.5843414859284348E-6</v>
      </c>
      <c r="U582" s="120">
        <f t="shared" ca="1" si="175"/>
        <v>1239.3671890482913</v>
      </c>
      <c r="V582" s="104">
        <f t="shared" ca="1" si="176"/>
        <v>2.4721010152145015E-3</v>
      </c>
      <c r="W582" s="133">
        <f t="shared" ca="1" si="177"/>
        <v>0</v>
      </c>
      <c r="X582" s="104">
        <f t="shared" ca="1" si="178"/>
        <v>0</v>
      </c>
    </row>
    <row r="583" spans="1:24" x14ac:dyDescent="0.2">
      <c r="A583" s="98">
        <v>0</v>
      </c>
      <c r="B583" s="98">
        <v>1</v>
      </c>
      <c r="C583" s="98">
        <f t="shared" si="160"/>
        <v>5</v>
      </c>
      <c r="D583" s="98">
        <f t="shared" si="161"/>
        <v>4</v>
      </c>
      <c r="E583" s="98">
        <f t="shared" si="162"/>
        <v>0</v>
      </c>
      <c r="F583" s="118">
        <f t="shared" ca="1" si="163"/>
        <v>0.179518300416</v>
      </c>
      <c r="G583" s="98">
        <v>1</v>
      </c>
      <c r="H583" s="98">
        <v>1</v>
      </c>
      <c r="I583" s="98">
        <v>7</v>
      </c>
      <c r="J583" s="118">
        <f t="shared" si="164"/>
        <v>0</v>
      </c>
      <c r="K583" s="118">
        <f t="shared" ca="1" si="165"/>
        <v>0</v>
      </c>
      <c r="L583" s="133">
        <f t="shared" ca="1" si="166"/>
        <v>420</v>
      </c>
      <c r="M583" s="130">
        <f t="shared" ca="1" si="167"/>
        <v>580</v>
      </c>
      <c r="N583" s="100">
        <f t="shared" ca="1" si="168"/>
        <v>3</v>
      </c>
      <c r="O583" s="136">
        <f t="shared" ca="1" si="169"/>
        <v>2.1177215542739054</v>
      </c>
      <c r="P583" s="136">
        <f t="shared" ca="1" si="170"/>
        <v>21.177215542739059</v>
      </c>
      <c r="Q583" s="136">
        <f t="shared" ca="1" si="171"/>
        <v>21.177215542739059</v>
      </c>
      <c r="R583" s="136">
        <f t="shared" ca="1" si="172"/>
        <v>2.1177215542739058</v>
      </c>
      <c r="S583" s="136">
        <f t="shared" ca="1" si="173"/>
        <v>2.1177215542739054</v>
      </c>
      <c r="T583" s="104">
        <f t="shared" ca="1" si="174"/>
        <v>0</v>
      </c>
      <c r="U583" s="120">
        <f t="shared" ca="1" si="175"/>
        <v>1227.5224659982036</v>
      </c>
      <c r="V583" s="104">
        <f t="shared" ca="1" si="176"/>
        <v>0</v>
      </c>
      <c r="W583" s="133">
        <f t="shared" ca="1" si="177"/>
        <v>19881.48700904486</v>
      </c>
      <c r="X583" s="104">
        <f t="shared" ca="1" si="178"/>
        <v>0</v>
      </c>
    </row>
    <row r="584" spans="1:24" x14ac:dyDescent="0.2">
      <c r="A584" s="98">
        <v>0</v>
      </c>
      <c r="B584" s="98">
        <v>1</v>
      </c>
      <c r="C584" s="98">
        <f t="shared" si="160"/>
        <v>5</v>
      </c>
      <c r="D584" s="98">
        <f t="shared" si="161"/>
        <v>4</v>
      </c>
      <c r="E584" s="98">
        <f t="shared" si="162"/>
        <v>0</v>
      </c>
      <c r="F584" s="118">
        <f t="shared" ca="1" si="163"/>
        <v>0.179518300416</v>
      </c>
      <c r="G584" s="98">
        <v>1</v>
      </c>
      <c r="H584" s="98">
        <v>1</v>
      </c>
      <c r="I584" s="98">
        <v>6</v>
      </c>
      <c r="J584" s="118">
        <f t="shared" si="164"/>
        <v>0</v>
      </c>
      <c r="K584" s="118">
        <f t="shared" ca="1" si="165"/>
        <v>0</v>
      </c>
      <c r="L584" s="133">
        <f t="shared" ca="1" si="166"/>
        <v>408</v>
      </c>
      <c r="M584" s="130">
        <f t="shared" ca="1" si="167"/>
        <v>592</v>
      </c>
      <c r="N584" s="100">
        <f t="shared" ca="1" si="168"/>
        <v>3</v>
      </c>
      <c r="O584" s="136">
        <f t="shared" ca="1" si="169"/>
        <v>2.1177215542739054</v>
      </c>
      <c r="P584" s="136">
        <f t="shared" ca="1" si="170"/>
        <v>21.177215542739059</v>
      </c>
      <c r="Q584" s="136">
        <f t="shared" ca="1" si="171"/>
        <v>21.177215542739059</v>
      </c>
      <c r="R584" s="136">
        <f t="shared" ca="1" si="172"/>
        <v>2.1177215542739058</v>
      </c>
      <c r="S584" s="136">
        <f t="shared" ca="1" si="173"/>
        <v>2.1177215542739054</v>
      </c>
      <c r="T584" s="104">
        <f t="shared" ca="1" si="174"/>
        <v>0</v>
      </c>
      <c r="U584" s="120">
        <f t="shared" ca="1" si="175"/>
        <v>1215.5224659982036</v>
      </c>
      <c r="V584" s="104">
        <f t="shared" ca="1" si="176"/>
        <v>0</v>
      </c>
      <c r="W584" s="133">
        <f t="shared" ca="1" si="177"/>
        <v>17703.88711758321</v>
      </c>
      <c r="X584" s="104">
        <f t="shared" ca="1" si="178"/>
        <v>0</v>
      </c>
    </row>
    <row r="585" spans="1:24" x14ac:dyDescent="0.2">
      <c r="A585" s="98">
        <v>0</v>
      </c>
      <c r="B585" s="98">
        <v>1</v>
      </c>
      <c r="C585" s="98">
        <f t="shared" si="160"/>
        <v>5</v>
      </c>
      <c r="D585" s="98">
        <f t="shared" si="161"/>
        <v>4</v>
      </c>
      <c r="E585" s="98">
        <f t="shared" si="162"/>
        <v>0</v>
      </c>
      <c r="F585" s="118">
        <f t="shared" ca="1" si="163"/>
        <v>0.179518300416</v>
      </c>
      <c r="G585" s="98">
        <v>1</v>
      </c>
      <c r="H585" s="98">
        <v>1</v>
      </c>
      <c r="I585" s="98">
        <v>5</v>
      </c>
      <c r="J585" s="118">
        <f t="shared" si="164"/>
        <v>0</v>
      </c>
      <c r="K585" s="118">
        <f t="shared" ca="1" si="165"/>
        <v>0</v>
      </c>
      <c r="L585" s="133">
        <f t="shared" ca="1" si="166"/>
        <v>396</v>
      </c>
      <c r="M585" s="130">
        <f t="shared" ca="1" si="167"/>
        <v>604</v>
      </c>
      <c r="N585" s="100">
        <f t="shared" ca="1" si="168"/>
        <v>3</v>
      </c>
      <c r="O585" s="136">
        <f t="shared" ca="1" si="169"/>
        <v>2.1177215542739054</v>
      </c>
      <c r="P585" s="136">
        <f t="shared" ca="1" si="170"/>
        <v>21.177215542739059</v>
      </c>
      <c r="Q585" s="136">
        <f t="shared" ca="1" si="171"/>
        <v>21.177215542739059</v>
      </c>
      <c r="R585" s="136">
        <f t="shared" ca="1" si="172"/>
        <v>2.1177215542739058</v>
      </c>
      <c r="S585" s="136">
        <f t="shared" ca="1" si="173"/>
        <v>2.1177215542739054</v>
      </c>
      <c r="T585" s="104">
        <f t="shared" ca="1" si="174"/>
        <v>0</v>
      </c>
      <c r="U585" s="120">
        <f t="shared" ca="1" si="175"/>
        <v>1203.5224659982036</v>
      </c>
      <c r="V585" s="104">
        <f t="shared" ca="1" si="176"/>
        <v>0</v>
      </c>
      <c r="W585" s="133">
        <f t="shared" ca="1" si="177"/>
        <v>15526.28722612156</v>
      </c>
      <c r="X585" s="104">
        <f t="shared" ca="1" si="178"/>
        <v>0</v>
      </c>
    </row>
    <row r="586" spans="1:24" x14ac:dyDescent="0.2">
      <c r="A586" s="98">
        <v>0</v>
      </c>
      <c r="B586" s="98">
        <v>1</v>
      </c>
      <c r="C586" s="98">
        <f t="shared" si="160"/>
        <v>5</v>
      </c>
      <c r="D586" s="98">
        <f t="shared" si="161"/>
        <v>4</v>
      </c>
      <c r="E586" s="98">
        <f t="shared" si="162"/>
        <v>0</v>
      </c>
      <c r="F586" s="118">
        <f t="shared" ca="1" si="163"/>
        <v>0.179518300416</v>
      </c>
      <c r="G586" s="98">
        <v>1</v>
      </c>
      <c r="H586" s="98">
        <v>1</v>
      </c>
      <c r="I586" s="98">
        <v>4</v>
      </c>
      <c r="J586" s="118">
        <f t="shared" ca="1" si="164"/>
        <v>0</v>
      </c>
      <c r="K586" s="118">
        <f t="shared" ca="1" si="165"/>
        <v>0</v>
      </c>
      <c r="L586" s="133">
        <f t="shared" ca="1" si="166"/>
        <v>384</v>
      </c>
      <c r="M586" s="130">
        <f t="shared" ca="1" si="167"/>
        <v>616</v>
      </c>
      <c r="N586" s="100">
        <f t="shared" ca="1" si="168"/>
        <v>3</v>
      </c>
      <c r="O586" s="136">
        <f t="shared" ca="1" si="169"/>
        <v>2.1177215542739054</v>
      </c>
      <c r="P586" s="136">
        <f t="shared" ca="1" si="170"/>
        <v>21.177215542739059</v>
      </c>
      <c r="Q586" s="136">
        <f t="shared" ca="1" si="171"/>
        <v>21.177215542739059</v>
      </c>
      <c r="R586" s="136">
        <f t="shared" ca="1" si="172"/>
        <v>2.1177215542739058</v>
      </c>
      <c r="S586" s="136">
        <f t="shared" ca="1" si="173"/>
        <v>2.1177215542739054</v>
      </c>
      <c r="T586" s="104">
        <f t="shared" ca="1" si="174"/>
        <v>0</v>
      </c>
      <c r="U586" s="120">
        <f t="shared" ca="1" si="175"/>
        <v>1191.5224659982036</v>
      </c>
      <c r="V586" s="104">
        <f t="shared" ca="1" si="176"/>
        <v>0</v>
      </c>
      <c r="W586" s="133">
        <f t="shared" ca="1" si="177"/>
        <v>13348.68733465991</v>
      </c>
      <c r="X586" s="104">
        <f t="shared" ca="1" si="178"/>
        <v>0</v>
      </c>
    </row>
    <row r="587" spans="1:24" x14ac:dyDescent="0.2">
      <c r="A587" s="98">
        <v>0</v>
      </c>
      <c r="B587" s="98">
        <v>1</v>
      </c>
      <c r="C587" s="98">
        <f t="shared" si="160"/>
        <v>5</v>
      </c>
      <c r="D587" s="98">
        <f t="shared" si="161"/>
        <v>4</v>
      </c>
      <c r="E587" s="98">
        <f t="shared" si="162"/>
        <v>0</v>
      </c>
      <c r="F587" s="118">
        <f t="shared" ca="1" si="163"/>
        <v>0.179518300416</v>
      </c>
      <c r="G587" s="98">
        <v>1</v>
      </c>
      <c r="H587" s="98">
        <v>1</v>
      </c>
      <c r="I587" s="98">
        <v>3</v>
      </c>
      <c r="J587" s="118">
        <f t="shared" ca="1" si="164"/>
        <v>0</v>
      </c>
      <c r="K587" s="118">
        <f t="shared" ca="1" si="165"/>
        <v>0</v>
      </c>
      <c r="L587" s="133">
        <f t="shared" ca="1" si="166"/>
        <v>372</v>
      </c>
      <c r="M587" s="130">
        <f t="shared" ca="1" si="167"/>
        <v>628</v>
      </c>
      <c r="N587" s="100">
        <f t="shared" ca="1" si="168"/>
        <v>3</v>
      </c>
      <c r="O587" s="136">
        <f t="shared" ca="1" si="169"/>
        <v>2.1177215542739054</v>
      </c>
      <c r="P587" s="136">
        <f t="shared" ca="1" si="170"/>
        <v>21.177215542739059</v>
      </c>
      <c r="Q587" s="136">
        <f t="shared" ca="1" si="171"/>
        <v>21.177215542739059</v>
      </c>
      <c r="R587" s="136">
        <f t="shared" ca="1" si="172"/>
        <v>2.1177215542739058</v>
      </c>
      <c r="S587" s="136">
        <f t="shared" ca="1" si="173"/>
        <v>2.1177215542739054</v>
      </c>
      <c r="T587" s="104">
        <f t="shared" ca="1" si="174"/>
        <v>0</v>
      </c>
      <c r="U587" s="120">
        <f t="shared" ca="1" si="175"/>
        <v>1179.5224659982036</v>
      </c>
      <c r="V587" s="104">
        <f t="shared" ca="1" si="176"/>
        <v>0</v>
      </c>
      <c r="W587" s="133">
        <f t="shared" ca="1" si="177"/>
        <v>11171.087443198263</v>
      </c>
      <c r="X587" s="104">
        <f t="shared" ca="1" si="178"/>
        <v>0</v>
      </c>
    </row>
    <row r="588" spans="1:24" x14ac:dyDescent="0.2">
      <c r="A588" s="98">
        <v>0</v>
      </c>
      <c r="B588" s="98">
        <v>1</v>
      </c>
      <c r="C588" s="98">
        <f t="shared" si="160"/>
        <v>5</v>
      </c>
      <c r="D588" s="98">
        <f t="shared" si="161"/>
        <v>4</v>
      </c>
      <c r="E588" s="98">
        <f t="shared" si="162"/>
        <v>0</v>
      </c>
      <c r="F588" s="118">
        <f t="shared" ca="1" si="163"/>
        <v>0.179518300416</v>
      </c>
      <c r="G588" s="98">
        <v>1</v>
      </c>
      <c r="H588" s="98">
        <v>1</v>
      </c>
      <c r="I588" s="98">
        <v>2</v>
      </c>
      <c r="J588" s="118">
        <f t="shared" ca="1" si="164"/>
        <v>0</v>
      </c>
      <c r="K588" s="118">
        <f t="shared" ca="1" si="165"/>
        <v>0</v>
      </c>
      <c r="L588" s="133">
        <f t="shared" ca="1" si="166"/>
        <v>360</v>
      </c>
      <c r="M588" s="130">
        <f t="shared" ca="1" si="167"/>
        <v>640</v>
      </c>
      <c r="N588" s="100">
        <f t="shared" ca="1" si="168"/>
        <v>3</v>
      </c>
      <c r="O588" s="136">
        <f t="shared" ca="1" si="169"/>
        <v>2.1177215542739054</v>
      </c>
      <c r="P588" s="136">
        <f t="shared" ca="1" si="170"/>
        <v>21.177215542739059</v>
      </c>
      <c r="Q588" s="136">
        <f t="shared" ca="1" si="171"/>
        <v>21.177215542739059</v>
      </c>
      <c r="R588" s="136">
        <f t="shared" ca="1" si="172"/>
        <v>2.1177215542739058</v>
      </c>
      <c r="S588" s="136">
        <f t="shared" ca="1" si="173"/>
        <v>2.1177215542739054</v>
      </c>
      <c r="T588" s="104">
        <f t="shared" ca="1" si="174"/>
        <v>0</v>
      </c>
      <c r="U588" s="120">
        <f t="shared" ca="1" si="175"/>
        <v>1167.5224659982036</v>
      </c>
      <c r="V588" s="104">
        <f t="shared" ca="1" si="176"/>
        <v>0</v>
      </c>
      <c r="W588" s="133">
        <f t="shared" ca="1" si="177"/>
        <v>8993.4875517366127</v>
      </c>
      <c r="X588" s="104">
        <f t="shared" ca="1" si="178"/>
        <v>0</v>
      </c>
    </row>
    <row r="589" spans="1:24" x14ac:dyDescent="0.2">
      <c r="A589" s="98">
        <v>0</v>
      </c>
      <c r="B589" s="98">
        <v>1</v>
      </c>
      <c r="C589" s="98">
        <f t="shared" si="160"/>
        <v>5</v>
      </c>
      <c r="D589" s="98">
        <f t="shared" si="161"/>
        <v>4</v>
      </c>
      <c r="E589" s="98">
        <f t="shared" si="162"/>
        <v>0</v>
      </c>
      <c r="F589" s="118">
        <f t="shared" ca="1" si="163"/>
        <v>0.179518300416</v>
      </c>
      <c r="G589" s="98">
        <v>1</v>
      </c>
      <c r="H589" s="98">
        <v>1</v>
      </c>
      <c r="I589" s="98">
        <v>1</v>
      </c>
      <c r="J589" s="118">
        <f t="shared" ca="1" si="164"/>
        <v>0</v>
      </c>
      <c r="K589" s="118">
        <f t="shared" ca="1" si="165"/>
        <v>0</v>
      </c>
      <c r="L589" s="133">
        <f t="shared" ca="1" si="166"/>
        <v>348</v>
      </c>
      <c r="M589" s="130">
        <f t="shared" ca="1" si="167"/>
        <v>652</v>
      </c>
      <c r="N589" s="100">
        <f t="shared" ca="1" si="168"/>
        <v>4</v>
      </c>
      <c r="O589" s="136">
        <f t="shared" ca="1" si="169"/>
        <v>2.6973744602864622</v>
      </c>
      <c r="P589" s="136">
        <f t="shared" ca="1" si="170"/>
        <v>21.177215542739059</v>
      </c>
      <c r="Q589" s="136">
        <f t="shared" ca="1" si="171"/>
        <v>21.177215542739059</v>
      </c>
      <c r="R589" s="136">
        <f t="shared" ca="1" si="172"/>
        <v>2.1177215542739058</v>
      </c>
      <c r="S589" s="136">
        <f t="shared" ca="1" si="173"/>
        <v>2.5060890013023185</v>
      </c>
      <c r="T589" s="104">
        <f t="shared" ca="1" si="174"/>
        <v>0</v>
      </c>
      <c r="U589" s="120">
        <f t="shared" ca="1" si="175"/>
        <v>1297.2589968903351</v>
      </c>
      <c r="V589" s="104">
        <f t="shared" ca="1" si="176"/>
        <v>0</v>
      </c>
      <c r="W589" s="133">
        <f t="shared" ca="1" si="177"/>
        <v>6815.8876602749624</v>
      </c>
      <c r="X589" s="104">
        <f t="shared" ca="1" si="178"/>
        <v>0</v>
      </c>
    </row>
    <row r="590" spans="1:24" x14ac:dyDescent="0.2">
      <c r="A590" s="98">
        <v>0</v>
      </c>
      <c r="B590" s="98">
        <v>1</v>
      </c>
      <c r="C590" s="98">
        <f t="shared" si="160"/>
        <v>5</v>
      </c>
      <c r="D590" s="98">
        <f t="shared" si="161"/>
        <v>4</v>
      </c>
      <c r="E590" s="98">
        <f t="shared" si="162"/>
        <v>0</v>
      </c>
      <c r="F590" s="118">
        <f t="shared" ca="1" si="163"/>
        <v>0.179518300416</v>
      </c>
      <c r="G590" s="98">
        <v>1</v>
      </c>
      <c r="H590" s="98">
        <v>1</v>
      </c>
      <c r="I590" s="98">
        <v>0</v>
      </c>
      <c r="J590" s="118">
        <f t="shared" ca="1" si="164"/>
        <v>0</v>
      </c>
      <c r="K590" s="118">
        <f t="shared" ca="1" si="165"/>
        <v>0</v>
      </c>
      <c r="L590" s="133">
        <f t="shared" ca="1" si="166"/>
        <v>336</v>
      </c>
      <c r="M590" s="130">
        <f t="shared" ca="1" si="167"/>
        <v>664</v>
      </c>
      <c r="N590" s="100">
        <f t="shared" ca="1" si="168"/>
        <v>4</v>
      </c>
      <c r="O590" s="136">
        <f t="shared" ca="1" si="169"/>
        <v>2.6973744602864622</v>
      </c>
      <c r="P590" s="136">
        <f t="shared" ca="1" si="170"/>
        <v>26.973744602864617</v>
      </c>
      <c r="Q590" s="136">
        <f t="shared" ca="1" si="171"/>
        <v>22.336521354764173</v>
      </c>
      <c r="R590" s="136">
        <f t="shared" ca="1" si="172"/>
        <v>2.4655132978814391</v>
      </c>
      <c r="S590" s="136">
        <f t="shared" ca="1" si="173"/>
        <v>2.6208602766928046</v>
      </c>
      <c r="T590" s="104">
        <f t="shared" ca="1" si="174"/>
        <v>0</v>
      </c>
      <c r="U590" s="120">
        <f t="shared" ca="1" si="175"/>
        <v>1327.1453149748754</v>
      </c>
      <c r="V590" s="104">
        <f t="shared" ca="1" si="176"/>
        <v>0</v>
      </c>
      <c r="W590" s="133">
        <f t="shared" ca="1" si="177"/>
        <v>4638.2877688133131</v>
      </c>
      <c r="X590" s="104">
        <f t="shared" ca="1" si="178"/>
        <v>0</v>
      </c>
    </row>
    <row r="591" spans="1:24" x14ac:dyDescent="0.2">
      <c r="A591" s="98">
        <v>0</v>
      </c>
      <c r="B591" s="98">
        <v>1</v>
      </c>
      <c r="C591" s="98">
        <f t="shared" si="160"/>
        <v>5</v>
      </c>
      <c r="D591" s="98">
        <f t="shared" si="161"/>
        <v>4</v>
      </c>
      <c r="E591" s="98">
        <f t="shared" si="162"/>
        <v>0</v>
      </c>
      <c r="F591" s="118">
        <f t="shared" ca="1" si="163"/>
        <v>0.179518300416</v>
      </c>
      <c r="G591" s="98">
        <v>1</v>
      </c>
      <c r="H591" s="98">
        <v>0</v>
      </c>
      <c r="I591" s="98">
        <v>7</v>
      </c>
      <c r="J591" s="118">
        <f t="shared" si="164"/>
        <v>0</v>
      </c>
      <c r="K591" s="118">
        <f t="shared" ca="1" si="165"/>
        <v>0</v>
      </c>
      <c r="L591" s="133">
        <f t="shared" ca="1" si="166"/>
        <v>252</v>
      </c>
      <c r="M591" s="130">
        <f t="shared" ca="1" si="167"/>
        <v>748</v>
      </c>
      <c r="N591" s="100">
        <f t="shared" ca="1" si="168"/>
        <v>4</v>
      </c>
      <c r="O591" s="136">
        <f t="shared" ca="1" si="169"/>
        <v>2.6973744602864622</v>
      </c>
      <c r="P591" s="136">
        <f t="shared" ca="1" si="170"/>
        <v>26.973744602864617</v>
      </c>
      <c r="Q591" s="136">
        <f t="shared" ca="1" si="171"/>
        <v>26.973744602864617</v>
      </c>
      <c r="R591" s="136">
        <f t="shared" ca="1" si="172"/>
        <v>2.6973744602864618</v>
      </c>
      <c r="S591" s="136">
        <f t="shared" ca="1" si="173"/>
        <v>2.6973744602864622</v>
      </c>
      <c r="T591" s="104">
        <f t="shared" ca="1" si="174"/>
        <v>0</v>
      </c>
      <c r="U591" s="120">
        <f t="shared" ca="1" si="175"/>
        <v>1271.0695270312358</v>
      </c>
      <c r="V591" s="104">
        <f t="shared" ca="1" si="176"/>
        <v>0</v>
      </c>
      <c r="W591" s="133">
        <f t="shared" ca="1" si="177"/>
        <v>17703.88711758321</v>
      </c>
      <c r="X591" s="104">
        <f t="shared" ca="1" si="178"/>
        <v>0</v>
      </c>
    </row>
    <row r="592" spans="1:24" x14ac:dyDescent="0.2">
      <c r="A592" s="98">
        <v>0</v>
      </c>
      <c r="B592" s="98">
        <v>1</v>
      </c>
      <c r="C592" s="98">
        <f t="shared" si="160"/>
        <v>5</v>
      </c>
      <c r="D592" s="98">
        <f t="shared" si="161"/>
        <v>4</v>
      </c>
      <c r="E592" s="98">
        <f t="shared" si="162"/>
        <v>0</v>
      </c>
      <c r="F592" s="118">
        <f t="shared" ca="1" si="163"/>
        <v>0.179518300416</v>
      </c>
      <c r="G592" s="98">
        <v>1</v>
      </c>
      <c r="H592" s="98">
        <v>0</v>
      </c>
      <c r="I592" s="98">
        <v>6</v>
      </c>
      <c r="J592" s="118">
        <f t="shared" si="164"/>
        <v>0</v>
      </c>
      <c r="K592" s="118">
        <f t="shared" ca="1" si="165"/>
        <v>0</v>
      </c>
      <c r="L592" s="133">
        <f t="shared" ca="1" si="166"/>
        <v>240</v>
      </c>
      <c r="M592" s="130">
        <f t="shared" ca="1" si="167"/>
        <v>760</v>
      </c>
      <c r="N592" s="100">
        <f t="shared" ca="1" si="168"/>
        <v>4</v>
      </c>
      <c r="O592" s="136">
        <f t="shared" ca="1" si="169"/>
        <v>2.6973744602864622</v>
      </c>
      <c r="P592" s="136">
        <f t="shared" ca="1" si="170"/>
        <v>26.973744602864617</v>
      </c>
      <c r="Q592" s="136">
        <f t="shared" ca="1" si="171"/>
        <v>26.973744602864617</v>
      </c>
      <c r="R592" s="136">
        <f t="shared" ca="1" si="172"/>
        <v>2.6973744602864618</v>
      </c>
      <c r="S592" s="136">
        <f t="shared" ca="1" si="173"/>
        <v>2.6973744602864622</v>
      </c>
      <c r="T592" s="104">
        <f t="shared" ca="1" si="174"/>
        <v>0</v>
      </c>
      <c r="U592" s="120">
        <f t="shared" ca="1" si="175"/>
        <v>1259.0695270312358</v>
      </c>
      <c r="V592" s="104">
        <f t="shared" ca="1" si="176"/>
        <v>0</v>
      </c>
      <c r="W592" s="133">
        <f t="shared" ca="1" si="177"/>
        <v>15526.287226121562</v>
      </c>
      <c r="X592" s="104">
        <f t="shared" ca="1" si="178"/>
        <v>0</v>
      </c>
    </row>
    <row r="593" spans="1:24" x14ac:dyDescent="0.2">
      <c r="A593" s="98">
        <v>0</v>
      </c>
      <c r="B593" s="98">
        <v>1</v>
      </c>
      <c r="C593" s="98">
        <f t="shared" si="160"/>
        <v>5</v>
      </c>
      <c r="D593" s="98">
        <f t="shared" si="161"/>
        <v>4</v>
      </c>
      <c r="E593" s="98">
        <f t="shared" si="162"/>
        <v>0</v>
      </c>
      <c r="F593" s="118">
        <f t="shared" ca="1" si="163"/>
        <v>0.179518300416</v>
      </c>
      <c r="G593" s="98">
        <v>1</v>
      </c>
      <c r="H593" s="98">
        <v>0</v>
      </c>
      <c r="I593" s="98">
        <v>5</v>
      </c>
      <c r="J593" s="118">
        <f t="shared" si="164"/>
        <v>0</v>
      </c>
      <c r="K593" s="118">
        <f t="shared" ca="1" si="165"/>
        <v>0</v>
      </c>
      <c r="L593" s="133">
        <f t="shared" ca="1" si="166"/>
        <v>228</v>
      </c>
      <c r="M593" s="130">
        <f t="shared" ca="1" si="167"/>
        <v>772</v>
      </c>
      <c r="N593" s="100">
        <f t="shared" ca="1" si="168"/>
        <v>4</v>
      </c>
      <c r="O593" s="136">
        <f t="shared" ca="1" si="169"/>
        <v>2.6973744602864622</v>
      </c>
      <c r="P593" s="136">
        <f t="shared" ca="1" si="170"/>
        <v>26.973744602864617</v>
      </c>
      <c r="Q593" s="136">
        <f t="shared" ca="1" si="171"/>
        <v>26.973744602864617</v>
      </c>
      <c r="R593" s="136">
        <f t="shared" ca="1" si="172"/>
        <v>2.6973744602864618</v>
      </c>
      <c r="S593" s="136">
        <f t="shared" ca="1" si="173"/>
        <v>2.6973744602864622</v>
      </c>
      <c r="T593" s="104">
        <f t="shared" ca="1" si="174"/>
        <v>0</v>
      </c>
      <c r="U593" s="120">
        <f t="shared" ca="1" si="175"/>
        <v>1247.0695270312358</v>
      </c>
      <c r="V593" s="104">
        <f t="shared" ca="1" si="176"/>
        <v>0</v>
      </c>
      <c r="W593" s="133">
        <f t="shared" ca="1" si="177"/>
        <v>13348.687334659911</v>
      </c>
      <c r="X593" s="104">
        <f t="shared" ca="1" si="178"/>
        <v>0</v>
      </c>
    </row>
    <row r="594" spans="1:24" x14ac:dyDescent="0.2">
      <c r="A594" s="98">
        <v>0</v>
      </c>
      <c r="B594" s="98">
        <v>1</v>
      </c>
      <c r="C594" s="98">
        <f t="shared" si="160"/>
        <v>5</v>
      </c>
      <c r="D594" s="98">
        <f t="shared" si="161"/>
        <v>4</v>
      </c>
      <c r="E594" s="98">
        <f t="shared" si="162"/>
        <v>0</v>
      </c>
      <c r="F594" s="118">
        <f t="shared" ca="1" si="163"/>
        <v>0.179518300416</v>
      </c>
      <c r="G594" s="98">
        <v>1</v>
      </c>
      <c r="H594" s="98">
        <v>0</v>
      </c>
      <c r="I594" s="98">
        <v>4</v>
      </c>
      <c r="J594" s="118">
        <f t="shared" ca="1" si="164"/>
        <v>0.77378093749999999</v>
      </c>
      <c r="K594" s="118">
        <f t="shared" ca="1" si="165"/>
        <v>0.13890783879429913</v>
      </c>
      <c r="L594" s="133">
        <f t="shared" ca="1" si="166"/>
        <v>216</v>
      </c>
      <c r="M594" s="130">
        <f t="shared" ca="1" si="167"/>
        <v>784</v>
      </c>
      <c r="N594" s="100">
        <f t="shared" ca="1" si="168"/>
        <v>4</v>
      </c>
      <c r="O594" s="136">
        <f t="shared" ca="1" si="169"/>
        <v>2.6973744602864622</v>
      </c>
      <c r="P594" s="136">
        <f t="shared" ca="1" si="170"/>
        <v>26.973744602864617</v>
      </c>
      <c r="Q594" s="136">
        <f t="shared" ca="1" si="171"/>
        <v>26.973744602864617</v>
      </c>
      <c r="R594" s="136">
        <f t="shared" ca="1" si="172"/>
        <v>2.6973744602864618</v>
      </c>
      <c r="S594" s="136">
        <f t="shared" ca="1" si="173"/>
        <v>2.6973744602864622</v>
      </c>
      <c r="T594" s="104">
        <f t="shared" ca="1" si="174"/>
        <v>0.37468645669733153</v>
      </c>
      <c r="U594" s="120">
        <f t="shared" ca="1" si="175"/>
        <v>1235.0695270312358</v>
      </c>
      <c r="V594" s="104">
        <f t="shared" ca="1" si="176"/>
        <v>171.56083876060617</v>
      </c>
      <c r="W594" s="133">
        <f t="shared" ca="1" si="177"/>
        <v>11171.087443198261</v>
      </c>
      <c r="X594" s="104">
        <f t="shared" ca="1" si="178"/>
        <v>1551.7516137168034</v>
      </c>
    </row>
    <row r="595" spans="1:24" x14ac:dyDescent="0.2">
      <c r="A595" s="98">
        <v>0</v>
      </c>
      <c r="B595" s="98">
        <v>1</v>
      </c>
      <c r="C595" s="98">
        <f t="shared" si="160"/>
        <v>5</v>
      </c>
      <c r="D595" s="98">
        <f t="shared" si="161"/>
        <v>4</v>
      </c>
      <c r="E595" s="98">
        <f t="shared" si="162"/>
        <v>0</v>
      </c>
      <c r="F595" s="118">
        <f t="shared" ca="1" si="163"/>
        <v>0.179518300416</v>
      </c>
      <c r="G595" s="98">
        <v>1</v>
      </c>
      <c r="H595" s="98">
        <v>0</v>
      </c>
      <c r="I595" s="98">
        <v>3</v>
      </c>
      <c r="J595" s="118">
        <f t="shared" ca="1" si="164"/>
        <v>0.16290125000000011</v>
      </c>
      <c r="K595" s="118">
        <f t="shared" ca="1" si="165"/>
        <v>2.924375553564194E-2</v>
      </c>
      <c r="L595" s="133">
        <f t="shared" ca="1" si="166"/>
        <v>204</v>
      </c>
      <c r="M595" s="130">
        <f t="shared" ca="1" si="167"/>
        <v>796</v>
      </c>
      <c r="N595" s="100">
        <f t="shared" ca="1" si="168"/>
        <v>4</v>
      </c>
      <c r="O595" s="136">
        <f t="shared" ca="1" si="169"/>
        <v>2.6973744602864622</v>
      </c>
      <c r="P595" s="136">
        <f t="shared" ca="1" si="170"/>
        <v>26.973744602864617</v>
      </c>
      <c r="Q595" s="136">
        <f t="shared" ca="1" si="171"/>
        <v>26.973744602864617</v>
      </c>
      <c r="R595" s="136">
        <f t="shared" ca="1" si="172"/>
        <v>2.6973744602864618</v>
      </c>
      <c r="S595" s="136">
        <f t="shared" ca="1" si="173"/>
        <v>2.6973744602864622</v>
      </c>
      <c r="T595" s="104">
        <f t="shared" ca="1" si="174"/>
        <v>7.8881359304701415E-2</v>
      </c>
      <c r="U595" s="120">
        <f t="shared" ca="1" si="175"/>
        <v>1223.0695270312358</v>
      </c>
      <c r="V595" s="104">
        <f t="shared" ca="1" si="176"/>
        <v>35.767146251594674</v>
      </c>
      <c r="W595" s="133">
        <f t="shared" ca="1" si="177"/>
        <v>8993.4875517366127</v>
      </c>
      <c r="X595" s="104">
        <f t="shared" ca="1" si="178"/>
        <v>263.00335137582442</v>
      </c>
    </row>
    <row r="596" spans="1:24" x14ac:dyDescent="0.2">
      <c r="A596" s="98">
        <v>0</v>
      </c>
      <c r="B596" s="98">
        <v>1</v>
      </c>
      <c r="C596" s="98">
        <f t="shared" si="160"/>
        <v>5</v>
      </c>
      <c r="D596" s="98">
        <f t="shared" si="161"/>
        <v>4</v>
      </c>
      <c r="E596" s="98">
        <f t="shared" si="162"/>
        <v>0</v>
      </c>
      <c r="F596" s="118">
        <f t="shared" ca="1" si="163"/>
        <v>0.179518300416</v>
      </c>
      <c r="G596" s="98">
        <v>1</v>
      </c>
      <c r="H596" s="98">
        <v>0</v>
      </c>
      <c r="I596" s="98">
        <v>2</v>
      </c>
      <c r="J596" s="118">
        <f t="shared" ca="1" si="164"/>
        <v>1.2860625000000021E-2</v>
      </c>
      <c r="K596" s="118">
        <f t="shared" ca="1" si="165"/>
        <v>2.308717542287524E-3</v>
      </c>
      <c r="L596" s="133">
        <f t="shared" ca="1" si="166"/>
        <v>192</v>
      </c>
      <c r="M596" s="130">
        <f t="shared" ca="1" si="167"/>
        <v>808</v>
      </c>
      <c r="N596" s="100">
        <f t="shared" ca="1" si="168"/>
        <v>4</v>
      </c>
      <c r="O596" s="136">
        <f t="shared" ca="1" si="169"/>
        <v>2.6973744602864622</v>
      </c>
      <c r="P596" s="136">
        <f t="shared" ca="1" si="170"/>
        <v>26.973744602864617</v>
      </c>
      <c r="Q596" s="136">
        <f t="shared" ca="1" si="171"/>
        <v>26.973744602864617</v>
      </c>
      <c r="R596" s="136">
        <f t="shared" ca="1" si="172"/>
        <v>2.6973744602864618</v>
      </c>
      <c r="S596" s="136">
        <f t="shared" ca="1" si="173"/>
        <v>2.6973744602864622</v>
      </c>
      <c r="T596" s="104">
        <f t="shared" ca="1" si="174"/>
        <v>6.2274757345816972E-3</v>
      </c>
      <c r="U596" s="120">
        <f t="shared" ca="1" si="175"/>
        <v>1211.0695270312358</v>
      </c>
      <c r="V596" s="104">
        <f t="shared" ca="1" si="176"/>
        <v>2.7960174619868687</v>
      </c>
      <c r="W596" s="133">
        <f t="shared" ca="1" si="177"/>
        <v>6815.8876602749624</v>
      </c>
      <c r="X596" s="104">
        <f t="shared" ca="1" si="178"/>
        <v>15.735959407537873</v>
      </c>
    </row>
    <row r="597" spans="1:24" x14ac:dyDescent="0.2">
      <c r="A597" s="98">
        <v>0</v>
      </c>
      <c r="B597" s="98">
        <v>1</v>
      </c>
      <c r="C597" s="98">
        <f t="shared" si="160"/>
        <v>5</v>
      </c>
      <c r="D597" s="98">
        <f t="shared" si="161"/>
        <v>4</v>
      </c>
      <c r="E597" s="98">
        <f t="shared" si="162"/>
        <v>0</v>
      </c>
      <c r="F597" s="118">
        <f t="shared" ca="1" si="163"/>
        <v>0.179518300416</v>
      </c>
      <c r="G597" s="98">
        <v>1</v>
      </c>
      <c r="H597" s="98">
        <v>0</v>
      </c>
      <c r="I597" s="98">
        <v>1</v>
      </c>
      <c r="J597" s="118">
        <f t="shared" ca="1" si="164"/>
        <v>4.5125000000000118E-4</v>
      </c>
      <c r="K597" s="118">
        <f t="shared" ca="1" si="165"/>
        <v>8.1007633062720212E-5</v>
      </c>
      <c r="L597" s="133">
        <f t="shared" ca="1" si="166"/>
        <v>180</v>
      </c>
      <c r="M597" s="130">
        <f t="shared" ca="1" si="167"/>
        <v>820</v>
      </c>
      <c r="N597" s="100">
        <f t="shared" ca="1" si="168"/>
        <v>4</v>
      </c>
      <c r="O597" s="136">
        <f t="shared" ca="1" si="169"/>
        <v>2.6973744602864622</v>
      </c>
      <c r="P597" s="136">
        <f t="shared" ca="1" si="170"/>
        <v>26.973744602864617</v>
      </c>
      <c r="Q597" s="136">
        <f t="shared" ca="1" si="171"/>
        <v>26.973744602864617</v>
      </c>
      <c r="R597" s="136">
        <f t="shared" ca="1" si="172"/>
        <v>2.6973744602864618</v>
      </c>
      <c r="S597" s="136">
        <f t="shared" ca="1" si="173"/>
        <v>2.6973744602864622</v>
      </c>
      <c r="T597" s="104">
        <f t="shared" ca="1" si="174"/>
        <v>2.185079205116387E-4</v>
      </c>
      <c r="U597" s="120">
        <f t="shared" ca="1" si="175"/>
        <v>1199.0695270312358</v>
      </c>
      <c r="V597" s="104">
        <f t="shared" ca="1" si="176"/>
        <v>9.7133784262435824E-2</v>
      </c>
      <c r="W597" s="133">
        <f t="shared" ca="1" si="177"/>
        <v>4638.2877688133131</v>
      </c>
      <c r="X597" s="104">
        <f t="shared" ca="1" si="178"/>
        <v>0.37573671361533212</v>
      </c>
    </row>
    <row r="598" spans="1:24" x14ac:dyDescent="0.2">
      <c r="A598" s="98">
        <v>0</v>
      </c>
      <c r="B598" s="98">
        <v>1</v>
      </c>
      <c r="C598" s="98">
        <f t="shared" si="160"/>
        <v>5</v>
      </c>
      <c r="D598" s="98">
        <f t="shared" si="161"/>
        <v>4</v>
      </c>
      <c r="E598" s="98">
        <f t="shared" si="162"/>
        <v>0</v>
      </c>
      <c r="F598" s="118">
        <f t="shared" ca="1" si="163"/>
        <v>0.179518300416</v>
      </c>
      <c r="G598" s="98">
        <v>1</v>
      </c>
      <c r="H598" s="98">
        <v>0</v>
      </c>
      <c r="I598" s="98">
        <v>0</v>
      </c>
      <c r="J598" s="118">
        <f t="shared" ca="1" si="164"/>
        <v>5.9375000000000207E-6</v>
      </c>
      <c r="K598" s="118">
        <f t="shared" ca="1" si="165"/>
        <v>1.0658899087200037E-6</v>
      </c>
      <c r="L598" s="133">
        <f t="shared" ca="1" si="166"/>
        <v>168</v>
      </c>
      <c r="M598" s="130">
        <f t="shared" ca="1" si="167"/>
        <v>832</v>
      </c>
      <c r="N598" s="100">
        <f t="shared" ca="1" si="168"/>
        <v>4</v>
      </c>
      <c r="O598" s="136">
        <f t="shared" ca="1" si="169"/>
        <v>2.6973744602864622</v>
      </c>
      <c r="P598" s="136">
        <f t="shared" ca="1" si="170"/>
        <v>26.973744602864617</v>
      </c>
      <c r="Q598" s="136">
        <f t="shared" ca="1" si="171"/>
        <v>26.973744602864617</v>
      </c>
      <c r="R598" s="136">
        <f t="shared" ca="1" si="172"/>
        <v>2.6973744602864618</v>
      </c>
      <c r="S598" s="136">
        <f t="shared" ca="1" si="173"/>
        <v>2.6973744602864622</v>
      </c>
      <c r="T598" s="104">
        <f t="shared" ca="1" si="174"/>
        <v>2.8751042172584066E-6</v>
      </c>
      <c r="U598" s="120">
        <f t="shared" ca="1" si="175"/>
        <v>1187.0695270312358</v>
      </c>
      <c r="V598" s="104">
        <f t="shared" ca="1" si="176"/>
        <v>1.2652854298116219E-3</v>
      </c>
      <c r="W598" s="133">
        <f t="shared" ca="1" si="177"/>
        <v>2460.6878773516637</v>
      </c>
      <c r="X598" s="104">
        <f t="shared" ca="1" si="178"/>
        <v>2.6228223769787845E-3</v>
      </c>
    </row>
    <row r="599" spans="1:24" x14ac:dyDescent="0.2">
      <c r="A599" s="98">
        <v>0</v>
      </c>
      <c r="B599" s="98">
        <v>1</v>
      </c>
      <c r="C599" s="98">
        <f t="shared" si="160"/>
        <v>5</v>
      </c>
      <c r="D599" s="98">
        <f t="shared" si="161"/>
        <v>4</v>
      </c>
      <c r="E599" s="98">
        <f t="shared" si="162"/>
        <v>0</v>
      </c>
      <c r="F599" s="118">
        <f t="shared" ca="1" si="163"/>
        <v>0.179518300416</v>
      </c>
      <c r="G599" s="98">
        <v>0</v>
      </c>
      <c r="H599" s="98">
        <v>1</v>
      </c>
      <c r="I599" s="98">
        <v>7</v>
      </c>
      <c r="J599" s="118">
        <f t="shared" si="164"/>
        <v>0</v>
      </c>
      <c r="K599" s="118">
        <f t="shared" ca="1" si="165"/>
        <v>0</v>
      </c>
      <c r="L599" s="133">
        <f t="shared" ca="1" si="166"/>
        <v>252</v>
      </c>
      <c r="M599" s="130">
        <f t="shared" ca="1" si="167"/>
        <v>748</v>
      </c>
      <c r="N599" s="100">
        <f t="shared" ca="1" si="168"/>
        <v>4</v>
      </c>
      <c r="O599" s="136">
        <f t="shared" ca="1" si="169"/>
        <v>2.6973744602864622</v>
      </c>
      <c r="P599" s="136">
        <f t="shared" ca="1" si="170"/>
        <v>26.973744602864617</v>
      </c>
      <c r="Q599" s="136">
        <f t="shared" ca="1" si="171"/>
        <v>26.973744602864617</v>
      </c>
      <c r="R599" s="136">
        <f t="shared" ca="1" si="172"/>
        <v>2.6973744602864618</v>
      </c>
      <c r="S599" s="136">
        <f t="shared" ca="1" si="173"/>
        <v>2.6973744602864622</v>
      </c>
      <c r="T599" s="104">
        <f t="shared" ca="1" si="174"/>
        <v>0</v>
      </c>
      <c r="U599" s="120">
        <f t="shared" ca="1" si="175"/>
        <v>1271.0695270312358</v>
      </c>
      <c r="V599" s="104">
        <f t="shared" ca="1" si="176"/>
        <v>0</v>
      </c>
      <c r="W599" s="133">
        <f t="shared" ca="1" si="177"/>
        <v>17420.799131693195</v>
      </c>
      <c r="X599" s="104">
        <f t="shared" ca="1" si="178"/>
        <v>0</v>
      </c>
    </row>
    <row r="600" spans="1:24" x14ac:dyDescent="0.2">
      <c r="A600" s="98">
        <v>0</v>
      </c>
      <c r="B600" s="98">
        <v>1</v>
      </c>
      <c r="C600" s="98">
        <f t="shared" si="160"/>
        <v>5</v>
      </c>
      <c r="D600" s="98">
        <f t="shared" si="161"/>
        <v>4</v>
      </c>
      <c r="E600" s="98">
        <f t="shared" si="162"/>
        <v>0</v>
      </c>
      <c r="F600" s="118">
        <f t="shared" ca="1" si="163"/>
        <v>0.179518300416</v>
      </c>
      <c r="G600" s="98">
        <v>0</v>
      </c>
      <c r="H600" s="98">
        <v>1</v>
      </c>
      <c r="I600" s="98">
        <v>6</v>
      </c>
      <c r="J600" s="118">
        <f t="shared" si="164"/>
        <v>0</v>
      </c>
      <c r="K600" s="118">
        <f t="shared" ca="1" si="165"/>
        <v>0</v>
      </c>
      <c r="L600" s="133">
        <f t="shared" ca="1" si="166"/>
        <v>240</v>
      </c>
      <c r="M600" s="130">
        <f t="shared" ca="1" si="167"/>
        <v>760</v>
      </c>
      <c r="N600" s="100">
        <f t="shared" ca="1" si="168"/>
        <v>4</v>
      </c>
      <c r="O600" s="136">
        <f t="shared" ca="1" si="169"/>
        <v>2.6973744602864622</v>
      </c>
      <c r="P600" s="136">
        <f t="shared" ca="1" si="170"/>
        <v>26.973744602864617</v>
      </c>
      <c r="Q600" s="136">
        <f t="shared" ca="1" si="171"/>
        <v>26.973744602864617</v>
      </c>
      <c r="R600" s="136">
        <f t="shared" ca="1" si="172"/>
        <v>2.6973744602864618</v>
      </c>
      <c r="S600" s="136">
        <f t="shared" ca="1" si="173"/>
        <v>2.6973744602864622</v>
      </c>
      <c r="T600" s="104">
        <f t="shared" ca="1" si="174"/>
        <v>0</v>
      </c>
      <c r="U600" s="120">
        <f t="shared" ca="1" si="175"/>
        <v>1259.0695270312358</v>
      </c>
      <c r="V600" s="104">
        <f t="shared" ca="1" si="176"/>
        <v>0</v>
      </c>
      <c r="W600" s="133">
        <f t="shared" ca="1" si="177"/>
        <v>15243.199240231548</v>
      </c>
      <c r="X600" s="104">
        <f t="shared" ca="1" si="178"/>
        <v>0</v>
      </c>
    </row>
    <row r="601" spans="1:24" x14ac:dyDescent="0.2">
      <c r="A601" s="98">
        <v>0</v>
      </c>
      <c r="B601" s="98">
        <v>1</v>
      </c>
      <c r="C601" s="98">
        <f t="shared" si="160"/>
        <v>5</v>
      </c>
      <c r="D601" s="98">
        <f t="shared" si="161"/>
        <v>4</v>
      </c>
      <c r="E601" s="98">
        <f t="shared" si="162"/>
        <v>0</v>
      </c>
      <c r="F601" s="118">
        <f t="shared" ca="1" si="163"/>
        <v>0.179518300416</v>
      </c>
      <c r="G601" s="98">
        <v>0</v>
      </c>
      <c r="H601" s="98">
        <v>1</v>
      </c>
      <c r="I601" s="98">
        <v>5</v>
      </c>
      <c r="J601" s="118">
        <f t="shared" si="164"/>
        <v>0</v>
      </c>
      <c r="K601" s="118">
        <f t="shared" ca="1" si="165"/>
        <v>0</v>
      </c>
      <c r="L601" s="133">
        <f t="shared" ca="1" si="166"/>
        <v>228</v>
      </c>
      <c r="M601" s="130">
        <f t="shared" ca="1" si="167"/>
        <v>772</v>
      </c>
      <c r="N601" s="100">
        <f t="shared" ca="1" si="168"/>
        <v>4</v>
      </c>
      <c r="O601" s="136">
        <f t="shared" ca="1" si="169"/>
        <v>2.6973744602864622</v>
      </c>
      <c r="P601" s="136">
        <f t="shared" ca="1" si="170"/>
        <v>26.973744602864617</v>
      </c>
      <c r="Q601" s="136">
        <f t="shared" ca="1" si="171"/>
        <v>26.973744602864617</v>
      </c>
      <c r="R601" s="136">
        <f t="shared" ca="1" si="172"/>
        <v>2.6973744602864618</v>
      </c>
      <c r="S601" s="136">
        <f t="shared" ca="1" si="173"/>
        <v>2.6973744602864622</v>
      </c>
      <c r="T601" s="104">
        <f t="shared" ca="1" si="174"/>
        <v>0</v>
      </c>
      <c r="U601" s="120">
        <f t="shared" ca="1" si="175"/>
        <v>1247.0695270312358</v>
      </c>
      <c r="V601" s="104">
        <f t="shared" ca="1" si="176"/>
        <v>0</v>
      </c>
      <c r="W601" s="133">
        <f t="shared" ca="1" si="177"/>
        <v>13065.599348769898</v>
      </c>
      <c r="X601" s="104">
        <f t="shared" ca="1" si="178"/>
        <v>0</v>
      </c>
    </row>
    <row r="602" spans="1:24" x14ac:dyDescent="0.2">
      <c r="A602" s="98">
        <v>0</v>
      </c>
      <c r="B602" s="98">
        <v>1</v>
      </c>
      <c r="C602" s="98">
        <f t="shared" si="160"/>
        <v>5</v>
      </c>
      <c r="D602" s="98">
        <f t="shared" si="161"/>
        <v>4</v>
      </c>
      <c r="E602" s="98">
        <f t="shared" si="162"/>
        <v>0</v>
      </c>
      <c r="F602" s="118">
        <f t="shared" ca="1" si="163"/>
        <v>0.179518300416</v>
      </c>
      <c r="G602" s="98">
        <v>0</v>
      </c>
      <c r="H602" s="98">
        <v>1</v>
      </c>
      <c r="I602" s="98">
        <v>4</v>
      </c>
      <c r="J602" s="118">
        <f t="shared" ca="1" si="164"/>
        <v>0</v>
      </c>
      <c r="K602" s="118">
        <f t="shared" ca="1" si="165"/>
        <v>0</v>
      </c>
      <c r="L602" s="133">
        <f t="shared" ca="1" si="166"/>
        <v>216</v>
      </c>
      <c r="M602" s="130">
        <f t="shared" ca="1" si="167"/>
        <v>784</v>
      </c>
      <c r="N602" s="100">
        <f t="shared" ca="1" si="168"/>
        <v>4</v>
      </c>
      <c r="O602" s="136">
        <f t="shared" ca="1" si="169"/>
        <v>2.6973744602864622</v>
      </c>
      <c r="P602" s="136">
        <f t="shared" ca="1" si="170"/>
        <v>26.973744602864617</v>
      </c>
      <c r="Q602" s="136">
        <f t="shared" ca="1" si="171"/>
        <v>26.973744602864617</v>
      </c>
      <c r="R602" s="136">
        <f t="shared" ca="1" si="172"/>
        <v>2.6973744602864618</v>
      </c>
      <c r="S602" s="136">
        <f t="shared" ca="1" si="173"/>
        <v>2.6973744602864622</v>
      </c>
      <c r="T602" s="104">
        <f t="shared" ca="1" si="174"/>
        <v>0</v>
      </c>
      <c r="U602" s="120">
        <f t="shared" ca="1" si="175"/>
        <v>1235.0695270312358</v>
      </c>
      <c r="V602" s="104">
        <f t="shared" ca="1" si="176"/>
        <v>0</v>
      </c>
      <c r="W602" s="133">
        <f t="shared" ca="1" si="177"/>
        <v>10887.999457308248</v>
      </c>
      <c r="X602" s="104">
        <f t="shared" ca="1" si="178"/>
        <v>0</v>
      </c>
    </row>
    <row r="603" spans="1:24" x14ac:dyDescent="0.2">
      <c r="A603" s="98">
        <v>0</v>
      </c>
      <c r="B603" s="98">
        <v>1</v>
      </c>
      <c r="C603" s="98">
        <f t="shared" si="160"/>
        <v>5</v>
      </c>
      <c r="D603" s="98">
        <f t="shared" si="161"/>
        <v>4</v>
      </c>
      <c r="E603" s="98">
        <f t="shared" si="162"/>
        <v>0</v>
      </c>
      <c r="F603" s="118">
        <f t="shared" ca="1" si="163"/>
        <v>0.179518300416</v>
      </c>
      <c r="G603" s="98">
        <v>0</v>
      </c>
      <c r="H603" s="98">
        <v>1</v>
      </c>
      <c r="I603" s="98">
        <v>3</v>
      </c>
      <c r="J603" s="118">
        <f t="shared" ca="1" si="164"/>
        <v>0</v>
      </c>
      <c r="K603" s="118">
        <f t="shared" ca="1" si="165"/>
        <v>0</v>
      </c>
      <c r="L603" s="133">
        <f t="shared" ca="1" si="166"/>
        <v>204</v>
      </c>
      <c r="M603" s="130">
        <f t="shared" ca="1" si="167"/>
        <v>796</v>
      </c>
      <c r="N603" s="100">
        <f t="shared" ca="1" si="168"/>
        <v>4</v>
      </c>
      <c r="O603" s="136">
        <f t="shared" ca="1" si="169"/>
        <v>2.6973744602864622</v>
      </c>
      <c r="P603" s="136">
        <f t="shared" ca="1" si="170"/>
        <v>26.973744602864617</v>
      </c>
      <c r="Q603" s="136">
        <f t="shared" ca="1" si="171"/>
        <v>26.973744602864617</v>
      </c>
      <c r="R603" s="136">
        <f t="shared" ca="1" si="172"/>
        <v>2.6973744602864618</v>
      </c>
      <c r="S603" s="136">
        <f t="shared" ca="1" si="173"/>
        <v>2.6973744602864622</v>
      </c>
      <c r="T603" s="104">
        <f t="shared" ca="1" si="174"/>
        <v>0</v>
      </c>
      <c r="U603" s="120">
        <f t="shared" ca="1" si="175"/>
        <v>1223.0695270312358</v>
      </c>
      <c r="V603" s="104">
        <f t="shared" ca="1" si="176"/>
        <v>0</v>
      </c>
      <c r="W603" s="133">
        <f t="shared" ca="1" si="177"/>
        <v>8710.3995658465974</v>
      </c>
      <c r="X603" s="104">
        <f t="shared" ca="1" si="178"/>
        <v>0</v>
      </c>
    </row>
    <row r="604" spans="1:24" x14ac:dyDescent="0.2">
      <c r="A604" s="98">
        <v>0</v>
      </c>
      <c r="B604" s="98">
        <v>1</v>
      </c>
      <c r="C604" s="98">
        <f t="shared" si="160"/>
        <v>5</v>
      </c>
      <c r="D604" s="98">
        <f t="shared" si="161"/>
        <v>4</v>
      </c>
      <c r="E604" s="98">
        <f t="shared" si="162"/>
        <v>0</v>
      </c>
      <c r="F604" s="118">
        <f t="shared" ca="1" si="163"/>
        <v>0.179518300416</v>
      </c>
      <c r="G604" s="98">
        <v>0</v>
      </c>
      <c r="H604" s="98">
        <v>1</v>
      </c>
      <c r="I604" s="98">
        <v>2</v>
      </c>
      <c r="J604" s="118">
        <f t="shared" ca="1" si="164"/>
        <v>0</v>
      </c>
      <c r="K604" s="118">
        <f t="shared" ca="1" si="165"/>
        <v>0</v>
      </c>
      <c r="L604" s="133">
        <f t="shared" ca="1" si="166"/>
        <v>192</v>
      </c>
      <c r="M604" s="130">
        <f t="shared" ca="1" si="167"/>
        <v>808</v>
      </c>
      <c r="N604" s="100">
        <f t="shared" ca="1" si="168"/>
        <v>4</v>
      </c>
      <c r="O604" s="136">
        <f t="shared" ca="1" si="169"/>
        <v>2.6973744602864622</v>
      </c>
      <c r="P604" s="136">
        <f t="shared" ca="1" si="170"/>
        <v>26.973744602864617</v>
      </c>
      <c r="Q604" s="136">
        <f t="shared" ca="1" si="171"/>
        <v>26.973744602864617</v>
      </c>
      <c r="R604" s="136">
        <f t="shared" ca="1" si="172"/>
        <v>2.6973744602864618</v>
      </c>
      <c r="S604" s="136">
        <f t="shared" ca="1" si="173"/>
        <v>2.6973744602864622</v>
      </c>
      <c r="T604" s="104">
        <f t="shared" ca="1" si="174"/>
        <v>0</v>
      </c>
      <c r="U604" s="120">
        <f t="shared" ca="1" si="175"/>
        <v>1211.0695270312358</v>
      </c>
      <c r="V604" s="104">
        <f t="shared" ca="1" si="176"/>
        <v>0</v>
      </c>
      <c r="W604" s="133">
        <f t="shared" ca="1" si="177"/>
        <v>6532.799674384948</v>
      </c>
      <c r="X604" s="104">
        <f t="shared" ca="1" si="178"/>
        <v>0</v>
      </c>
    </row>
    <row r="605" spans="1:24" x14ac:dyDescent="0.2">
      <c r="A605" s="98">
        <v>0</v>
      </c>
      <c r="B605" s="98">
        <v>1</v>
      </c>
      <c r="C605" s="98">
        <f t="shared" si="160"/>
        <v>5</v>
      </c>
      <c r="D605" s="98">
        <f t="shared" si="161"/>
        <v>4</v>
      </c>
      <c r="E605" s="98">
        <f t="shared" si="162"/>
        <v>0</v>
      </c>
      <c r="F605" s="118">
        <f t="shared" ca="1" si="163"/>
        <v>0.179518300416</v>
      </c>
      <c r="G605" s="98">
        <v>0</v>
      </c>
      <c r="H605" s="98">
        <v>1</v>
      </c>
      <c r="I605" s="98">
        <v>1</v>
      </c>
      <c r="J605" s="118">
        <f t="shared" ca="1" si="164"/>
        <v>0</v>
      </c>
      <c r="K605" s="118">
        <f t="shared" ca="1" si="165"/>
        <v>0</v>
      </c>
      <c r="L605" s="133">
        <f t="shared" ca="1" si="166"/>
        <v>180</v>
      </c>
      <c r="M605" s="130">
        <f t="shared" ca="1" si="167"/>
        <v>820</v>
      </c>
      <c r="N605" s="100">
        <f t="shared" ca="1" si="168"/>
        <v>4</v>
      </c>
      <c r="O605" s="136">
        <f t="shared" ca="1" si="169"/>
        <v>2.6973744602864622</v>
      </c>
      <c r="P605" s="136">
        <f t="shared" ca="1" si="170"/>
        <v>26.973744602864617</v>
      </c>
      <c r="Q605" s="136">
        <f t="shared" ca="1" si="171"/>
        <v>26.973744602864617</v>
      </c>
      <c r="R605" s="136">
        <f t="shared" ca="1" si="172"/>
        <v>2.6973744602864618</v>
      </c>
      <c r="S605" s="136">
        <f t="shared" ca="1" si="173"/>
        <v>2.6973744602864622</v>
      </c>
      <c r="T605" s="104">
        <f t="shared" ca="1" si="174"/>
        <v>0</v>
      </c>
      <c r="U605" s="120">
        <f t="shared" ca="1" si="175"/>
        <v>1199.0695270312358</v>
      </c>
      <c r="V605" s="104">
        <f t="shared" ca="1" si="176"/>
        <v>0</v>
      </c>
      <c r="W605" s="133">
        <f t="shared" ca="1" si="177"/>
        <v>4355.1997829232987</v>
      </c>
      <c r="X605" s="104">
        <f t="shared" ca="1" si="178"/>
        <v>0</v>
      </c>
    </row>
    <row r="606" spans="1:24" x14ac:dyDescent="0.2">
      <c r="A606" s="98">
        <v>0</v>
      </c>
      <c r="B606" s="98">
        <v>1</v>
      </c>
      <c r="C606" s="98">
        <f t="shared" si="160"/>
        <v>5</v>
      </c>
      <c r="D606" s="98">
        <f t="shared" si="161"/>
        <v>4</v>
      </c>
      <c r="E606" s="98">
        <f t="shared" si="162"/>
        <v>0</v>
      </c>
      <c r="F606" s="118">
        <f t="shared" ca="1" si="163"/>
        <v>0.179518300416</v>
      </c>
      <c r="G606" s="98">
        <v>0</v>
      </c>
      <c r="H606" s="98">
        <v>1</v>
      </c>
      <c r="I606" s="98">
        <v>0</v>
      </c>
      <c r="J606" s="118">
        <f t="shared" ca="1" si="164"/>
        <v>0</v>
      </c>
      <c r="K606" s="118">
        <f t="shared" ca="1" si="165"/>
        <v>0</v>
      </c>
      <c r="L606" s="133">
        <f t="shared" ca="1" si="166"/>
        <v>168</v>
      </c>
      <c r="M606" s="130">
        <f t="shared" ca="1" si="167"/>
        <v>832</v>
      </c>
      <c r="N606" s="100">
        <f t="shared" ca="1" si="168"/>
        <v>4</v>
      </c>
      <c r="O606" s="136">
        <f t="shared" ca="1" si="169"/>
        <v>2.6973744602864622</v>
      </c>
      <c r="P606" s="136">
        <f t="shared" ca="1" si="170"/>
        <v>26.973744602864617</v>
      </c>
      <c r="Q606" s="136">
        <f t="shared" ca="1" si="171"/>
        <v>26.973744602864617</v>
      </c>
      <c r="R606" s="136">
        <f t="shared" ca="1" si="172"/>
        <v>2.6973744602864618</v>
      </c>
      <c r="S606" s="136">
        <f t="shared" ca="1" si="173"/>
        <v>2.6973744602864622</v>
      </c>
      <c r="T606" s="104">
        <f t="shared" ca="1" si="174"/>
        <v>0</v>
      </c>
      <c r="U606" s="120">
        <f t="shared" ca="1" si="175"/>
        <v>1187.0695270312358</v>
      </c>
      <c r="V606" s="104">
        <f t="shared" ca="1" si="176"/>
        <v>0</v>
      </c>
      <c r="W606" s="133">
        <f t="shared" ca="1" si="177"/>
        <v>2177.5998914616493</v>
      </c>
      <c r="X606" s="104">
        <f t="shared" ca="1" si="178"/>
        <v>0</v>
      </c>
    </row>
    <row r="607" spans="1:24" x14ac:dyDescent="0.2">
      <c r="A607" s="98">
        <v>0</v>
      </c>
      <c r="B607" s="98">
        <v>1</v>
      </c>
      <c r="C607" s="98">
        <f t="shared" si="160"/>
        <v>5</v>
      </c>
      <c r="D607" s="98">
        <f t="shared" si="161"/>
        <v>4</v>
      </c>
      <c r="E607" s="98">
        <f t="shared" si="162"/>
        <v>0</v>
      </c>
      <c r="F607" s="118">
        <f t="shared" ca="1" si="163"/>
        <v>0.179518300416</v>
      </c>
      <c r="G607" s="98">
        <v>0</v>
      </c>
      <c r="H607" s="98">
        <v>0</v>
      </c>
      <c r="I607" s="98">
        <v>7</v>
      </c>
      <c r="J607" s="118">
        <f t="shared" si="164"/>
        <v>0</v>
      </c>
      <c r="K607" s="118">
        <f t="shared" ca="1" si="165"/>
        <v>0</v>
      </c>
      <c r="L607" s="133">
        <f t="shared" ca="1" si="166"/>
        <v>84</v>
      </c>
      <c r="M607" s="130">
        <f t="shared" ca="1" si="167"/>
        <v>916</v>
      </c>
      <c r="N607" s="100">
        <f t="shared" ca="1" si="168"/>
        <v>5</v>
      </c>
      <c r="O607" s="136">
        <f t="shared" ca="1" si="169"/>
        <v>3.301004590397413</v>
      </c>
      <c r="P607" s="136">
        <f t="shared" ca="1" si="170"/>
        <v>33.010045903974124</v>
      </c>
      <c r="Q607" s="136">
        <f t="shared" ca="1" si="171"/>
        <v>33.010045903974124</v>
      </c>
      <c r="R607" s="136">
        <f t="shared" ca="1" si="172"/>
        <v>3.3010045903974126</v>
      </c>
      <c r="S607" s="136">
        <f t="shared" ca="1" si="173"/>
        <v>3.3010045903974126</v>
      </c>
      <c r="T607" s="104">
        <f t="shared" ca="1" si="174"/>
        <v>0</v>
      </c>
      <c r="U607" s="120">
        <f t="shared" ca="1" si="175"/>
        <v>1323.3671890482913</v>
      </c>
      <c r="V607" s="104">
        <f t="shared" ca="1" si="176"/>
        <v>0</v>
      </c>
      <c r="W607" s="133">
        <f t="shared" ca="1" si="177"/>
        <v>15243.199240231546</v>
      </c>
      <c r="X607" s="104">
        <f t="shared" ca="1" si="178"/>
        <v>0</v>
      </c>
    </row>
    <row r="608" spans="1:24" x14ac:dyDescent="0.2">
      <c r="A608" s="98">
        <v>0</v>
      </c>
      <c r="B608" s="98">
        <v>1</v>
      </c>
      <c r="C608" s="98">
        <f t="shared" si="160"/>
        <v>5</v>
      </c>
      <c r="D608" s="98">
        <f t="shared" si="161"/>
        <v>4</v>
      </c>
      <c r="E608" s="98">
        <f t="shared" si="162"/>
        <v>0</v>
      </c>
      <c r="F608" s="118">
        <f t="shared" ca="1" si="163"/>
        <v>0.179518300416</v>
      </c>
      <c r="G608" s="98">
        <v>0</v>
      </c>
      <c r="H608" s="98">
        <v>0</v>
      </c>
      <c r="I608" s="98">
        <v>6</v>
      </c>
      <c r="J608" s="118">
        <f t="shared" si="164"/>
        <v>0</v>
      </c>
      <c r="K608" s="118">
        <f t="shared" ca="1" si="165"/>
        <v>0</v>
      </c>
      <c r="L608" s="133">
        <f t="shared" ca="1" si="166"/>
        <v>72</v>
      </c>
      <c r="M608" s="130">
        <f t="shared" ca="1" si="167"/>
        <v>928</v>
      </c>
      <c r="N608" s="100">
        <f t="shared" ca="1" si="168"/>
        <v>5</v>
      </c>
      <c r="O608" s="136">
        <f t="shared" ca="1" si="169"/>
        <v>3.301004590397413</v>
      </c>
      <c r="P608" s="136">
        <f t="shared" ca="1" si="170"/>
        <v>33.010045903974124</v>
      </c>
      <c r="Q608" s="136">
        <f t="shared" ca="1" si="171"/>
        <v>33.010045903974124</v>
      </c>
      <c r="R608" s="136">
        <f t="shared" ca="1" si="172"/>
        <v>3.3010045903974126</v>
      </c>
      <c r="S608" s="136">
        <f t="shared" ca="1" si="173"/>
        <v>3.3010045903974126</v>
      </c>
      <c r="T608" s="104">
        <f t="shared" ca="1" si="174"/>
        <v>0</v>
      </c>
      <c r="U608" s="120">
        <f t="shared" ca="1" si="175"/>
        <v>1311.3671890482913</v>
      </c>
      <c r="V608" s="104">
        <f t="shared" ca="1" si="176"/>
        <v>0</v>
      </c>
      <c r="W608" s="133">
        <f t="shared" ca="1" si="177"/>
        <v>13065.599348769898</v>
      </c>
      <c r="X608" s="104">
        <f t="shared" ca="1" si="178"/>
        <v>0</v>
      </c>
    </row>
    <row r="609" spans="1:24" x14ac:dyDescent="0.2">
      <c r="A609" s="98">
        <v>0</v>
      </c>
      <c r="B609" s="98">
        <v>1</v>
      </c>
      <c r="C609" s="98">
        <f t="shared" si="160"/>
        <v>5</v>
      </c>
      <c r="D609" s="98">
        <f t="shared" si="161"/>
        <v>4</v>
      </c>
      <c r="E609" s="98">
        <f t="shared" si="162"/>
        <v>0</v>
      </c>
      <c r="F609" s="118">
        <f t="shared" ca="1" si="163"/>
        <v>0.179518300416</v>
      </c>
      <c r="G609" s="98">
        <v>0</v>
      </c>
      <c r="H609" s="98">
        <v>0</v>
      </c>
      <c r="I609" s="98">
        <v>5</v>
      </c>
      <c r="J609" s="118">
        <f t="shared" si="164"/>
        <v>0</v>
      </c>
      <c r="K609" s="118">
        <f t="shared" ca="1" si="165"/>
        <v>0</v>
      </c>
      <c r="L609" s="133">
        <f t="shared" ca="1" si="166"/>
        <v>60</v>
      </c>
      <c r="M609" s="130">
        <f t="shared" ca="1" si="167"/>
        <v>940</v>
      </c>
      <c r="N609" s="100">
        <f t="shared" ca="1" si="168"/>
        <v>5</v>
      </c>
      <c r="O609" s="136">
        <f t="shared" ca="1" si="169"/>
        <v>3.301004590397413</v>
      </c>
      <c r="P609" s="136">
        <f t="shared" ca="1" si="170"/>
        <v>33.010045903974124</v>
      </c>
      <c r="Q609" s="136">
        <f t="shared" ca="1" si="171"/>
        <v>33.010045903974124</v>
      </c>
      <c r="R609" s="136">
        <f t="shared" ca="1" si="172"/>
        <v>3.3010045903974126</v>
      </c>
      <c r="S609" s="136">
        <f t="shared" ca="1" si="173"/>
        <v>3.3010045903974126</v>
      </c>
      <c r="T609" s="104">
        <f t="shared" ca="1" si="174"/>
        <v>0</v>
      </c>
      <c r="U609" s="120">
        <f t="shared" ca="1" si="175"/>
        <v>1299.3671890482913</v>
      </c>
      <c r="V609" s="104">
        <f t="shared" ca="1" si="176"/>
        <v>0</v>
      </c>
      <c r="W609" s="133">
        <f t="shared" ca="1" si="177"/>
        <v>10887.999457308248</v>
      </c>
      <c r="X609" s="104">
        <f t="shared" ca="1" si="178"/>
        <v>0</v>
      </c>
    </row>
    <row r="610" spans="1:24" x14ac:dyDescent="0.2">
      <c r="A610" s="98">
        <v>0</v>
      </c>
      <c r="B610" s="98">
        <v>1</v>
      </c>
      <c r="C610" s="98">
        <f t="shared" si="160"/>
        <v>5</v>
      </c>
      <c r="D610" s="98">
        <f t="shared" si="161"/>
        <v>4</v>
      </c>
      <c r="E610" s="98">
        <f t="shared" si="162"/>
        <v>0</v>
      </c>
      <c r="F610" s="118">
        <f t="shared" ca="1" si="163"/>
        <v>0.179518300416</v>
      </c>
      <c r="G610" s="98">
        <v>0</v>
      </c>
      <c r="H610" s="98">
        <v>0</v>
      </c>
      <c r="I610" s="98">
        <v>4</v>
      </c>
      <c r="J610" s="118">
        <f t="shared" ca="1" si="164"/>
        <v>4.0725312499999999E-2</v>
      </c>
      <c r="K610" s="118">
        <f t="shared" ca="1" si="165"/>
        <v>7.3109388839104799E-3</v>
      </c>
      <c r="L610" s="133">
        <f t="shared" ca="1" si="166"/>
        <v>48</v>
      </c>
      <c r="M610" s="130">
        <f t="shared" ca="1" si="167"/>
        <v>952</v>
      </c>
      <c r="N610" s="100">
        <f t="shared" ca="1" si="168"/>
        <v>5</v>
      </c>
      <c r="O610" s="136">
        <f t="shared" ca="1" si="169"/>
        <v>3.301004590397413</v>
      </c>
      <c r="P610" s="136">
        <f t="shared" ca="1" si="170"/>
        <v>33.010045903974124</v>
      </c>
      <c r="Q610" s="136">
        <f t="shared" ca="1" si="171"/>
        <v>33.010045903974124</v>
      </c>
      <c r="R610" s="136">
        <f t="shared" ca="1" si="172"/>
        <v>3.3010045903974126</v>
      </c>
      <c r="S610" s="136">
        <f t="shared" ca="1" si="173"/>
        <v>3.3010045903974126</v>
      </c>
      <c r="T610" s="104">
        <f t="shared" ca="1" si="174"/>
        <v>2.413344281590343E-2</v>
      </c>
      <c r="U610" s="120">
        <f t="shared" ca="1" si="175"/>
        <v>1287.3671890482913</v>
      </c>
      <c r="V610" s="104">
        <f t="shared" ca="1" si="176"/>
        <v>9.4118628402836855</v>
      </c>
      <c r="W610" s="133">
        <f t="shared" ca="1" si="177"/>
        <v>8710.3995658465974</v>
      </c>
      <c r="X610" s="104">
        <f t="shared" ca="1" si="178"/>
        <v>63.681198880344851</v>
      </c>
    </row>
    <row r="611" spans="1:24" x14ac:dyDescent="0.2">
      <c r="A611" s="98">
        <v>0</v>
      </c>
      <c r="B611" s="98">
        <v>1</v>
      </c>
      <c r="C611" s="98">
        <f t="shared" si="160"/>
        <v>5</v>
      </c>
      <c r="D611" s="98">
        <f t="shared" si="161"/>
        <v>4</v>
      </c>
      <c r="E611" s="98">
        <f t="shared" si="162"/>
        <v>0</v>
      </c>
      <c r="F611" s="118">
        <f t="shared" ca="1" si="163"/>
        <v>0.179518300416</v>
      </c>
      <c r="G611" s="98">
        <v>0</v>
      </c>
      <c r="H611" s="98">
        <v>0</v>
      </c>
      <c r="I611" s="98">
        <v>3</v>
      </c>
      <c r="J611" s="118">
        <f t="shared" ca="1" si="164"/>
        <v>8.5737500000000067E-3</v>
      </c>
      <c r="K611" s="118">
        <f t="shared" ca="1" si="165"/>
        <v>1.5391450281916812E-3</v>
      </c>
      <c r="L611" s="133">
        <f t="shared" ca="1" si="166"/>
        <v>36</v>
      </c>
      <c r="M611" s="130">
        <f t="shared" ca="1" si="167"/>
        <v>964</v>
      </c>
      <c r="N611" s="100">
        <f t="shared" ca="1" si="168"/>
        <v>5</v>
      </c>
      <c r="O611" s="136">
        <f t="shared" ca="1" si="169"/>
        <v>3.301004590397413</v>
      </c>
      <c r="P611" s="136">
        <f t="shared" ca="1" si="170"/>
        <v>33.010045903974124</v>
      </c>
      <c r="Q611" s="136">
        <f t="shared" ca="1" si="171"/>
        <v>33.010045903974124</v>
      </c>
      <c r="R611" s="136">
        <f t="shared" ca="1" si="172"/>
        <v>3.3010045903974126</v>
      </c>
      <c r="S611" s="136">
        <f t="shared" ca="1" si="173"/>
        <v>3.3010045903974126</v>
      </c>
      <c r="T611" s="104">
        <f t="shared" ca="1" si="174"/>
        <v>5.0807248033480946E-3</v>
      </c>
      <c r="U611" s="120">
        <f t="shared" ca="1" si="175"/>
        <v>1275.3671890482913</v>
      </c>
      <c r="V611" s="104">
        <f t="shared" ca="1" si="176"/>
        <v>1.9629750681424776</v>
      </c>
      <c r="W611" s="133">
        <f t="shared" ca="1" si="177"/>
        <v>6532.799674384949</v>
      </c>
      <c r="X611" s="104">
        <f t="shared" ca="1" si="178"/>
        <v>10.054926139001829</v>
      </c>
    </row>
    <row r="612" spans="1:24" x14ac:dyDescent="0.2">
      <c r="A612" s="98">
        <v>0</v>
      </c>
      <c r="B612" s="98">
        <v>1</v>
      </c>
      <c r="C612" s="98">
        <f t="shared" si="160"/>
        <v>5</v>
      </c>
      <c r="D612" s="98">
        <f t="shared" si="161"/>
        <v>4</v>
      </c>
      <c r="E612" s="98">
        <f t="shared" si="162"/>
        <v>0</v>
      </c>
      <c r="F612" s="118">
        <f t="shared" ca="1" si="163"/>
        <v>0.179518300416</v>
      </c>
      <c r="G612" s="98">
        <v>0</v>
      </c>
      <c r="H612" s="98">
        <v>0</v>
      </c>
      <c r="I612" s="98">
        <v>2</v>
      </c>
      <c r="J612" s="118">
        <f t="shared" ca="1" si="164"/>
        <v>6.7687500000000126E-4</v>
      </c>
      <c r="K612" s="118">
        <f t="shared" ca="1" si="165"/>
        <v>1.2151144959408022E-4</v>
      </c>
      <c r="L612" s="133">
        <f t="shared" ca="1" si="166"/>
        <v>24</v>
      </c>
      <c r="M612" s="130">
        <f t="shared" ca="1" si="167"/>
        <v>976</v>
      </c>
      <c r="N612" s="100">
        <f t="shared" ca="1" si="168"/>
        <v>5</v>
      </c>
      <c r="O612" s="136">
        <f t="shared" ca="1" si="169"/>
        <v>3.301004590397413</v>
      </c>
      <c r="P612" s="136">
        <f t="shared" ca="1" si="170"/>
        <v>33.010045903974124</v>
      </c>
      <c r="Q612" s="136">
        <f t="shared" ca="1" si="171"/>
        <v>33.010045903974124</v>
      </c>
      <c r="R612" s="136">
        <f t="shared" ca="1" si="172"/>
        <v>3.3010045903974126</v>
      </c>
      <c r="S612" s="136">
        <f t="shared" ca="1" si="173"/>
        <v>3.3010045903974126</v>
      </c>
      <c r="T612" s="104">
        <f t="shared" ca="1" si="174"/>
        <v>4.0110985289590264E-4</v>
      </c>
      <c r="U612" s="120">
        <f t="shared" ca="1" si="175"/>
        <v>1263.3671890482913</v>
      </c>
      <c r="V612" s="104">
        <f t="shared" ca="1" si="176"/>
        <v>0.15351357851085626</v>
      </c>
      <c r="W612" s="133">
        <f t="shared" ca="1" si="177"/>
        <v>4355.1997829232987</v>
      </c>
      <c r="X612" s="104">
        <f t="shared" ca="1" si="178"/>
        <v>0.52920663889483355</v>
      </c>
    </row>
    <row r="613" spans="1:24" x14ac:dyDescent="0.2">
      <c r="A613" s="98">
        <v>0</v>
      </c>
      <c r="B613" s="98">
        <v>1</v>
      </c>
      <c r="C613" s="98">
        <f t="shared" si="160"/>
        <v>5</v>
      </c>
      <c r="D613" s="98">
        <f t="shared" si="161"/>
        <v>4</v>
      </c>
      <c r="E613" s="98">
        <f t="shared" si="162"/>
        <v>0</v>
      </c>
      <c r="F613" s="118">
        <f t="shared" ca="1" si="163"/>
        <v>0.179518300416</v>
      </c>
      <c r="G613" s="98">
        <v>0</v>
      </c>
      <c r="H613" s="98">
        <v>0</v>
      </c>
      <c r="I613" s="98">
        <v>1</v>
      </c>
      <c r="J613" s="118">
        <f t="shared" ca="1" si="164"/>
        <v>2.3750000000000062E-5</v>
      </c>
      <c r="K613" s="118">
        <f t="shared" ca="1" si="165"/>
        <v>4.2635596348800114E-6</v>
      </c>
      <c r="L613" s="133">
        <f t="shared" ca="1" si="166"/>
        <v>12</v>
      </c>
      <c r="M613" s="130">
        <f t="shared" ca="1" si="167"/>
        <v>988</v>
      </c>
      <c r="N613" s="100">
        <f t="shared" ca="1" si="168"/>
        <v>5</v>
      </c>
      <c r="O613" s="136">
        <f t="shared" ca="1" si="169"/>
        <v>3.301004590397413</v>
      </c>
      <c r="P613" s="136">
        <f t="shared" ca="1" si="170"/>
        <v>33.010045903974124</v>
      </c>
      <c r="Q613" s="136">
        <f t="shared" ca="1" si="171"/>
        <v>33.010045903974124</v>
      </c>
      <c r="R613" s="136">
        <f t="shared" ca="1" si="172"/>
        <v>3.3010045903974126</v>
      </c>
      <c r="S613" s="136">
        <f t="shared" ca="1" si="173"/>
        <v>3.3010045903974126</v>
      </c>
      <c r="T613" s="104">
        <f t="shared" ca="1" si="174"/>
        <v>1.4074029926172034E-5</v>
      </c>
      <c r="U613" s="120">
        <f t="shared" ca="1" si="175"/>
        <v>1251.3671890482913</v>
      </c>
      <c r="V613" s="104">
        <f t="shared" ca="1" si="176"/>
        <v>5.3352786356395589E-3</v>
      </c>
      <c r="W613" s="133">
        <f t="shared" ca="1" si="177"/>
        <v>2177.5998914616493</v>
      </c>
      <c r="X613" s="104">
        <f t="shared" ca="1" si="178"/>
        <v>9.2843269981549813E-3</v>
      </c>
    </row>
    <row r="614" spans="1:24" x14ac:dyDescent="0.2">
      <c r="A614" s="98">
        <v>0</v>
      </c>
      <c r="B614" s="98">
        <v>1</v>
      </c>
      <c r="C614" s="98">
        <f t="shared" si="160"/>
        <v>5</v>
      </c>
      <c r="D614" s="98">
        <f t="shared" si="161"/>
        <v>4</v>
      </c>
      <c r="E614" s="98">
        <f t="shared" si="162"/>
        <v>0</v>
      </c>
      <c r="F614" s="118">
        <f t="shared" ca="1" si="163"/>
        <v>0.179518300416</v>
      </c>
      <c r="G614" s="98">
        <v>0</v>
      </c>
      <c r="H614" s="98">
        <v>0</v>
      </c>
      <c r="I614" s="98">
        <v>0</v>
      </c>
      <c r="J614" s="118">
        <f t="shared" ca="1" si="164"/>
        <v>3.1250000000000114E-7</v>
      </c>
      <c r="K614" s="118">
        <f t="shared" ca="1" si="165"/>
        <v>5.6099468880000206E-8</v>
      </c>
      <c r="L614" s="133">
        <f t="shared" ca="1" si="166"/>
        <v>0</v>
      </c>
      <c r="M614" s="130">
        <f t="shared" ca="1" si="167"/>
        <v>1000</v>
      </c>
      <c r="N614" s="100">
        <f t="shared" ca="1" si="168"/>
        <v>5</v>
      </c>
      <c r="O614" s="136">
        <f t="shared" ca="1" si="169"/>
        <v>3.301004590397413</v>
      </c>
      <c r="P614" s="136">
        <f t="shared" ca="1" si="170"/>
        <v>33.010045903974124</v>
      </c>
      <c r="Q614" s="136">
        <f t="shared" ca="1" si="171"/>
        <v>33.010045903974124</v>
      </c>
      <c r="R614" s="136">
        <f t="shared" ca="1" si="172"/>
        <v>3.3010045903974126</v>
      </c>
      <c r="S614" s="136">
        <f t="shared" ca="1" si="173"/>
        <v>3.3010045903974126</v>
      </c>
      <c r="T614" s="104">
        <f t="shared" ca="1" si="174"/>
        <v>1.8518460429173746E-7</v>
      </c>
      <c r="U614" s="120">
        <f t="shared" ca="1" si="175"/>
        <v>1239.3671890482913</v>
      </c>
      <c r="V614" s="104">
        <f t="shared" ca="1" si="176"/>
        <v>6.9527841052907942E-5</v>
      </c>
      <c r="W614" s="133">
        <f t="shared" ca="1" si="177"/>
        <v>0</v>
      </c>
      <c r="X614" s="104">
        <f t="shared" ca="1" si="178"/>
        <v>0</v>
      </c>
    </row>
    <row r="615" spans="1:24" x14ac:dyDescent="0.2">
      <c r="A615" s="98">
        <v>0</v>
      </c>
      <c r="B615" s="98">
        <v>2</v>
      </c>
      <c r="C615" s="98">
        <f t="shared" ref="C615:C678" si="179">MIN(8, 1+$B$543+$B$542+A615+B615)</f>
        <v>6</v>
      </c>
      <c r="D615" s="98">
        <f t="shared" ref="D615:D678" si="180">C615-(1+$B$543)</f>
        <v>5</v>
      </c>
      <c r="E615" s="98">
        <f t="shared" ref="E615:E678" si="181">MIN(A615, C615-(1+$B$543+$B$542))</f>
        <v>0</v>
      </c>
      <c r="F615" s="118">
        <f t="shared" ref="F615:F678" ca="1" si="182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4.9318214399999991E-2</v>
      </c>
      <c r="G615" s="98">
        <v>1</v>
      </c>
      <c r="H615" s="98">
        <v>1</v>
      </c>
      <c r="I615" s="98">
        <v>7</v>
      </c>
      <c r="J615" s="118">
        <f t="shared" ref="J615:J678" si="183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18">
        <f t="shared" ref="K615:K678" ca="1" si="184">F615*J615</f>
        <v>0</v>
      </c>
      <c r="L615" s="133">
        <f t="shared" ref="L615:L678" ca="1" si="185">MAX((G615+H615)*Set2WSTP + I615*$B$539, Set2SaveTP)</f>
        <v>420</v>
      </c>
      <c r="M615" s="130">
        <f t="shared" ref="M615:M678" ca="1" si="186">MAX(Set2MinTP-(L615+Set2Regain), 0)</f>
        <v>580</v>
      </c>
      <c r="N615" s="100">
        <f t="shared" ref="N615:N678" ca="1" si="187">CEILING(M615/Set2MeleeTP, 1)</f>
        <v>3</v>
      </c>
      <c r="O615" s="136">
        <f t="shared" ref="O615:O678" ca="1" si="188">VLOOKUP(N615, AvgRoundsSet2, 2)</f>
        <v>2.1177215542739054</v>
      </c>
      <c r="P615" s="136">
        <f t="shared" ref="P615:P678" ca="1" si="189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21.177215542739059</v>
      </c>
      <c r="Q615" s="136">
        <f t="shared" ref="Q615:Q678" ca="1" si="190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21.177215542739059</v>
      </c>
      <c r="R615" s="136">
        <f t="shared" ref="R615:R678" ca="1" si="191">(P615+Q615)/20</f>
        <v>2.1177215542739058</v>
      </c>
      <c r="S615" s="136">
        <f t="shared" ref="S615:S678" ca="1" si="192">R615*Set2ConserveTP + O615*(1-Set2ConserveTP)</f>
        <v>2.1177215542739054</v>
      </c>
      <c r="T615" s="104">
        <f t="shared" ref="T615:T678" ca="1" si="193">K615*S615</f>
        <v>0</v>
      </c>
      <c r="U615" s="120">
        <f t="shared" ref="U615:U678" ca="1" si="194">MIN(L615+(S615+Set2OverTP)*AvgHitsPerRound2*Set2MeleeTP + Set2Regain + 105*Set2ConserveTP, 3000)</f>
        <v>1227.5224659982036</v>
      </c>
      <c r="V615" s="104">
        <f t="shared" ref="V615:V678" ca="1" si="195">U615*K615</f>
        <v>0</v>
      </c>
      <c r="W615" s="133">
        <f t="shared" ref="W615:W678" ca="1" si="196">G615*$K$543*((1-$L$543)*$L$547 + $L$543*$M$547*$M$543)*Set2WSDmg + H615*$K$546*((1-$L$546)*$L$547 + $L$546*$M$547*$M$544) + I615*$K$544*((1-$L$544)*$L$547 + $L$544*$M$547*$M$544) + E615*$K$545*$L$545*$M$543</f>
        <v>19881.48700904486</v>
      </c>
      <c r="X615" s="104">
        <f t="shared" ref="X615:X678" ca="1" si="197">K615*W615</f>
        <v>0</v>
      </c>
    </row>
    <row r="616" spans="1:24" x14ac:dyDescent="0.2">
      <c r="A616" s="98">
        <v>0</v>
      </c>
      <c r="B616" s="98">
        <v>2</v>
      </c>
      <c r="C616" s="98">
        <f t="shared" si="179"/>
        <v>6</v>
      </c>
      <c r="D616" s="98">
        <f t="shared" si="180"/>
        <v>5</v>
      </c>
      <c r="E616" s="98">
        <f t="shared" si="181"/>
        <v>0</v>
      </c>
      <c r="F616" s="118">
        <f t="shared" ca="1" si="182"/>
        <v>4.9318214399999991E-2</v>
      </c>
      <c r="G616" s="98">
        <v>1</v>
      </c>
      <c r="H616" s="98">
        <v>1</v>
      </c>
      <c r="I616" s="98">
        <v>6</v>
      </c>
      <c r="J616" s="118">
        <f t="shared" si="183"/>
        <v>0</v>
      </c>
      <c r="K616" s="118">
        <f t="shared" ca="1" si="184"/>
        <v>0</v>
      </c>
      <c r="L616" s="133">
        <f t="shared" ca="1" si="185"/>
        <v>408</v>
      </c>
      <c r="M616" s="130">
        <f t="shared" ca="1" si="186"/>
        <v>592</v>
      </c>
      <c r="N616" s="100">
        <f t="shared" ca="1" si="187"/>
        <v>3</v>
      </c>
      <c r="O616" s="136">
        <f t="shared" ca="1" si="188"/>
        <v>2.1177215542739054</v>
      </c>
      <c r="P616" s="136">
        <f t="shared" ca="1" si="189"/>
        <v>21.177215542739059</v>
      </c>
      <c r="Q616" s="136">
        <f t="shared" ca="1" si="190"/>
        <v>21.177215542739059</v>
      </c>
      <c r="R616" s="136">
        <f t="shared" ca="1" si="191"/>
        <v>2.1177215542739058</v>
      </c>
      <c r="S616" s="136">
        <f t="shared" ca="1" si="192"/>
        <v>2.1177215542739054</v>
      </c>
      <c r="T616" s="104">
        <f t="shared" ca="1" si="193"/>
        <v>0</v>
      </c>
      <c r="U616" s="120">
        <f t="shared" ca="1" si="194"/>
        <v>1215.5224659982036</v>
      </c>
      <c r="V616" s="104">
        <f t="shared" ca="1" si="195"/>
        <v>0</v>
      </c>
      <c r="W616" s="133">
        <f t="shared" ca="1" si="196"/>
        <v>17703.88711758321</v>
      </c>
      <c r="X616" s="104">
        <f t="shared" ca="1" si="197"/>
        <v>0</v>
      </c>
    </row>
    <row r="617" spans="1:24" x14ac:dyDescent="0.2">
      <c r="A617" s="98">
        <v>0</v>
      </c>
      <c r="B617" s="98">
        <v>2</v>
      </c>
      <c r="C617" s="98">
        <f t="shared" si="179"/>
        <v>6</v>
      </c>
      <c r="D617" s="98">
        <f t="shared" si="180"/>
        <v>5</v>
      </c>
      <c r="E617" s="98">
        <f t="shared" si="181"/>
        <v>0</v>
      </c>
      <c r="F617" s="118">
        <f t="shared" ca="1" si="182"/>
        <v>4.9318214399999991E-2</v>
      </c>
      <c r="G617" s="98">
        <v>1</v>
      </c>
      <c r="H617" s="98">
        <v>1</v>
      </c>
      <c r="I617" s="98">
        <v>5</v>
      </c>
      <c r="J617" s="118">
        <f t="shared" ca="1" si="183"/>
        <v>0</v>
      </c>
      <c r="K617" s="118">
        <f t="shared" ca="1" si="184"/>
        <v>0</v>
      </c>
      <c r="L617" s="133">
        <f t="shared" ca="1" si="185"/>
        <v>396</v>
      </c>
      <c r="M617" s="130">
        <f t="shared" ca="1" si="186"/>
        <v>604</v>
      </c>
      <c r="N617" s="100">
        <f t="shared" ca="1" si="187"/>
        <v>3</v>
      </c>
      <c r="O617" s="136">
        <f t="shared" ca="1" si="188"/>
        <v>2.1177215542739054</v>
      </c>
      <c r="P617" s="136">
        <f t="shared" ca="1" si="189"/>
        <v>21.177215542739059</v>
      </c>
      <c r="Q617" s="136">
        <f t="shared" ca="1" si="190"/>
        <v>21.177215542739059</v>
      </c>
      <c r="R617" s="136">
        <f t="shared" ca="1" si="191"/>
        <v>2.1177215542739058</v>
      </c>
      <c r="S617" s="136">
        <f t="shared" ca="1" si="192"/>
        <v>2.1177215542739054</v>
      </c>
      <c r="T617" s="104">
        <f t="shared" ca="1" si="193"/>
        <v>0</v>
      </c>
      <c r="U617" s="120">
        <f t="shared" ca="1" si="194"/>
        <v>1203.5224659982036</v>
      </c>
      <c r="V617" s="104">
        <f t="shared" ca="1" si="195"/>
        <v>0</v>
      </c>
      <c r="W617" s="133">
        <f t="shared" ca="1" si="196"/>
        <v>15526.28722612156</v>
      </c>
      <c r="X617" s="104">
        <f t="shared" ca="1" si="197"/>
        <v>0</v>
      </c>
    </row>
    <row r="618" spans="1:24" x14ac:dyDescent="0.2">
      <c r="A618" s="98">
        <v>0</v>
      </c>
      <c r="B618" s="98">
        <v>2</v>
      </c>
      <c r="C618" s="98">
        <f t="shared" si="179"/>
        <v>6</v>
      </c>
      <c r="D618" s="98">
        <f t="shared" si="180"/>
        <v>5</v>
      </c>
      <c r="E618" s="98">
        <f t="shared" si="181"/>
        <v>0</v>
      </c>
      <c r="F618" s="118">
        <f t="shared" ca="1" si="182"/>
        <v>4.9318214399999991E-2</v>
      </c>
      <c r="G618" s="98">
        <v>1</v>
      </c>
      <c r="H618" s="98">
        <v>1</v>
      </c>
      <c r="I618" s="98">
        <v>4</v>
      </c>
      <c r="J618" s="118">
        <f t="shared" ca="1" si="183"/>
        <v>0</v>
      </c>
      <c r="K618" s="118">
        <f t="shared" ca="1" si="184"/>
        <v>0</v>
      </c>
      <c r="L618" s="133">
        <f t="shared" ca="1" si="185"/>
        <v>384</v>
      </c>
      <c r="M618" s="130">
        <f t="shared" ca="1" si="186"/>
        <v>616</v>
      </c>
      <c r="N618" s="100">
        <f t="shared" ca="1" si="187"/>
        <v>3</v>
      </c>
      <c r="O618" s="136">
        <f t="shared" ca="1" si="188"/>
        <v>2.1177215542739054</v>
      </c>
      <c r="P618" s="136">
        <f t="shared" ca="1" si="189"/>
        <v>21.177215542739059</v>
      </c>
      <c r="Q618" s="136">
        <f t="shared" ca="1" si="190"/>
        <v>21.177215542739059</v>
      </c>
      <c r="R618" s="136">
        <f t="shared" ca="1" si="191"/>
        <v>2.1177215542739058</v>
      </c>
      <c r="S618" s="136">
        <f t="shared" ca="1" si="192"/>
        <v>2.1177215542739054</v>
      </c>
      <c r="T618" s="104">
        <f t="shared" ca="1" si="193"/>
        <v>0</v>
      </c>
      <c r="U618" s="120">
        <f t="shared" ca="1" si="194"/>
        <v>1191.5224659982036</v>
      </c>
      <c r="V618" s="104">
        <f t="shared" ca="1" si="195"/>
        <v>0</v>
      </c>
      <c r="W618" s="133">
        <f t="shared" ca="1" si="196"/>
        <v>13348.68733465991</v>
      </c>
      <c r="X618" s="104">
        <f t="shared" ca="1" si="197"/>
        <v>0</v>
      </c>
    </row>
    <row r="619" spans="1:24" x14ac:dyDescent="0.2">
      <c r="A619" s="98">
        <v>0</v>
      </c>
      <c r="B619" s="98">
        <v>2</v>
      </c>
      <c r="C619" s="98">
        <f t="shared" si="179"/>
        <v>6</v>
      </c>
      <c r="D619" s="98">
        <f t="shared" si="180"/>
        <v>5</v>
      </c>
      <c r="E619" s="98">
        <f t="shared" si="181"/>
        <v>0</v>
      </c>
      <c r="F619" s="118">
        <f t="shared" ca="1" si="182"/>
        <v>4.9318214399999991E-2</v>
      </c>
      <c r="G619" s="98">
        <v>1</v>
      </c>
      <c r="H619" s="98">
        <v>1</v>
      </c>
      <c r="I619" s="98">
        <v>3</v>
      </c>
      <c r="J619" s="118">
        <f t="shared" ca="1" si="183"/>
        <v>0</v>
      </c>
      <c r="K619" s="118">
        <f t="shared" ca="1" si="184"/>
        <v>0</v>
      </c>
      <c r="L619" s="133">
        <f t="shared" ca="1" si="185"/>
        <v>372</v>
      </c>
      <c r="M619" s="130">
        <f t="shared" ca="1" si="186"/>
        <v>628</v>
      </c>
      <c r="N619" s="100">
        <f t="shared" ca="1" si="187"/>
        <v>3</v>
      </c>
      <c r="O619" s="136">
        <f t="shared" ca="1" si="188"/>
        <v>2.1177215542739054</v>
      </c>
      <c r="P619" s="136">
        <f t="shared" ca="1" si="189"/>
        <v>21.177215542739059</v>
      </c>
      <c r="Q619" s="136">
        <f t="shared" ca="1" si="190"/>
        <v>21.177215542739059</v>
      </c>
      <c r="R619" s="136">
        <f t="shared" ca="1" si="191"/>
        <v>2.1177215542739058</v>
      </c>
      <c r="S619" s="136">
        <f t="shared" ca="1" si="192"/>
        <v>2.1177215542739054</v>
      </c>
      <c r="T619" s="104">
        <f t="shared" ca="1" si="193"/>
        <v>0</v>
      </c>
      <c r="U619" s="120">
        <f t="shared" ca="1" si="194"/>
        <v>1179.5224659982036</v>
      </c>
      <c r="V619" s="104">
        <f t="shared" ca="1" si="195"/>
        <v>0</v>
      </c>
      <c r="W619" s="133">
        <f t="shared" ca="1" si="196"/>
        <v>11171.087443198263</v>
      </c>
      <c r="X619" s="104">
        <f t="shared" ca="1" si="197"/>
        <v>0</v>
      </c>
    </row>
    <row r="620" spans="1:24" x14ac:dyDescent="0.2">
      <c r="A620" s="98">
        <v>0</v>
      </c>
      <c r="B620" s="98">
        <v>2</v>
      </c>
      <c r="C620" s="98">
        <f t="shared" si="179"/>
        <v>6</v>
      </c>
      <c r="D620" s="98">
        <f t="shared" si="180"/>
        <v>5</v>
      </c>
      <c r="E620" s="98">
        <f t="shared" si="181"/>
        <v>0</v>
      </c>
      <c r="F620" s="118">
        <f t="shared" ca="1" si="182"/>
        <v>4.9318214399999991E-2</v>
      </c>
      <c r="G620" s="98">
        <v>1</v>
      </c>
      <c r="H620" s="98">
        <v>1</v>
      </c>
      <c r="I620" s="98">
        <v>2</v>
      </c>
      <c r="J620" s="118">
        <f t="shared" ca="1" si="183"/>
        <v>0</v>
      </c>
      <c r="K620" s="118">
        <f t="shared" ca="1" si="184"/>
        <v>0</v>
      </c>
      <c r="L620" s="133">
        <f t="shared" ca="1" si="185"/>
        <v>360</v>
      </c>
      <c r="M620" s="130">
        <f t="shared" ca="1" si="186"/>
        <v>640</v>
      </c>
      <c r="N620" s="100">
        <f t="shared" ca="1" si="187"/>
        <v>3</v>
      </c>
      <c r="O620" s="136">
        <f t="shared" ca="1" si="188"/>
        <v>2.1177215542739054</v>
      </c>
      <c r="P620" s="136">
        <f t="shared" ca="1" si="189"/>
        <v>21.177215542739059</v>
      </c>
      <c r="Q620" s="136">
        <f t="shared" ca="1" si="190"/>
        <v>21.177215542739059</v>
      </c>
      <c r="R620" s="136">
        <f t="shared" ca="1" si="191"/>
        <v>2.1177215542739058</v>
      </c>
      <c r="S620" s="136">
        <f t="shared" ca="1" si="192"/>
        <v>2.1177215542739054</v>
      </c>
      <c r="T620" s="104">
        <f t="shared" ca="1" si="193"/>
        <v>0</v>
      </c>
      <c r="U620" s="120">
        <f t="shared" ca="1" si="194"/>
        <v>1167.5224659982036</v>
      </c>
      <c r="V620" s="104">
        <f t="shared" ca="1" si="195"/>
        <v>0</v>
      </c>
      <c r="W620" s="133">
        <f t="shared" ca="1" si="196"/>
        <v>8993.4875517366127</v>
      </c>
      <c r="X620" s="104">
        <f t="shared" ca="1" si="197"/>
        <v>0</v>
      </c>
    </row>
    <row r="621" spans="1:24" x14ac:dyDescent="0.2">
      <c r="A621" s="98">
        <v>0</v>
      </c>
      <c r="B621" s="98">
        <v>2</v>
      </c>
      <c r="C621" s="98">
        <f t="shared" si="179"/>
        <v>6</v>
      </c>
      <c r="D621" s="98">
        <f t="shared" si="180"/>
        <v>5</v>
      </c>
      <c r="E621" s="98">
        <f t="shared" si="181"/>
        <v>0</v>
      </c>
      <c r="F621" s="118">
        <f t="shared" ca="1" si="182"/>
        <v>4.9318214399999991E-2</v>
      </c>
      <c r="G621" s="98">
        <v>1</v>
      </c>
      <c r="H621" s="98">
        <v>1</v>
      </c>
      <c r="I621" s="98">
        <v>1</v>
      </c>
      <c r="J621" s="118">
        <f t="shared" ca="1" si="183"/>
        <v>0</v>
      </c>
      <c r="K621" s="118">
        <f t="shared" ca="1" si="184"/>
        <v>0</v>
      </c>
      <c r="L621" s="133">
        <f t="shared" ca="1" si="185"/>
        <v>348</v>
      </c>
      <c r="M621" s="130">
        <f t="shared" ca="1" si="186"/>
        <v>652</v>
      </c>
      <c r="N621" s="100">
        <f t="shared" ca="1" si="187"/>
        <v>4</v>
      </c>
      <c r="O621" s="136">
        <f t="shared" ca="1" si="188"/>
        <v>2.6973744602864622</v>
      </c>
      <c r="P621" s="136">
        <f t="shared" ca="1" si="189"/>
        <v>21.177215542739059</v>
      </c>
      <c r="Q621" s="136">
        <f t="shared" ca="1" si="190"/>
        <v>21.177215542739059</v>
      </c>
      <c r="R621" s="136">
        <f t="shared" ca="1" si="191"/>
        <v>2.1177215542739058</v>
      </c>
      <c r="S621" s="136">
        <f t="shared" ca="1" si="192"/>
        <v>2.5060890013023185</v>
      </c>
      <c r="T621" s="104">
        <f t="shared" ca="1" si="193"/>
        <v>0</v>
      </c>
      <c r="U621" s="120">
        <f t="shared" ca="1" si="194"/>
        <v>1297.2589968903351</v>
      </c>
      <c r="V621" s="104">
        <f t="shared" ca="1" si="195"/>
        <v>0</v>
      </c>
      <c r="W621" s="133">
        <f t="shared" ca="1" si="196"/>
        <v>6815.8876602749624</v>
      </c>
      <c r="X621" s="104">
        <f t="shared" ca="1" si="197"/>
        <v>0</v>
      </c>
    </row>
    <row r="622" spans="1:24" x14ac:dyDescent="0.2">
      <c r="A622" s="98">
        <v>0</v>
      </c>
      <c r="B622" s="98">
        <v>2</v>
      </c>
      <c r="C622" s="98">
        <f t="shared" si="179"/>
        <v>6</v>
      </c>
      <c r="D622" s="98">
        <f t="shared" si="180"/>
        <v>5</v>
      </c>
      <c r="E622" s="98">
        <f t="shared" si="181"/>
        <v>0</v>
      </c>
      <c r="F622" s="118">
        <f t="shared" ca="1" si="182"/>
        <v>4.9318214399999991E-2</v>
      </c>
      <c r="G622" s="98">
        <v>1</v>
      </c>
      <c r="H622" s="98">
        <v>1</v>
      </c>
      <c r="I622" s="98">
        <v>0</v>
      </c>
      <c r="J622" s="118">
        <f t="shared" ca="1" si="183"/>
        <v>0</v>
      </c>
      <c r="K622" s="118">
        <f t="shared" ca="1" si="184"/>
        <v>0</v>
      </c>
      <c r="L622" s="133">
        <f t="shared" ca="1" si="185"/>
        <v>336</v>
      </c>
      <c r="M622" s="130">
        <f t="shared" ca="1" si="186"/>
        <v>664</v>
      </c>
      <c r="N622" s="100">
        <f t="shared" ca="1" si="187"/>
        <v>4</v>
      </c>
      <c r="O622" s="136">
        <f t="shared" ca="1" si="188"/>
        <v>2.6973744602864622</v>
      </c>
      <c r="P622" s="136">
        <f t="shared" ca="1" si="189"/>
        <v>26.973744602864617</v>
      </c>
      <c r="Q622" s="136">
        <f t="shared" ca="1" si="190"/>
        <v>22.336521354764173</v>
      </c>
      <c r="R622" s="136">
        <f t="shared" ca="1" si="191"/>
        <v>2.4655132978814391</v>
      </c>
      <c r="S622" s="136">
        <f t="shared" ca="1" si="192"/>
        <v>2.6208602766928046</v>
      </c>
      <c r="T622" s="104">
        <f t="shared" ca="1" si="193"/>
        <v>0</v>
      </c>
      <c r="U622" s="120">
        <f t="shared" ca="1" si="194"/>
        <v>1327.1453149748754</v>
      </c>
      <c r="V622" s="104">
        <f t="shared" ca="1" si="195"/>
        <v>0</v>
      </c>
      <c r="W622" s="133">
        <f t="shared" ca="1" si="196"/>
        <v>4638.2877688133131</v>
      </c>
      <c r="X622" s="104">
        <f t="shared" ca="1" si="197"/>
        <v>0</v>
      </c>
    </row>
    <row r="623" spans="1:24" x14ac:dyDescent="0.2">
      <c r="A623" s="98">
        <v>0</v>
      </c>
      <c r="B623" s="98">
        <v>2</v>
      </c>
      <c r="C623" s="98">
        <f t="shared" si="179"/>
        <v>6</v>
      </c>
      <c r="D623" s="98">
        <f t="shared" si="180"/>
        <v>5</v>
      </c>
      <c r="E623" s="98">
        <f t="shared" si="181"/>
        <v>0</v>
      </c>
      <c r="F623" s="118">
        <f t="shared" ca="1" si="182"/>
        <v>4.9318214399999991E-2</v>
      </c>
      <c r="G623" s="98">
        <v>1</v>
      </c>
      <c r="H623" s="98">
        <v>0</v>
      </c>
      <c r="I623" s="98">
        <v>7</v>
      </c>
      <c r="J623" s="118">
        <f t="shared" si="183"/>
        <v>0</v>
      </c>
      <c r="K623" s="118">
        <f t="shared" ca="1" si="184"/>
        <v>0</v>
      </c>
      <c r="L623" s="133">
        <f t="shared" ca="1" si="185"/>
        <v>252</v>
      </c>
      <c r="M623" s="130">
        <f t="shared" ca="1" si="186"/>
        <v>748</v>
      </c>
      <c r="N623" s="100">
        <f t="shared" ca="1" si="187"/>
        <v>4</v>
      </c>
      <c r="O623" s="136">
        <f t="shared" ca="1" si="188"/>
        <v>2.6973744602864622</v>
      </c>
      <c r="P623" s="136">
        <f t="shared" ca="1" si="189"/>
        <v>26.973744602864617</v>
      </c>
      <c r="Q623" s="136">
        <f t="shared" ca="1" si="190"/>
        <v>26.973744602864617</v>
      </c>
      <c r="R623" s="136">
        <f t="shared" ca="1" si="191"/>
        <v>2.6973744602864618</v>
      </c>
      <c r="S623" s="136">
        <f t="shared" ca="1" si="192"/>
        <v>2.6973744602864622</v>
      </c>
      <c r="T623" s="104">
        <f t="shared" ca="1" si="193"/>
        <v>0</v>
      </c>
      <c r="U623" s="120">
        <f t="shared" ca="1" si="194"/>
        <v>1271.0695270312358</v>
      </c>
      <c r="V623" s="104">
        <f t="shared" ca="1" si="195"/>
        <v>0</v>
      </c>
      <c r="W623" s="133">
        <f t="shared" ca="1" si="196"/>
        <v>17703.88711758321</v>
      </c>
      <c r="X623" s="104">
        <f t="shared" ca="1" si="197"/>
        <v>0</v>
      </c>
    </row>
    <row r="624" spans="1:24" x14ac:dyDescent="0.2">
      <c r="A624" s="98">
        <v>0</v>
      </c>
      <c r="B624" s="98">
        <v>2</v>
      </c>
      <c r="C624" s="98">
        <f t="shared" si="179"/>
        <v>6</v>
      </c>
      <c r="D624" s="98">
        <f t="shared" si="180"/>
        <v>5</v>
      </c>
      <c r="E624" s="98">
        <f t="shared" si="181"/>
        <v>0</v>
      </c>
      <c r="F624" s="118">
        <f t="shared" ca="1" si="182"/>
        <v>4.9318214399999991E-2</v>
      </c>
      <c r="G624" s="98">
        <v>1</v>
      </c>
      <c r="H624" s="98">
        <v>0</v>
      </c>
      <c r="I624" s="98">
        <v>6</v>
      </c>
      <c r="J624" s="118">
        <f t="shared" si="183"/>
        <v>0</v>
      </c>
      <c r="K624" s="118">
        <f t="shared" ca="1" si="184"/>
        <v>0</v>
      </c>
      <c r="L624" s="133">
        <f t="shared" ca="1" si="185"/>
        <v>240</v>
      </c>
      <c r="M624" s="130">
        <f t="shared" ca="1" si="186"/>
        <v>760</v>
      </c>
      <c r="N624" s="100">
        <f t="shared" ca="1" si="187"/>
        <v>4</v>
      </c>
      <c r="O624" s="136">
        <f t="shared" ca="1" si="188"/>
        <v>2.6973744602864622</v>
      </c>
      <c r="P624" s="136">
        <f t="shared" ca="1" si="189"/>
        <v>26.973744602864617</v>
      </c>
      <c r="Q624" s="136">
        <f t="shared" ca="1" si="190"/>
        <v>26.973744602864617</v>
      </c>
      <c r="R624" s="136">
        <f t="shared" ca="1" si="191"/>
        <v>2.6973744602864618</v>
      </c>
      <c r="S624" s="136">
        <f t="shared" ca="1" si="192"/>
        <v>2.6973744602864622</v>
      </c>
      <c r="T624" s="104">
        <f t="shared" ca="1" si="193"/>
        <v>0</v>
      </c>
      <c r="U624" s="120">
        <f t="shared" ca="1" si="194"/>
        <v>1259.0695270312358</v>
      </c>
      <c r="V624" s="104">
        <f t="shared" ca="1" si="195"/>
        <v>0</v>
      </c>
      <c r="W624" s="133">
        <f t="shared" ca="1" si="196"/>
        <v>15526.287226121562</v>
      </c>
      <c r="X624" s="104">
        <f t="shared" ca="1" si="197"/>
        <v>0</v>
      </c>
    </row>
    <row r="625" spans="1:24" x14ac:dyDescent="0.2">
      <c r="A625" s="98">
        <v>0</v>
      </c>
      <c r="B625" s="98">
        <v>2</v>
      </c>
      <c r="C625" s="98">
        <f t="shared" si="179"/>
        <v>6</v>
      </c>
      <c r="D625" s="98">
        <f t="shared" si="180"/>
        <v>5</v>
      </c>
      <c r="E625" s="98">
        <f t="shared" si="181"/>
        <v>0</v>
      </c>
      <c r="F625" s="118">
        <f t="shared" ca="1" si="182"/>
        <v>4.9318214399999991E-2</v>
      </c>
      <c r="G625" s="98">
        <v>1</v>
      </c>
      <c r="H625" s="98">
        <v>0</v>
      </c>
      <c r="I625" s="98">
        <v>5</v>
      </c>
      <c r="J625" s="118">
        <f t="shared" ca="1" si="183"/>
        <v>0.73509189062499991</v>
      </c>
      <c r="K625" s="118">
        <f t="shared" ca="1" si="184"/>
        <v>3.6253419465545091E-2</v>
      </c>
      <c r="L625" s="133">
        <f t="shared" ca="1" si="185"/>
        <v>228</v>
      </c>
      <c r="M625" s="130">
        <f t="shared" ca="1" si="186"/>
        <v>772</v>
      </c>
      <c r="N625" s="100">
        <f t="shared" ca="1" si="187"/>
        <v>4</v>
      </c>
      <c r="O625" s="136">
        <f t="shared" ca="1" si="188"/>
        <v>2.6973744602864622</v>
      </c>
      <c r="P625" s="136">
        <f t="shared" ca="1" si="189"/>
        <v>26.973744602864617</v>
      </c>
      <c r="Q625" s="136">
        <f t="shared" ca="1" si="190"/>
        <v>26.973744602864617</v>
      </c>
      <c r="R625" s="136">
        <f t="shared" ca="1" si="191"/>
        <v>2.6973744602864618</v>
      </c>
      <c r="S625" s="136">
        <f t="shared" ca="1" si="192"/>
        <v>2.6973744602864622</v>
      </c>
      <c r="T625" s="104">
        <f t="shared" ca="1" si="193"/>
        <v>9.7789047764413412E-2</v>
      </c>
      <c r="U625" s="120">
        <f t="shared" ca="1" si="194"/>
        <v>1247.0695270312358</v>
      </c>
      <c r="V625" s="104">
        <f t="shared" ca="1" si="195"/>
        <v>45.21053466616231</v>
      </c>
      <c r="W625" s="133">
        <f t="shared" ca="1" si="196"/>
        <v>13348.687334659911</v>
      </c>
      <c r="X625" s="104">
        <f t="shared" ca="1" si="197"/>
        <v>483.93556125783482</v>
      </c>
    </row>
    <row r="626" spans="1:24" x14ac:dyDescent="0.2">
      <c r="A626" s="98">
        <v>0</v>
      </c>
      <c r="B626" s="98">
        <v>2</v>
      </c>
      <c r="C626" s="98">
        <f t="shared" si="179"/>
        <v>6</v>
      </c>
      <c r="D626" s="98">
        <f t="shared" si="180"/>
        <v>5</v>
      </c>
      <c r="E626" s="98">
        <f t="shared" si="181"/>
        <v>0</v>
      </c>
      <c r="F626" s="118">
        <f t="shared" ca="1" si="182"/>
        <v>4.9318214399999991E-2</v>
      </c>
      <c r="G626" s="98">
        <v>1</v>
      </c>
      <c r="H626" s="98">
        <v>0</v>
      </c>
      <c r="I626" s="98">
        <v>4</v>
      </c>
      <c r="J626" s="118">
        <f t="shared" ca="1" si="183"/>
        <v>0.19344523437500014</v>
      </c>
      <c r="K626" s="118">
        <f t="shared" ca="1" si="184"/>
        <v>9.5403735435645055E-3</v>
      </c>
      <c r="L626" s="133">
        <f t="shared" ca="1" si="185"/>
        <v>216</v>
      </c>
      <c r="M626" s="130">
        <f t="shared" ca="1" si="186"/>
        <v>784</v>
      </c>
      <c r="N626" s="100">
        <f t="shared" ca="1" si="187"/>
        <v>4</v>
      </c>
      <c r="O626" s="136">
        <f t="shared" ca="1" si="188"/>
        <v>2.6973744602864622</v>
      </c>
      <c r="P626" s="136">
        <f t="shared" ca="1" si="189"/>
        <v>26.973744602864617</v>
      </c>
      <c r="Q626" s="136">
        <f t="shared" ca="1" si="190"/>
        <v>26.973744602864617</v>
      </c>
      <c r="R626" s="136">
        <f t="shared" ca="1" si="191"/>
        <v>2.6973744602864618</v>
      </c>
      <c r="S626" s="136">
        <f t="shared" ca="1" si="192"/>
        <v>2.6973744602864622</v>
      </c>
      <c r="T626" s="104">
        <f t="shared" ca="1" si="193"/>
        <v>2.5733959938003551E-2</v>
      </c>
      <c r="U626" s="120">
        <f t="shared" ca="1" si="194"/>
        <v>1235.0695270312358</v>
      </c>
      <c r="V626" s="104">
        <f t="shared" ca="1" si="195"/>
        <v>11.783024640151529</v>
      </c>
      <c r="W626" s="133">
        <f t="shared" ca="1" si="196"/>
        <v>11171.087443198261</v>
      </c>
      <c r="X626" s="104">
        <f t="shared" ca="1" si="197"/>
        <v>106.57634709593435</v>
      </c>
    </row>
    <row r="627" spans="1:24" x14ac:dyDescent="0.2">
      <c r="A627" s="98">
        <v>0</v>
      </c>
      <c r="B627" s="98">
        <v>2</v>
      </c>
      <c r="C627" s="98">
        <f t="shared" si="179"/>
        <v>6</v>
      </c>
      <c r="D627" s="98">
        <f t="shared" si="180"/>
        <v>5</v>
      </c>
      <c r="E627" s="98">
        <f t="shared" si="181"/>
        <v>0</v>
      </c>
      <c r="F627" s="118">
        <f t="shared" ca="1" si="182"/>
        <v>4.9318214399999991E-2</v>
      </c>
      <c r="G627" s="98">
        <v>1</v>
      </c>
      <c r="H627" s="98">
        <v>0</v>
      </c>
      <c r="I627" s="98">
        <v>3</v>
      </c>
      <c r="J627" s="118">
        <f t="shared" ca="1" si="183"/>
        <v>2.0362656250000031E-2</v>
      </c>
      <c r="K627" s="118">
        <f t="shared" ca="1" si="184"/>
        <v>1.0042498466910014E-3</v>
      </c>
      <c r="L627" s="133">
        <f t="shared" ca="1" si="185"/>
        <v>204</v>
      </c>
      <c r="M627" s="130">
        <f t="shared" ca="1" si="186"/>
        <v>796</v>
      </c>
      <c r="N627" s="100">
        <f t="shared" ca="1" si="187"/>
        <v>4</v>
      </c>
      <c r="O627" s="136">
        <f t="shared" ca="1" si="188"/>
        <v>2.6973744602864622</v>
      </c>
      <c r="P627" s="136">
        <f t="shared" ca="1" si="189"/>
        <v>26.973744602864617</v>
      </c>
      <c r="Q627" s="136">
        <f t="shared" ca="1" si="190"/>
        <v>26.973744602864617</v>
      </c>
      <c r="R627" s="136">
        <f t="shared" ca="1" si="191"/>
        <v>2.6973744602864618</v>
      </c>
      <c r="S627" s="136">
        <f t="shared" ca="1" si="192"/>
        <v>2.6973744602864622</v>
      </c>
      <c r="T627" s="104">
        <f t="shared" ca="1" si="193"/>
        <v>2.7088378882109024E-3</v>
      </c>
      <c r="U627" s="120">
        <f t="shared" ca="1" si="194"/>
        <v>1223.0695270312358</v>
      </c>
      <c r="V627" s="104">
        <f t="shared" ca="1" si="195"/>
        <v>1.2282673850135541</v>
      </c>
      <c r="W627" s="133">
        <f t="shared" ca="1" si="196"/>
        <v>8993.4875517366127</v>
      </c>
      <c r="X627" s="104">
        <f t="shared" ca="1" si="197"/>
        <v>9.0317084950489228</v>
      </c>
    </row>
    <row r="628" spans="1:24" x14ac:dyDescent="0.2">
      <c r="A628" s="98">
        <v>0</v>
      </c>
      <c r="B628" s="98">
        <v>2</v>
      </c>
      <c r="C628" s="98">
        <f t="shared" si="179"/>
        <v>6</v>
      </c>
      <c r="D628" s="98">
        <f t="shared" si="180"/>
        <v>5</v>
      </c>
      <c r="E628" s="98">
        <f t="shared" si="181"/>
        <v>0</v>
      </c>
      <c r="F628" s="118">
        <f t="shared" ca="1" si="182"/>
        <v>4.9318214399999991E-2</v>
      </c>
      <c r="G628" s="98">
        <v>1</v>
      </c>
      <c r="H628" s="98">
        <v>0</v>
      </c>
      <c r="I628" s="98">
        <v>2</v>
      </c>
      <c r="J628" s="118">
        <f t="shared" ca="1" si="183"/>
        <v>1.0717187500000028E-3</v>
      </c>
      <c r="K628" s="118">
        <f t="shared" ca="1" si="184"/>
        <v>5.2855255089000129E-5</v>
      </c>
      <c r="L628" s="133">
        <f t="shared" ca="1" si="185"/>
        <v>192</v>
      </c>
      <c r="M628" s="130">
        <f t="shared" ca="1" si="186"/>
        <v>808</v>
      </c>
      <c r="N628" s="100">
        <f t="shared" ca="1" si="187"/>
        <v>4</v>
      </c>
      <c r="O628" s="136">
        <f t="shared" ca="1" si="188"/>
        <v>2.6973744602864622</v>
      </c>
      <c r="P628" s="136">
        <f t="shared" ca="1" si="189"/>
        <v>26.973744602864617</v>
      </c>
      <c r="Q628" s="136">
        <f t="shared" ca="1" si="190"/>
        <v>26.973744602864617</v>
      </c>
      <c r="R628" s="136">
        <f t="shared" ca="1" si="191"/>
        <v>2.6973744602864618</v>
      </c>
      <c r="S628" s="136">
        <f t="shared" ca="1" si="192"/>
        <v>2.6973744602864622</v>
      </c>
      <c r="T628" s="104">
        <f t="shared" ca="1" si="193"/>
        <v>1.4257041516899501E-4</v>
      </c>
      <c r="U628" s="120">
        <f t="shared" ca="1" si="194"/>
        <v>1211.0695270312358</v>
      </c>
      <c r="V628" s="104">
        <f t="shared" ca="1" si="195"/>
        <v>6.4011388781750708E-2</v>
      </c>
      <c r="W628" s="133">
        <f t="shared" ca="1" si="196"/>
        <v>6815.8876602749624</v>
      </c>
      <c r="X628" s="104">
        <f t="shared" ca="1" si="197"/>
        <v>0.36025548094180138</v>
      </c>
    </row>
    <row r="629" spans="1:24" x14ac:dyDescent="0.2">
      <c r="A629" s="98">
        <v>0</v>
      </c>
      <c r="B629" s="98">
        <v>2</v>
      </c>
      <c r="C629" s="98">
        <f t="shared" si="179"/>
        <v>6</v>
      </c>
      <c r="D629" s="98">
        <f t="shared" si="180"/>
        <v>5</v>
      </c>
      <c r="E629" s="98">
        <f t="shared" si="181"/>
        <v>0</v>
      </c>
      <c r="F629" s="118">
        <f t="shared" ca="1" si="182"/>
        <v>4.9318214399999991E-2</v>
      </c>
      <c r="G629" s="98">
        <v>1</v>
      </c>
      <c r="H629" s="98">
        <v>0</v>
      </c>
      <c r="I629" s="98">
        <v>1</v>
      </c>
      <c r="J629" s="118">
        <f t="shared" ca="1" si="183"/>
        <v>2.8203125000000098E-5</v>
      </c>
      <c r="K629" s="118">
        <f t="shared" ca="1" si="184"/>
        <v>1.3909277655000045E-6</v>
      </c>
      <c r="L629" s="133">
        <f t="shared" ca="1" si="185"/>
        <v>180</v>
      </c>
      <c r="M629" s="130">
        <f t="shared" ca="1" si="186"/>
        <v>820</v>
      </c>
      <c r="N629" s="100">
        <f t="shared" ca="1" si="187"/>
        <v>4</v>
      </c>
      <c r="O629" s="136">
        <f t="shared" ca="1" si="188"/>
        <v>2.6973744602864622</v>
      </c>
      <c r="P629" s="136">
        <f t="shared" ca="1" si="189"/>
        <v>26.973744602864617</v>
      </c>
      <c r="Q629" s="136">
        <f t="shared" ca="1" si="190"/>
        <v>26.973744602864617</v>
      </c>
      <c r="R629" s="136">
        <f t="shared" ca="1" si="191"/>
        <v>2.6973744602864618</v>
      </c>
      <c r="S629" s="136">
        <f t="shared" ca="1" si="192"/>
        <v>2.6973744602864622</v>
      </c>
      <c r="T629" s="104">
        <f t="shared" ca="1" si="193"/>
        <v>3.7518530307630294E-6</v>
      </c>
      <c r="U629" s="120">
        <f t="shared" ca="1" si="194"/>
        <v>1199.0695270312358</v>
      </c>
      <c r="V629" s="104">
        <f t="shared" ca="1" si="195"/>
        <v>1.6678190979127041E-3</v>
      </c>
      <c r="W629" s="133">
        <f t="shared" ca="1" si="196"/>
        <v>4638.2877688133131</v>
      </c>
      <c r="X629" s="104">
        <f t="shared" ca="1" si="197"/>
        <v>6.4515232420215033E-3</v>
      </c>
    </row>
    <row r="630" spans="1:24" x14ac:dyDescent="0.2">
      <c r="A630" s="98">
        <v>0</v>
      </c>
      <c r="B630" s="98">
        <v>2</v>
      </c>
      <c r="C630" s="98">
        <f t="shared" si="179"/>
        <v>6</v>
      </c>
      <c r="D630" s="98">
        <f t="shared" si="180"/>
        <v>5</v>
      </c>
      <c r="E630" s="98">
        <f t="shared" si="181"/>
        <v>0</v>
      </c>
      <c r="F630" s="118">
        <f t="shared" ca="1" si="182"/>
        <v>4.9318214399999991E-2</v>
      </c>
      <c r="G630" s="98">
        <v>1</v>
      </c>
      <c r="H630" s="98">
        <v>0</v>
      </c>
      <c r="I630" s="98">
        <v>0</v>
      </c>
      <c r="J630" s="118">
        <f t="shared" ca="1" si="183"/>
        <v>2.9687500000000134E-7</v>
      </c>
      <c r="K630" s="118">
        <f t="shared" ca="1" si="184"/>
        <v>1.4641344900000064E-8</v>
      </c>
      <c r="L630" s="133">
        <f t="shared" ca="1" si="185"/>
        <v>168</v>
      </c>
      <c r="M630" s="130">
        <f t="shared" ca="1" si="186"/>
        <v>832</v>
      </c>
      <c r="N630" s="100">
        <f t="shared" ca="1" si="187"/>
        <v>4</v>
      </c>
      <c r="O630" s="136">
        <f t="shared" ca="1" si="188"/>
        <v>2.6973744602864622</v>
      </c>
      <c r="P630" s="136">
        <f t="shared" ca="1" si="189"/>
        <v>26.973744602864617</v>
      </c>
      <c r="Q630" s="136">
        <f t="shared" ca="1" si="190"/>
        <v>26.973744602864617</v>
      </c>
      <c r="R630" s="136">
        <f t="shared" ca="1" si="191"/>
        <v>2.6973744602864618</v>
      </c>
      <c r="S630" s="136">
        <f t="shared" ca="1" si="192"/>
        <v>2.6973744602864622</v>
      </c>
      <c r="T630" s="104">
        <f t="shared" ca="1" si="193"/>
        <v>3.949318979750562E-8</v>
      </c>
      <c r="U630" s="120">
        <f t="shared" ca="1" si="194"/>
        <v>1187.0695270312358</v>
      </c>
      <c r="V630" s="104">
        <f t="shared" ca="1" si="195"/>
        <v>1.7380294365544272E-5</v>
      </c>
      <c r="W630" s="133">
        <f t="shared" ca="1" si="196"/>
        <v>2460.6878773516637</v>
      </c>
      <c r="X630" s="104">
        <f t="shared" ca="1" si="197"/>
        <v>3.6027779903554761E-5</v>
      </c>
    </row>
    <row r="631" spans="1:24" x14ac:dyDescent="0.2">
      <c r="A631" s="98">
        <v>0</v>
      </c>
      <c r="B631" s="98">
        <v>2</v>
      </c>
      <c r="C631" s="98">
        <f t="shared" si="179"/>
        <v>6</v>
      </c>
      <c r="D631" s="98">
        <f t="shared" si="180"/>
        <v>5</v>
      </c>
      <c r="E631" s="98">
        <f t="shared" si="181"/>
        <v>0</v>
      </c>
      <c r="F631" s="118">
        <f t="shared" ca="1" si="182"/>
        <v>4.9318214399999991E-2</v>
      </c>
      <c r="G631" s="98">
        <v>0</v>
      </c>
      <c r="H631" s="98">
        <v>1</v>
      </c>
      <c r="I631" s="98">
        <v>7</v>
      </c>
      <c r="J631" s="118">
        <f t="shared" si="183"/>
        <v>0</v>
      </c>
      <c r="K631" s="118">
        <f t="shared" ca="1" si="184"/>
        <v>0</v>
      </c>
      <c r="L631" s="133">
        <f t="shared" ca="1" si="185"/>
        <v>252</v>
      </c>
      <c r="M631" s="130">
        <f t="shared" ca="1" si="186"/>
        <v>748</v>
      </c>
      <c r="N631" s="100">
        <f t="shared" ca="1" si="187"/>
        <v>4</v>
      </c>
      <c r="O631" s="136">
        <f t="shared" ca="1" si="188"/>
        <v>2.6973744602864622</v>
      </c>
      <c r="P631" s="136">
        <f t="shared" ca="1" si="189"/>
        <v>26.973744602864617</v>
      </c>
      <c r="Q631" s="136">
        <f t="shared" ca="1" si="190"/>
        <v>26.973744602864617</v>
      </c>
      <c r="R631" s="136">
        <f t="shared" ca="1" si="191"/>
        <v>2.6973744602864618</v>
      </c>
      <c r="S631" s="136">
        <f t="shared" ca="1" si="192"/>
        <v>2.6973744602864622</v>
      </c>
      <c r="T631" s="104">
        <f t="shared" ca="1" si="193"/>
        <v>0</v>
      </c>
      <c r="U631" s="120">
        <f t="shared" ca="1" si="194"/>
        <v>1271.0695270312358</v>
      </c>
      <c r="V631" s="104">
        <f t="shared" ca="1" si="195"/>
        <v>0</v>
      </c>
      <c r="W631" s="133">
        <f t="shared" ca="1" si="196"/>
        <v>17420.799131693195</v>
      </c>
      <c r="X631" s="104">
        <f t="shared" ca="1" si="197"/>
        <v>0</v>
      </c>
    </row>
    <row r="632" spans="1:24" x14ac:dyDescent="0.2">
      <c r="A632" s="98">
        <v>0</v>
      </c>
      <c r="B632" s="98">
        <v>2</v>
      </c>
      <c r="C632" s="98">
        <f t="shared" si="179"/>
        <v>6</v>
      </c>
      <c r="D632" s="98">
        <f t="shared" si="180"/>
        <v>5</v>
      </c>
      <c r="E632" s="98">
        <f t="shared" si="181"/>
        <v>0</v>
      </c>
      <c r="F632" s="118">
        <f t="shared" ca="1" si="182"/>
        <v>4.9318214399999991E-2</v>
      </c>
      <c r="G632" s="98">
        <v>0</v>
      </c>
      <c r="H632" s="98">
        <v>1</v>
      </c>
      <c r="I632" s="98">
        <v>6</v>
      </c>
      <c r="J632" s="118">
        <f t="shared" si="183"/>
        <v>0</v>
      </c>
      <c r="K632" s="118">
        <f t="shared" ca="1" si="184"/>
        <v>0</v>
      </c>
      <c r="L632" s="133">
        <f t="shared" ca="1" si="185"/>
        <v>240</v>
      </c>
      <c r="M632" s="130">
        <f t="shared" ca="1" si="186"/>
        <v>760</v>
      </c>
      <c r="N632" s="100">
        <f t="shared" ca="1" si="187"/>
        <v>4</v>
      </c>
      <c r="O632" s="136">
        <f t="shared" ca="1" si="188"/>
        <v>2.6973744602864622</v>
      </c>
      <c r="P632" s="136">
        <f t="shared" ca="1" si="189"/>
        <v>26.973744602864617</v>
      </c>
      <c r="Q632" s="136">
        <f t="shared" ca="1" si="190"/>
        <v>26.973744602864617</v>
      </c>
      <c r="R632" s="136">
        <f t="shared" ca="1" si="191"/>
        <v>2.6973744602864618</v>
      </c>
      <c r="S632" s="136">
        <f t="shared" ca="1" si="192"/>
        <v>2.6973744602864622</v>
      </c>
      <c r="T632" s="104">
        <f t="shared" ca="1" si="193"/>
        <v>0</v>
      </c>
      <c r="U632" s="120">
        <f t="shared" ca="1" si="194"/>
        <v>1259.0695270312358</v>
      </c>
      <c r="V632" s="104">
        <f t="shared" ca="1" si="195"/>
        <v>0</v>
      </c>
      <c r="W632" s="133">
        <f t="shared" ca="1" si="196"/>
        <v>15243.199240231548</v>
      </c>
      <c r="X632" s="104">
        <f t="shared" ca="1" si="197"/>
        <v>0</v>
      </c>
    </row>
    <row r="633" spans="1:24" x14ac:dyDescent="0.2">
      <c r="A633" s="98">
        <v>0</v>
      </c>
      <c r="B633" s="98">
        <v>2</v>
      </c>
      <c r="C633" s="98">
        <f t="shared" si="179"/>
        <v>6</v>
      </c>
      <c r="D633" s="98">
        <f t="shared" si="180"/>
        <v>5</v>
      </c>
      <c r="E633" s="98">
        <f t="shared" si="181"/>
        <v>0</v>
      </c>
      <c r="F633" s="118">
        <f t="shared" ca="1" si="182"/>
        <v>4.9318214399999991E-2</v>
      </c>
      <c r="G633" s="98">
        <v>0</v>
      </c>
      <c r="H633" s="98">
        <v>1</v>
      </c>
      <c r="I633" s="98">
        <v>5</v>
      </c>
      <c r="J633" s="118">
        <f t="shared" ca="1" si="183"/>
        <v>0</v>
      </c>
      <c r="K633" s="118">
        <f t="shared" ca="1" si="184"/>
        <v>0</v>
      </c>
      <c r="L633" s="133">
        <f t="shared" ca="1" si="185"/>
        <v>228</v>
      </c>
      <c r="M633" s="130">
        <f t="shared" ca="1" si="186"/>
        <v>772</v>
      </c>
      <c r="N633" s="100">
        <f t="shared" ca="1" si="187"/>
        <v>4</v>
      </c>
      <c r="O633" s="136">
        <f t="shared" ca="1" si="188"/>
        <v>2.6973744602864622</v>
      </c>
      <c r="P633" s="136">
        <f t="shared" ca="1" si="189"/>
        <v>26.973744602864617</v>
      </c>
      <c r="Q633" s="136">
        <f t="shared" ca="1" si="190"/>
        <v>26.973744602864617</v>
      </c>
      <c r="R633" s="136">
        <f t="shared" ca="1" si="191"/>
        <v>2.6973744602864618</v>
      </c>
      <c r="S633" s="136">
        <f t="shared" ca="1" si="192"/>
        <v>2.6973744602864622</v>
      </c>
      <c r="T633" s="104">
        <f t="shared" ca="1" si="193"/>
        <v>0</v>
      </c>
      <c r="U633" s="120">
        <f t="shared" ca="1" si="194"/>
        <v>1247.0695270312358</v>
      </c>
      <c r="V633" s="104">
        <f t="shared" ca="1" si="195"/>
        <v>0</v>
      </c>
      <c r="W633" s="133">
        <f t="shared" ca="1" si="196"/>
        <v>13065.599348769898</v>
      </c>
      <c r="X633" s="104">
        <f t="shared" ca="1" si="197"/>
        <v>0</v>
      </c>
    </row>
    <row r="634" spans="1:24" x14ac:dyDescent="0.2">
      <c r="A634" s="98">
        <v>0</v>
      </c>
      <c r="B634" s="98">
        <v>2</v>
      </c>
      <c r="C634" s="98">
        <f t="shared" si="179"/>
        <v>6</v>
      </c>
      <c r="D634" s="98">
        <f t="shared" si="180"/>
        <v>5</v>
      </c>
      <c r="E634" s="98">
        <f t="shared" si="181"/>
        <v>0</v>
      </c>
      <c r="F634" s="118">
        <f t="shared" ca="1" si="182"/>
        <v>4.9318214399999991E-2</v>
      </c>
      <c r="G634" s="98">
        <v>0</v>
      </c>
      <c r="H634" s="98">
        <v>1</v>
      </c>
      <c r="I634" s="98">
        <v>4</v>
      </c>
      <c r="J634" s="118">
        <f t="shared" ca="1" si="183"/>
        <v>0</v>
      </c>
      <c r="K634" s="118">
        <f t="shared" ca="1" si="184"/>
        <v>0</v>
      </c>
      <c r="L634" s="133">
        <f t="shared" ca="1" si="185"/>
        <v>216</v>
      </c>
      <c r="M634" s="130">
        <f t="shared" ca="1" si="186"/>
        <v>784</v>
      </c>
      <c r="N634" s="100">
        <f t="shared" ca="1" si="187"/>
        <v>4</v>
      </c>
      <c r="O634" s="136">
        <f t="shared" ca="1" si="188"/>
        <v>2.6973744602864622</v>
      </c>
      <c r="P634" s="136">
        <f t="shared" ca="1" si="189"/>
        <v>26.973744602864617</v>
      </c>
      <c r="Q634" s="136">
        <f t="shared" ca="1" si="190"/>
        <v>26.973744602864617</v>
      </c>
      <c r="R634" s="136">
        <f t="shared" ca="1" si="191"/>
        <v>2.6973744602864618</v>
      </c>
      <c r="S634" s="136">
        <f t="shared" ca="1" si="192"/>
        <v>2.6973744602864622</v>
      </c>
      <c r="T634" s="104">
        <f t="shared" ca="1" si="193"/>
        <v>0</v>
      </c>
      <c r="U634" s="120">
        <f t="shared" ca="1" si="194"/>
        <v>1235.0695270312358</v>
      </c>
      <c r="V634" s="104">
        <f t="shared" ca="1" si="195"/>
        <v>0</v>
      </c>
      <c r="W634" s="133">
        <f t="shared" ca="1" si="196"/>
        <v>10887.999457308248</v>
      </c>
      <c r="X634" s="104">
        <f t="shared" ca="1" si="197"/>
        <v>0</v>
      </c>
    </row>
    <row r="635" spans="1:24" x14ac:dyDescent="0.2">
      <c r="A635" s="98">
        <v>0</v>
      </c>
      <c r="B635" s="98">
        <v>2</v>
      </c>
      <c r="C635" s="98">
        <f t="shared" si="179"/>
        <v>6</v>
      </c>
      <c r="D635" s="98">
        <f t="shared" si="180"/>
        <v>5</v>
      </c>
      <c r="E635" s="98">
        <f t="shared" si="181"/>
        <v>0</v>
      </c>
      <c r="F635" s="118">
        <f t="shared" ca="1" si="182"/>
        <v>4.9318214399999991E-2</v>
      </c>
      <c r="G635" s="98">
        <v>0</v>
      </c>
      <c r="H635" s="98">
        <v>1</v>
      </c>
      <c r="I635" s="98">
        <v>3</v>
      </c>
      <c r="J635" s="118">
        <f t="shared" ca="1" si="183"/>
        <v>0</v>
      </c>
      <c r="K635" s="118">
        <f t="shared" ca="1" si="184"/>
        <v>0</v>
      </c>
      <c r="L635" s="133">
        <f t="shared" ca="1" si="185"/>
        <v>204</v>
      </c>
      <c r="M635" s="130">
        <f t="shared" ca="1" si="186"/>
        <v>796</v>
      </c>
      <c r="N635" s="100">
        <f t="shared" ca="1" si="187"/>
        <v>4</v>
      </c>
      <c r="O635" s="136">
        <f t="shared" ca="1" si="188"/>
        <v>2.6973744602864622</v>
      </c>
      <c r="P635" s="136">
        <f t="shared" ca="1" si="189"/>
        <v>26.973744602864617</v>
      </c>
      <c r="Q635" s="136">
        <f t="shared" ca="1" si="190"/>
        <v>26.973744602864617</v>
      </c>
      <c r="R635" s="136">
        <f t="shared" ca="1" si="191"/>
        <v>2.6973744602864618</v>
      </c>
      <c r="S635" s="136">
        <f t="shared" ca="1" si="192"/>
        <v>2.6973744602864622</v>
      </c>
      <c r="T635" s="104">
        <f t="shared" ca="1" si="193"/>
        <v>0</v>
      </c>
      <c r="U635" s="120">
        <f t="shared" ca="1" si="194"/>
        <v>1223.0695270312358</v>
      </c>
      <c r="V635" s="104">
        <f t="shared" ca="1" si="195"/>
        <v>0</v>
      </c>
      <c r="W635" s="133">
        <f t="shared" ca="1" si="196"/>
        <v>8710.3995658465974</v>
      </c>
      <c r="X635" s="104">
        <f t="shared" ca="1" si="197"/>
        <v>0</v>
      </c>
    </row>
    <row r="636" spans="1:24" x14ac:dyDescent="0.2">
      <c r="A636" s="98">
        <v>0</v>
      </c>
      <c r="B636" s="98">
        <v>2</v>
      </c>
      <c r="C636" s="98">
        <f t="shared" si="179"/>
        <v>6</v>
      </c>
      <c r="D636" s="98">
        <f t="shared" si="180"/>
        <v>5</v>
      </c>
      <c r="E636" s="98">
        <f t="shared" si="181"/>
        <v>0</v>
      </c>
      <c r="F636" s="118">
        <f t="shared" ca="1" si="182"/>
        <v>4.9318214399999991E-2</v>
      </c>
      <c r="G636" s="98">
        <v>0</v>
      </c>
      <c r="H636" s="98">
        <v>1</v>
      </c>
      <c r="I636" s="98">
        <v>2</v>
      </c>
      <c r="J636" s="118">
        <f t="shared" ca="1" si="183"/>
        <v>0</v>
      </c>
      <c r="K636" s="118">
        <f t="shared" ca="1" si="184"/>
        <v>0</v>
      </c>
      <c r="L636" s="133">
        <f t="shared" ca="1" si="185"/>
        <v>192</v>
      </c>
      <c r="M636" s="130">
        <f t="shared" ca="1" si="186"/>
        <v>808</v>
      </c>
      <c r="N636" s="100">
        <f t="shared" ca="1" si="187"/>
        <v>4</v>
      </c>
      <c r="O636" s="136">
        <f t="shared" ca="1" si="188"/>
        <v>2.6973744602864622</v>
      </c>
      <c r="P636" s="136">
        <f t="shared" ca="1" si="189"/>
        <v>26.973744602864617</v>
      </c>
      <c r="Q636" s="136">
        <f t="shared" ca="1" si="190"/>
        <v>26.973744602864617</v>
      </c>
      <c r="R636" s="136">
        <f t="shared" ca="1" si="191"/>
        <v>2.6973744602864618</v>
      </c>
      <c r="S636" s="136">
        <f t="shared" ca="1" si="192"/>
        <v>2.6973744602864622</v>
      </c>
      <c r="T636" s="104">
        <f t="shared" ca="1" si="193"/>
        <v>0</v>
      </c>
      <c r="U636" s="120">
        <f t="shared" ca="1" si="194"/>
        <v>1211.0695270312358</v>
      </c>
      <c r="V636" s="104">
        <f t="shared" ca="1" si="195"/>
        <v>0</v>
      </c>
      <c r="W636" s="133">
        <f t="shared" ca="1" si="196"/>
        <v>6532.799674384948</v>
      </c>
      <c r="X636" s="104">
        <f t="shared" ca="1" si="197"/>
        <v>0</v>
      </c>
    </row>
    <row r="637" spans="1:24" x14ac:dyDescent="0.2">
      <c r="A637" s="98">
        <v>0</v>
      </c>
      <c r="B637" s="98">
        <v>2</v>
      </c>
      <c r="C637" s="98">
        <f t="shared" si="179"/>
        <v>6</v>
      </c>
      <c r="D637" s="98">
        <f t="shared" si="180"/>
        <v>5</v>
      </c>
      <c r="E637" s="98">
        <f t="shared" si="181"/>
        <v>0</v>
      </c>
      <c r="F637" s="118">
        <f t="shared" ca="1" si="182"/>
        <v>4.9318214399999991E-2</v>
      </c>
      <c r="G637" s="98">
        <v>0</v>
      </c>
      <c r="H637" s="98">
        <v>1</v>
      </c>
      <c r="I637" s="98">
        <v>1</v>
      </c>
      <c r="J637" s="118">
        <f t="shared" ca="1" si="183"/>
        <v>0</v>
      </c>
      <c r="K637" s="118">
        <f t="shared" ca="1" si="184"/>
        <v>0</v>
      </c>
      <c r="L637" s="133">
        <f t="shared" ca="1" si="185"/>
        <v>180</v>
      </c>
      <c r="M637" s="130">
        <f t="shared" ca="1" si="186"/>
        <v>820</v>
      </c>
      <c r="N637" s="100">
        <f t="shared" ca="1" si="187"/>
        <v>4</v>
      </c>
      <c r="O637" s="136">
        <f t="shared" ca="1" si="188"/>
        <v>2.6973744602864622</v>
      </c>
      <c r="P637" s="136">
        <f t="shared" ca="1" si="189"/>
        <v>26.973744602864617</v>
      </c>
      <c r="Q637" s="136">
        <f t="shared" ca="1" si="190"/>
        <v>26.973744602864617</v>
      </c>
      <c r="R637" s="136">
        <f t="shared" ca="1" si="191"/>
        <v>2.6973744602864618</v>
      </c>
      <c r="S637" s="136">
        <f t="shared" ca="1" si="192"/>
        <v>2.6973744602864622</v>
      </c>
      <c r="T637" s="104">
        <f t="shared" ca="1" si="193"/>
        <v>0</v>
      </c>
      <c r="U637" s="120">
        <f t="shared" ca="1" si="194"/>
        <v>1199.0695270312358</v>
      </c>
      <c r="V637" s="104">
        <f t="shared" ca="1" si="195"/>
        <v>0</v>
      </c>
      <c r="W637" s="133">
        <f t="shared" ca="1" si="196"/>
        <v>4355.1997829232987</v>
      </c>
      <c r="X637" s="104">
        <f t="shared" ca="1" si="197"/>
        <v>0</v>
      </c>
    </row>
    <row r="638" spans="1:24" x14ac:dyDescent="0.2">
      <c r="A638" s="98">
        <v>0</v>
      </c>
      <c r="B638" s="98">
        <v>2</v>
      </c>
      <c r="C638" s="98">
        <f t="shared" si="179"/>
        <v>6</v>
      </c>
      <c r="D638" s="98">
        <f t="shared" si="180"/>
        <v>5</v>
      </c>
      <c r="E638" s="98">
        <f t="shared" si="181"/>
        <v>0</v>
      </c>
      <c r="F638" s="118">
        <f t="shared" ca="1" si="182"/>
        <v>4.9318214399999991E-2</v>
      </c>
      <c r="G638" s="98">
        <v>0</v>
      </c>
      <c r="H638" s="98">
        <v>1</v>
      </c>
      <c r="I638" s="98">
        <v>0</v>
      </c>
      <c r="J638" s="118">
        <f t="shared" ca="1" si="183"/>
        <v>0</v>
      </c>
      <c r="K638" s="118">
        <f t="shared" ca="1" si="184"/>
        <v>0</v>
      </c>
      <c r="L638" s="133">
        <f t="shared" ca="1" si="185"/>
        <v>168</v>
      </c>
      <c r="M638" s="130">
        <f t="shared" ca="1" si="186"/>
        <v>832</v>
      </c>
      <c r="N638" s="100">
        <f t="shared" ca="1" si="187"/>
        <v>4</v>
      </c>
      <c r="O638" s="136">
        <f t="shared" ca="1" si="188"/>
        <v>2.6973744602864622</v>
      </c>
      <c r="P638" s="136">
        <f t="shared" ca="1" si="189"/>
        <v>26.973744602864617</v>
      </c>
      <c r="Q638" s="136">
        <f t="shared" ca="1" si="190"/>
        <v>26.973744602864617</v>
      </c>
      <c r="R638" s="136">
        <f t="shared" ca="1" si="191"/>
        <v>2.6973744602864618</v>
      </c>
      <c r="S638" s="136">
        <f t="shared" ca="1" si="192"/>
        <v>2.6973744602864622</v>
      </c>
      <c r="T638" s="104">
        <f t="shared" ca="1" si="193"/>
        <v>0</v>
      </c>
      <c r="U638" s="120">
        <f t="shared" ca="1" si="194"/>
        <v>1187.0695270312358</v>
      </c>
      <c r="V638" s="104">
        <f t="shared" ca="1" si="195"/>
        <v>0</v>
      </c>
      <c r="W638" s="133">
        <f t="shared" ca="1" si="196"/>
        <v>2177.5998914616493</v>
      </c>
      <c r="X638" s="104">
        <f t="shared" ca="1" si="197"/>
        <v>0</v>
      </c>
    </row>
    <row r="639" spans="1:24" x14ac:dyDescent="0.2">
      <c r="A639" s="98">
        <v>0</v>
      </c>
      <c r="B639" s="98">
        <v>2</v>
      </c>
      <c r="C639" s="98">
        <f t="shared" si="179"/>
        <v>6</v>
      </c>
      <c r="D639" s="98">
        <f t="shared" si="180"/>
        <v>5</v>
      </c>
      <c r="E639" s="98">
        <f t="shared" si="181"/>
        <v>0</v>
      </c>
      <c r="F639" s="118">
        <f t="shared" ca="1" si="182"/>
        <v>4.9318214399999991E-2</v>
      </c>
      <c r="G639" s="98">
        <v>0</v>
      </c>
      <c r="H639" s="98">
        <v>0</v>
      </c>
      <c r="I639" s="98">
        <v>7</v>
      </c>
      <c r="J639" s="118">
        <f t="shared" si="183"/>
        <v>0</v>
      </c>
      <c r="K639" s="118">
        <f t="shared" ca="1" si="184"/>
        <v>0</v>
      </c>
      <c r="L639" s="133">
        <f t="shared" ca="1" si="185"/>
        <v>84</v>
      </c>
      <c r="M639" s="130">
        <f t="shared" ca="1" si="186"/>
        <v>916</v>
      </c>
      <c r="N639" s="100">
        <f t="shared" ca="1" si="187"/>
        <v>5</v>
      </c>
      <c r="O639" s="136">
        <f t="shared" ca="1" si="188"/>
        <v>3.301004590397413</v>
      </c>
      <c r="P639" s="136">
        <f t="shared" ca="1" si="189"/>
        <v>33.010045903974124</v>
      </c>
      <c r="Q639" s="136">
        <f t="shared" ca="1" si="190"/>
        <v>33.010045903974124</v>
      </c>
      <c r="R639" s="136">
        <f t="shared" ca="1" si="191"/>
        <v>3.3010045903974126</v>
      </c>
      <c r="S639" s="136">
        <f t="shared" ca="1" si="192"/>
        <v>3.3010045903974126</v>
      </c>
      <c r="T639" s="104">
        <f t="shared" ca="1" si="193"/>
        <v>0</v>
      </c>
      <c r="U639" s="120">
        <f t="shared" ca="1" si="194"/>
        <v>1323.3671890482913</v>
      </c>
      <c r="V639" s="104">
        <f t="shared" ca="1" si="195"/>
        <v>0</v>
      </c>
      <c r="W639" s="133">
        <f t="shared" ca="1" si="196"/>
        <v>15243.199240231546</v>
      </c>
      <c r="X639" s="104">
        <f t="shared" ca="1" si="197"/>
        <v>0</v>
      </c>
    </row>
    <row r="640" spans="1:24" x14ac:dyDescent="0.2">
      <c r="A640" s="98">
        <v>0</v>
      </c>
      <c r="B640" s="98">
        <v>2</v>
      </c>
      <c r="C640" s="98">
        <f t="shared" si="179"/>
        <v>6</v>
      </c>
      <c r="D640" s="98">
        <f t="shared" si="180"/>
        <v>5</v>
      </c>
      <c r="E640" s="98">
        <f t="shared" si="181"/>
        <v>0</v>
      </c>
      <c r="F640" s="118">
        <f t="shared" ca="1" si="182"/>
        <v>4.9318214399999991E-2</v>
      </c>
      <c r="G640" s="98">
        <v>0</v>
      </c>
      <c r="H640" s="98">
        <v>0</v>
      </c>
      <c r="I640" s="98">
        <v>6</v>
      </c>
      <c r="J640" s="118">
        <f t="shared" si="183"/>
        <v>0</v>
      </c>
      <c r="K640" s="118">
        <f t="shared" ca="1" si="184"/>
        <v>0</v>
      </c>
      <c r="L640" s="133">
        <f t="shared" ca="1" si="185"/>
        <v>72</v>
      </c>
      <c r="M640" s="130">
        <f t="shared" ca="1" si="186"/>
        <v>928</v>
      </c>
      <c r="N640" s="100">
        <f t="shared" ca="1" si="187"/>
        <v>5</v>
      </c>
      <c r="O640" s="136">
        <f t="shared" ca="1" si="188"/>
        <v>3.301004590397413</v>
      </c>
      <c r="P640" s="136">
        <f t="shared" ca="1" si="189"/>
        <v>33.010045903974124</v>
      </c>
      <c r="Q640" s="136">
        <f t="shared" ca="1" si="190"/>
        <v>33.010045903974124</v>
      </c>
      <c r="R640" s="136">
        <f t="shared" ca="1" si="191"/>
        <v>3.3010045903974126</v>
      </c>
      <c r="S640" s="136">
        <f t="shared" ca="1" si="192"/>
        <v>3.3010045903974126</v>
      </c>
      <c r="T640" s="104">
        <f t="shared" ca="1" si="193"/>
        <v>0</v>
      </c>
      <c r="U640" s="120">
        <f t="shared" ca="1" si="194"/>
        <v>1311.3671890482913</v>
      </c>
      <c r="V640" s="104">
        <f t="shared" ca="1" si="195"/>
        <v>0</v>
      </c>
      <c r="W640" s="133">
        <f t="shared" ca="1" si="196"/>
        <v>13065.599348769898</v>
      </c>
      <c r="X640" s="104">
        <f t="shared" ca="1" si="197"/>
        <v>0</v>
      </c>
    </row>
    <row r="641" spans="1:24" x14ac:dyDescent="0.2">
      <c r="A641" s="98">
        <v>0</v>
      </c>
      <c r="B641" s="98">
        <v>2</v>
      </c>
      <c r="C641" s="98">
        <f t="shared" si="179"/>
        <v>6</v>
      </c>
      <c r="D641" s="98">
        <f t="shared" si="180"/>
        <v>5</v>
      </c>
      <c r="E641" s="98">
        <f t="shared" si="181"/>
        <v>0</v>
      </c>
      <c r="F641" s="118">
        <f t="shared" ca="1" si="182"/>
        <v>4.9318214399999991E-2</v>
      </c>
      <c r="G641" s="98">
        <v>0</v>
      </c>
      <c r="H641" s="98">
        <v>0</v>
      </c>
      <c r="I641" s="98">
        <v>5</v>
      </c>
      <c r="J641" s="118">
        <f t="shared" ca="1" si="183"/>
        <v>3.8689046875000001E-2</v>
      </c>
      <c r="K641" s="118">
        <f t="shared" ca="1" si="184"/>
        <v>1.9080747087128996E-3</v>
      </c>
      <c r="L641" s="133">
        <f t="shared" ca="1" si="185"/>
        <v>60</v>
      </c>
      <c r="M641" s="130">
        <f t="shared" ca="1" si="186"/>
        <v>940</v>
      </c>
      <c r="N641" s="100">
        <f t="shared" ca="1" si="187"/>
        <v>5</v>
      </c>
      <c r="O641" s="136">
        <f t="shared" ca="1" si="188"/>
        <v>3.301004590397413</v>
      </c>
      <c r="P641" s="136">
        <f t="shared" ca="1" si="189"/>
        <v>33.010045903974124</v>
      </c>
      <c r="Q641" s="136">
        <f t="shared" ca="1" si="190"/>
        <v>33.010045903974124</v>
      </c>
      <c r="R641" s="136">
        <f t="shared" ca="1" si="191"/>
        <v>3.3010045903974126</v>
      </c>
      <c r="S641" s="136">
        <f t="shared" ca="1" si="192"/>
        <v>3.3010045903974126</v>
      </c>
      <c r="T641" s="104">
        <f t="shared" ca="1" si="193"/>
        <v>6.2985633722824879E-3</v>
      </c>
      <c r="U641" s="120">
        <f t="shared" ca="1" si="194"/>
        <v>1299.3671890482913</v>
      </c>
      <c r="V641" s="104">
        <f t="shared" ca="1" si="195"/>
        <v>2.4792896707544174</v>
      </c>
      <c r="W641" s="133">
        <f t="shared" ca="1" si="196"/>
        <v>10887.999457308248</v>
      </c>
      <c r="X641" s="104">
        <f t="shared" ca="1" si="197"/>
        <v>20.775116392969643</v>
      </c>
    </row>
    <row r="642" spans="1:24" x14ac:dyDescent="0.2">
      <c r="A642" s="98">
        <v>0</v>
      </c>
      <c r="B642" s="98">
        <v>2</v>
      </c>
      <c r="C642" s="98">
        <f t="shared" si="179"/>
        <v>6</v>
      </c>
      <c r="D642" s="98">
        <f t="shared" si="180"/>
        <v>5</v>
      </c>
      <c r="E642" s="98">
        <f t="shared" si="181"/>
        <v>0</v>
      </c>
      <c r="F642" s="118">
        <f t="shared" ca="1" si="182"/>
        <v>4.9318214399999991E-2</v>
      </c>
      <c r="G642" s="98">
        <v>0</v>
      </c>
      <c r="H642" s="98">
        <v>0</v>
      </c>
      <c r="I642" s="98">
        <v>4</v>
      </c>
      <c r="J642" s="118">
        <f t="shared" ca="1" si="183"/>
        <v>1.0181328125000009E-2</v>
      </c>
      <c r="K642" s="118">
        <f t="shared" ca="1" si="184"/>
        <v>5.0212492334550027E-4</v>
      </c>
      <c r="L642" s="133">
        <f t="shared" ca="1" si="185"/>
        <v>48</v>
      </c>
      <c r="M642" s="130">
        <f t="shared" ca="1" si="186"/>
        <v>952</v>
      </c>
      <c r="N642" s="100">
        <f t="shared" ca="1" si="187"/>
        <v>5</v>
      </c>
      <c r="O642" s="136">
        <f t="shared" ca="1" si="188"/>
        <v>3.301004590397413</v>
      </c>
      <c r="P642" s="136">
        <f t="shared" ca="1" si="189"/>
        <v>33.010045903974124</v>
      </c>
      <c r="Q642" s="136">
        <f t="shared" ca="1" si="190"/>
        <v>33.010045903974124</v>
      </c>
      <c r="R642" s="136">
        <f t="shared" ca="1" si="191"/>
        <v>3.3010045903974126</v>
      </c>
      <c r="S642" s="136">
        <f t="shared" ca="1" si="192"/>
        <v>3.3010045903974126</v>
      </c>
      <c r="T642" s="104">
        <f t="shared" ca="1" si="193"/>
        <v>1.6575166769164454E-3</v>
      </c>
      <c r="U642" s="120">
        <f t="shared" ca="1" si="194"/>
        <v>1287.3671890482913</v>
      </c>
      <c r="V642" s="104">
        <f t="shared" ca="1" si="195"/>
        <v>0.64641915111838544</v>
      </c>
      <c r="W642" s="133">
        <f t="shared" ca="1" si="196"/>
        <v>8710.3995658465974</v>
      </c>
      <c r="X642" s="104">
        <f t="shared" ca="1" si="197"/>
        <v>4.3737087143094016</v>
      </c>
    </row>
    <row r="643" spans="1:24" x14ac:dyDescent="0.2">
      <c r="A643" s="98">
        <v>0</v>
      </c>
      <c r="B643" s="98">
        <v>2</v>
      </c>
      <c r="C643" s="98">
        <f t="shared" si="179"/>
        <v>6</v>
      </c>
      <c r="D643" s="98">
        <f t="shared" si="180"/>
        <v>5</v>
      </c>
      <c r="E643" s="98">
        <f t="shared" si="181"/>
        <v>0</v>
      </c>
      <c r="F643" s="118">
        <f t="shared" ca="1" si="182"/>
        <v>4.9318214399999991E-2</v>
      </c>
      <c r="G643" s="98">
        <v>0</v>
      </c>
      <c r="H643" s="98">
        <v>0</v>
      </c>
      <c r="I643" s="98">
        <v>3</v>
      </c>
      <c r="J643" s="118">
        <f t="shared" ca="1" si="183"/>
        <v>1.0717187500000017E-3</v>
      </c>
      <c r="K643" s="118">
        <f t="shared" ca="1" si="184"/>
        <v>5.2855255089000075E-5</v>
      </c>
      <c r="L643" s="133">
        <f t="shared" ca="1" si="185"/>
        <v>36</v>
      </c>
      <c r="M643" s="130">
        <f t="shared" ca="1" si="186"/>
        <v>964</v>
      </c>
      <c r="N643" s="100">
        <f t="shared" ca="1" si="187"/>
        <v>5</v>
      </c>
      <c r="O643" s="136">
        <f t="shared" ca="1" si="188"/>
        <v>3.301004590397413</v>
      </c>
      <c r="P643" s="136">
        <f t="shared" ca="1" si="189"/>
        <v>33.010045903974124</v>
      </c>
      <c r="Q643" s="136">
        <f t="shared" ca="1" si="190"/>
        <v>33.010045903974124</v>
      </c>
      <c r="R643" s="136">
        <f t="shared" ca="1" si="191"/>
        <v>3.3010045903974126</v>
      </c>
      <c r="S643" s="136">
        <f t="shared" ca="1" si="192"/>
        <v>3.3010045903974126</v>
      </c>
      <c r="T643" s="104">
        <f t="shared" ca="1" si="193"/>
        <v>1.7447543967541546E-4</v>
      </c>
      <c r="U643" s="120">
        <f t="shared" ca="1" si="194"/>
        <v>1275.3671890482913</v>
      </c>
      <c r="V643" s="104">
        <f t="shared" ca="1" si="195"/>
        <v>6.7409858109288415E-2</v>
      </c>
      <c r="W643" s="133">
        <f t="shared" ca="1" si="196"/>
        <v>6532.799674384949</v>
      </c>
      <c r="X643" s="104">
        <f t="shared" ca="1" si="197"/>
        <v>0.3452927932349531</v>
      </c>
    </row>
    <row r="644" spans="1:24" x14ac:dyDescent="0.2">
      <c r="A644" s="98">
        <v>0</v>
      </c>
      <c r="B644" s="98">
        <v>2</v>
      </c>
      <c r="C644" s="98">
        <f t="shared" si="179"/>
        <v>6</v>
      </c>
      <c r="D644" s="98">
        <f t="shared" si="180"/>
        <v>5</v>
      </c>
      <c r="E644" s="98">
        <f t="shared" si="181"/>
        <v>0</v>
      </c>
      <c r="F644" s="118">
        <f t="shared" ca="1" si="182"/>
        <v>4.9318214399999991E-2</v>
      </c>
      <c r="G644" s="98">
        <v>0</v>
      </c>
      <c r="H644" s="98">
        <v>0</v>
      </c>
      <c r="I644" s="98">
        <v>2</v>
      </c>
      <c r="J644" s="118">
        <f t="shared" ca="1" si="183"/>
        <v>5.6406250000000155E-5</v>
      </c>
      <c r="K644" s="118">
        <f t="shared" ca="1" si="184"/>
        <v>2.7818555310000069E-6</v>
      </c>
      <c r="L644" s="133">
        <f t="shared" ca="1" si="185"/>
        <v>24</v>
      </c>
      <c r="M644" s="130">
        <f t="shared" ca="1" si="186"/>
        <v>976</v>
      </c>
      <c r="N644" s="100">
        <f t="shared" ca="1" si="187"/>
        <v>5</v>
      </c>
      <c r="O644" s="136">
        <f t="shared" ca="1" si="188"/>
        <v>3.301004590397413</v>
      </c>
      <c r="P644" s="136">
        <f t="shared" ca="1" si="189"/>
        <v>33.010045903974124</v>
      </c>
      <c r="Q644" s="136">
        <f t="shared" ca="1" si="190"/>
        <v>33.010045903974124</v>
      </c>
      <c r="R644" s="136">
        <f t="shared" ca="1" si="191"/>
        <v>3.3010045903974126</v>
      </c>
      <c r="S644" s="136">
        <f t="shared" ca="1" si="192"/>
        <v>3.3010045903974126</v>
      </c>
      <c r="T644" s="104">
        <f t="shared" ca="1" si="193"/>
        <v>9.1829178776534539E-6</v>
      </c>
      <c r="U644" s="120">
        <f t="shared" ca="1" si="194"/>
        <v>1263.3671890482913</v>
      </c>
      <c r="V644" s="104">
        <f t="shared" ca="1" si="195"/>
        <v>3.5145050025379206E-3</v>
      </c>
      <c r="W644" s="133">
        <f t="shared" ca="1" si="196"/>
        <v>4355.1997829232987</v>
      </c>
      <c r="X644" s="104">
        <f t="shared" ca="1" si="197"/>
        <v>1.2115536604735208E-2</v>
      </c>
    </row>
    <row r="645" spans="1:24" x14ac:dyDescent="0.2">
      <c r="A645" s="98">
        <v>0</v>
      </c>
      <c r="B645" s="98">
        <v>2</v>
      </c>
      <c r="C645" s="98">
        <f t="shared" si="179"/>
        <v>6</v>
      </c>
      <c r="D645" s="98">
        <f t="shared" si="180"/>
        <v>5</v>
      </c>
      <c r="E645" s="98">
        <f t="shared" si="181"/>
        <v>0</v>
      </c>
      <c r="F645" s="118">
        <f t="shared" ca="1" si="182"/>
        <v>4.9318214399999991E-2</v>
      </c>
      <c r="G645" s="98">
        <v>0</v>
      </c>
      <c r="H645" s="98">
        <v>0</v>
      </c>
      <c r="I645" s="98">
        <v>1</v>
      </c>
      <c r="J645" s="118">
        <f t="shared" ca="1" si="183"/>
        <v>1.4843750000000054E-6</v>
      </c>
      <c r="K645" s="118">
        <f t="shared" ca="1" si="184"/>
        <v>7.3206724500000246E-8</v>
      </c>
      <c r="L645" s="133">
        <f t="shared" ca="1" si="185"/>
        <v>12</v>
      </c>
      <c r="M645" s="130">
        <f t="shared" ca="1" si="186"/>
        <v>988</v>
      </c>
      <c r="N645" s="100">
        <f t="shared" ca="1" si="187"/>
        <v>5</v>
      </c>
      <c r="O645" s="136">
        <f t="shared" ca="1" si="188"/>
        <v>3.301004590397413</v>
      </c>
      <c r="P645" s="136">
        <f t="shared" ca="1" si="189"/>
        <v>33.010045903974124</v>
      </c>
      <c r="Q645" s="136">
        <f t="shared" ca="1" si="190"/>
        <v>33.010045903974124</v>
      </c>
      <c r="R645" s="136">
        <f t="shared" ca="1" si="191"/>
        <v>3.3010045903974126</v>
      </c>
      <c r="S645" s="136">
        <f t="shared" ca="1" si="192"/>
        <v>3.3010045903974126</v>
      </c>
      <c r="T645" s="104">
        <f t="shared" ca="1" si="193"/>
        <v>2.4165573362245957E-7</v>
      </c>
      <c r="U645" s="120">
        <f t="shared" ca="1" si="194"/>
        <v>1251.3671890482913</v>
      </c>
      <c r="V645" s="104">
        <f t="shared" ca="1" si="195"/>
        <v>9.1608493056997989E-5</v>
      </c>
      <c r="W645" s="133">
        <f t="shared" ca="1" si="196"/>
        <v>2177.5998914616493</v>
      </c>
      <c r="X645" s="104">
        <f t="shared" ca="1" si="197"/>
        <v>1.5941495532546341E-4</v>
      </c>
    </row>
    <row r="646" spans="1:24" x14ac:dyDescent="0.2">
      <c r="A646" s="98">
        <v>0</v>
      </c>
      <c r="B646" s="98">
        <v>2</v>
      </c>
      <c r="C646" s="98">
        <f t="shared" si="179"/>
        <v>6</v>
      </c>
      <c r="D646" s="98">
        <f t="shared" si="180"/>
        <v>5</v>
      </c>
      <c r="E646" s="98">
        <f t="shared" si="181"/>
        <v>0</v>
      </c>
      <c r="F646" s="118">
        <f t="shared" ca="1" si="182"/>
        <v>4.9318214399999991E-2</v>
      </c>
      <c r="G646" s="98">
        <v>0</v>
      </c>
      <c r="H646" s="98">
        <v>0</v>
      </c>
      <c r="I646" s="98">
        <v>0</v>
      </c>
      <c r="J646" s="118">
        <f t="shared" ca="1" si="183"/>
        <v>1.5625000000000072E-8</v>
      </c>
      <c r="K646" s="118">
        <f t="shared" ca="1" si="184"/>
        <v>7.7059710000000342E-10</v>
      </c>
      <c r="L646" s="133">
        <f t="shared" ca="1" si="185"/>
        <v>0</v>
      </c>
      <c r="M646" s="130">
        <f t="shared" ca="1" si="186"/>
        <v>1000</v>
      </c>
      <c r="N646" s="100">
        <f t="shared" ca="1" si="187"/>
        <v>5</v>
      </c>
      <c r="O646" s="136">
        <f t="shared" ca="1" si="188"/>
        <v>3.301004590397413</v>
      </c>
      <c r="P646" s="136">
        <f t="shared" ca="1" si="189"/>
        <v>33.010045903974124</v>
      </c>
      <c r="Q646" s="136">
        <f t="shared" ca="1" si="190"/>
        <v>33.010045903974124</v>
      </c>
      <c r="R646" s="136">
        <f t="shared" ca="1" si="191"/>
        <v>3.3010045903974126</v>
      </c>
      <c r="S646" s="136">
        <f t="shared" ca="1" si="192"/>
        <v>3.3010045903974126</v>
      </c>
      <c r="T646" s="104">
        <f t="shared" ca="1" si="193"/>
        <v>2.5437445644469451E-9</v>
      </c>
      <c r="U646" s="120">
        <f t="shared" ca="1" si="194"/>
        <v>1239.3671890482913</v>
      </c>
      <c r="V646" s="104">
        <f t="shared" ca="1" si="195"/>
        <v>9.5505276171576934E-7</v>
      </c>
      <c r="W646" s="133">
        <f t="shared" ca="1" si="196"/>
        <v>0</v>
      </c>
      <c r="X646" s="104">
        <f t="shared" ca="1" si="197"/>
        <v>0</v>
      </c>
    </row>
    <row r="647" spans="1:24" x14ac:dyDescent="0.2">
      <c r="A647" s="98">
        <v>0</v>
      </c>
      <c r="B647" s="98">
        <v>3</v>
      </c>
      <c r="C647" s="98">
        <f t="shared" si="179"/>
        <v>7</v>
      </c>
      <c r="D647" s="98">
        <f t="shared" si="180"/>
        <v>6</v>
      </c>
      <c r="E647" s="98">
        <f t="shared" si="181"/>
        <v>0</v>
      </c>
      <c r="F647" s="118">
        <f t="shared" ca="1" si="182"/>
        <v>1.6947839999999999E-2</v>
      </c>
      <c r="G647" s="98">
        <v>1</v>
      </c>
      <c r="H647" s="98">
        <v>1</v>
      </c>
      <c r="I647" s="98">
        <v>7</v>
      </c>
      <c r="J647" s="118">
        <f t="shared" si="183"/>
        <v>0</v>
      </c>
      <c r="K647" s="118">
        <f t="shared" ca="1" si="184"/>
        <v>0</v>
      </c>
      <c r="L647" s="133">
        <f t="shared" ca="1" si="185"/>
        <v>420</v>
      </c>
      <c r="M647" s="130">
        <f t="shared" ca="1" si="186"/>
        <v>580</v>
      </c>
      <c r="N647" s="100">
        <f t="shared" ca="1" si="187"/>
        <v>3</v>
      </c>
      <c r="O647" s="136">
        <f t="shared" ca="1" si="188"/>
        <v>2.1177215542739054</v>
      </c>
      <c r="P647" s="136">
        <f t="shared" ca="1" si="189"/>
        <v>21.177215542739059</v>
      </c>
      <c r="Q647" s="136">
        <f t="shared" ca="1" si="190"/>
        <v>21.177215542739059</v>
      </c>
      <c r="R647" s="136">
        <f t="shared" ca="1" si="191"/>
        <v>2.1177215542739058</v>
      </c>
      <c r="S647" s="136">
        <f t="shared" ca="1" si="192"/>
        <v>2.1177215542739054</v>
      </c>
      <c r="T647" s="104">
        <f t="shared" ca="1" si="193"/>
        <v>0</v>
      </c>
      <c r="U647" s="120">
        <f t="shared" ca="1" si="194"/>
        <v>1227.5224659982036</v>
      </c>
      <c r="V647" s="104">
        <f t="shared" ca="1" si="195"/>
        <v>0</v>
      </c>
      <c r="W647" s="133">
        <f t="shared" ca="1" si="196"/>
        <v>19881.48700904486</v>
      </c>
      <c r="X647" s="104">
        <f t="shared" ca="1" si="197"/>
        <v>0</v>
      </c>
    </row>
    <row r="648" spans="1:24" x14ac:dyDescent="0.2">
      <c r="A648" s="98">
        <v>0</v>
      </c>
      <c r="B648" s="98">
        <v>3</v>
      </c>
      <c r="C648" s="98">
        <f t="shared" si="179"/>
        <v>7</v>
      </c>
      <c r="D648" s="98">
        <f t="shared" si="180"/>
        <v>6</v>
      </c>
      <c r="E648" s="98">
        <f t="shared" si="181"/>
        <v>0</v>
      </c>
      <c r="F648" s="118">
        <f t="shared" ca="1" si="182"/>
        <v>1.6947839999999999E-2</v>
      </c>
      <c r="G648" s="98">
        <v>1</v>
      </c>
      <c r="H648" s="98">
        <v>1</v>
      </c>
      <c r="I648" s="98">
        <v>6</v>
      </c>
      <c r="J648" s="118">
        <f t="shared" ca="1" si="183"/>
        <v>0</v>
      </c>
      <c r="K648" s="118">
        <f t="shared" ca="1" si="184"/>
        <v>0</v>
      </c>
      <c r="L648" s="133">
        <f t="shared" ca="1" si="185"/>
        <v>408</v>
      </c>
      <c r="M648" s="130">
        <f t="shared" ca="1" si="186"/>
        <v>592</v>
      </c>
      <c r="N648" s="100">
        <f t="shared" ca="1" si="187"/>
        <v>3</v>
      </c>
      <c r="O648" s="136">
        <f t="shared" ca="1" si="188"/>
        <v>2.1177215542739054</v>
      </c>
      <c r="P648" s="136">
        <f t="shared" ca="1" si="189"/>
        <v>21.177215542739059</v>
      </c>
      <c r="Q648" s="136">
        <f t="shared" ca="1" si="190"/>
        <v>21.177215542739059</v>
      </c>
      <c r="R648" s="136">
        <f t="shared" ca="1" si="191"/>
        <v>2.1177215542739058</v>
      </c>
      <c r="S648" s="136">
        <f t="shared" ca="1" si="192"/>
        <v>2.1177215542739054</v>
      </c>
      <c r="T648" s="104">
        <f t="shared" ca="1" si="193"/>
        <v>0</v>
      </c>
      <c r="U648" s="120">
        <f t="shared" ca="1" si="194"/>
        <v>1215.5224659982036</v>
      </c>
      <c r="V648" s="104">
        <f t="shared" ca="1" si="195"/>
        <v>0</v>
      </c>
      <c r="W648" s="133">
        <f t="shared" ca="1" si="196"/>
        <v>17703.88711758321</v>
      </c>
      <c r="X648" s="104">
        <f t="shared" ca="1" si="197"/>
        <v>0</v>
      </c>
    </row>
    <row r="649" spans="1:24" x14ac:dyDescent="0.2">
      <c r="A649" s="98">
        <v>0</v>
      </c>
      <c r="B649" s="98">
        <v>3</v>
      </c>
      <c r="C649" s="98">
        <f t="shared" si="179"/>
        <v>7</v>
      </c>
      <c r="D649" s="98">
        <f t="shared" si="180"/>
        <v>6</v>
      </c>
      <c r="E649" s="98">
        <f t="shared" si="181"/>
        <v>0</v>
      </c>
      <c r="F649" s="118">
        <f t="shared" ca="1" si="182"/>
        <v>1.6947839999999999E-2</v>
      </c>
      <c r="G649" s="98">
        <v>1</v>
      </c>
      <c r="H649" s="98">
        <v>1</v>
      </c>
      <c r="I649" s="98">
        <v>5</v>
      </c>
      <c r="J649" s="118">
        <f t="shared" ca="1" si="183"/>
        <v>0</v>
      </c>
      <c r="K649" s="118">
        <f t="shared" ca="1" si="184"/>
        <v>0</v>
      </c>
      <c r="L649" s="133">
        <f t="shared" ca="1" si="185"/>
        <v>396</v>
      </c>
      <c r="M649" s="130">
        <f t="shared" ca="1" si="186"/>
        <v>604</v>
      </c>
      <c r="N649" s="100">
        <f t="shared" ca="1" si="187"/>
        <v>3</v>
      </c>
      <c r="O649" s="136">
        <f t="shared" ca="1" si="188"/>
        <v>2.1177215542739054</v>
      </c>
      <c r="P649" s="136">
        <f t="shared" ca="1" si="189"/>
        <v>21.177215542739059</v>
      </c>
      <c r="Q649" s="136">
        <f t="shared" ca="1" si="190"/>
        <v>21.177215542739059</v>
      </c>
      <c r="R649" s="136">
        <f t="shared" ca="1" si="191"/>
        <v>2.1177215542739058</v>
      </c>
      <c r="S649" s="136">
        <f t="shared" ca="1" si="192"/>
        <v>2.1177215542739054</v>
      </c>
      <c r="T649" s="104">
        <f t="shared" ca="1" si="193"/>
        <v>0</v>
      </c>
      <c r="U649" s="120">
        <f t="shared" ca="1" si="194"/>
        <v>1203.5224659982036</v>
      </c>
      <c r="V649" s="104">
        <f t="shared" ca="1" si="195"/>
        <v>0</v>
      </c>
      <c r="W649" s="133">
        <f t="shared" ca="1" si="196"/>
        <v>15526.28722612156</v>
      </c>
      <c r="X649" s="104">
        <f t="shared" ca="1" si="197"/>
        <v>0</v>
      </c>
    </row>
    <row r="650" spans="1:24" x14ac:dyDescent="0.2">
      <c r="A650" s="98">
        <v>0</v>
      </c>
      <c r="B650" s="98">
        <v>3</v>
      </c>
      <c r="C650" s="98">
        <f t="shared" si="179"/>
        <v>7</v>
      </c>
      <c r="D650" s="98">
        <f t="shared" si="180"/>
        <v>6</v>
      </c>
      <c r="E650" s="98">
        <f t="shared" si="181"/>
        <v>0</v>
      </c>
      <c r="F650" s="118">
        <f t="shared" ca="1" si="182"/>
        <v>1.6947839999999999E-2</v>
      </c>
      <c r="G650" s="98">
        <v>1</v>
      </c>
      <c r="H650" s="98">
        <v>1</v>
      </c>
      <c r="I650" s="98">
        <v>4</v>
      </c>
      <c r="J650" s="118">
        <f t="shared" ca="1" si="183"/>
        <v>0</v>
      </c>
      <c r="K650" s="118">
        <f t="shared" ca="1" si="184"/>
        <v>0</v>
      </c>
      <c r="L650" s="133">
        <f t="shared" ca="1" si="185"/>
        <v>384</v>
      </c>
      <c r="M650" s="130">
        <f t="shared" ca="1" si="186"/>
        <v>616</v>
      </c>
      <c r="N650" s="100">
        <f t="shared" ca="1" si="187"/>
        <v>3</v>
      </c>
      <c r="O650" s="136">
        <f t="shared" ca="1" si="188"/>
        <v>2.1177215542739054</v>
      </c>
      <c r="P650" s="136">
        <f t="shared" ca="1" si="189"/>
        <v>21.177215542739059</v>
      </c>
      <c r="Q650" s="136">
        <f t="shared" ca="1" si="190"/>
        <v>21.177215542739059</v>
      </c>
      <c r="R650" s="136">
        <f t="shared" ca="1" si="191"/>
        <v>2.1177215542739058</v>
      </c>
      <c r="S650" s="136">
        <f t="shared" ca="1" si="192"/>
        <v>2.1177215542739054</v>
      </c>
      <c r="T650" s="104">
        <f t="shared" ca="1" si="193"/>
        <v>0</v>
      </c>
      <c r="U650" s="120">
        <f t="shared" ca="1" si="194"/>
        <v>1191.5224659982036</v>
      </c>
      <c r="V650" s="104">
        <f t="shared" ca="1" si="195"/>
        <v>0</v>
      </c>
      <c r="W650" s="133">
        <f t="shared" ca="1" si="196"/>
        <v>13348.68733465991</v>
      </c>
      <c r="X650" s="104">
        <f t="shared" ca="1" si="197"/>
        <v>0</v>
      </c>
    </row>
    <row r="651" spans="1:24" x14ac:dyDescent="0.2">
      <c r="A651" s="98">
        <v>0</v>
      </c>
      <c r="B651" s="98">
        <v>3</v>
      </c>
      <c r="C651" s="98">
        <f t="shared" si="179"/>
        <v>7</v>
      </c>
      <c r="D651" s="98">
        <f t="shared" si="180"/>
        <v>6</v>
      </c>
      <c r="E651" s="98">
        <f t="shared" si="181"/>
        <v>0</v>
      </c>
      <c r="F651" s="118">
        <f t="shared" ca="1" si="182"/>
        <v>1.6947839999999999E-2</v>
      </c>
      <c r="G651" s="98">
        <v>1</v>
      </c>
      <c r="H651" s="98">
        <v>1</v>
      </c>
      <c r="I651" s="98">
        <v>3</v>
      </c>
      <c r="J651" s="118">
        <f t="shared" ca="1" si="183"/>
        <v>0</v>
      </c>
      <c r="K651" s="118">
        <f t="shared" ca="1" si="184"/>
        <v>0</v>
      </c>
      <c r="L651" s="133">
        <f t="shared" ca="1" si="185"/>
        <v>372</v>
      </c>
      <c r="M651" s="130">
        <f t="shared" ca="1" si="186"/>
        <v>628</v>
      </c>
      <c r="N651" s="100">
        <f t="shared" ca="1" si="187"/>
        <v>3</v>
      </c>
      <c r="O651" s="136">
        <f t="shared" ca="1" si="188"/>
        <v>2.1177215542739054</v>
      </c>
      <c r="P651" s="136">
        <f t="shared" ca="1" si="189"/>
        <v>21.177215542739059</v>
      </c>
      <c r="Q651" s="136">
        <f t="shared" ca="1" si="190"/>
        <v>21.177215542739059</v>
      </c>
      <c r="R651" s="136">
        <f t="shared" ca="1" si="191"/>
        <v>2.1177215542739058</v>
      </c>
      <c r="S651" s="136">
        <f t="shared" ca="1" si="192"/>
        <v>2.1177215542739054</v>
      </c>
      <c r="T651" s="104">
        <f t="shared" ca="1" si="193"/>
        <v>0</v>
      </c>
      <c r="U651" s="120">
        <f t="shared" ca="1" si="194"/>
        <v>1179.5224659982036</v>
      </c>
      <c r="V651" s="104">
        <f t="shared" ca="1" si="195"/>
        <v>0</v>
      </c>
      <c r="W651" s="133">
        <f t="shared" ca="1" si="196"/>
        <v>11171.087443198263</v>
      </c>
      <c r="X651" s="104">
        <f t="shared" ca="1" si="197"/>
        <v>0</v>
      </c>
    </row>
    <row r="652" spans="1:24" x14ac:dyDescent="0.2">
      <c r="A652" s="98">
        <v>0</v>
      </c>
      <c r="B652" s="98">
        <v>3</v>
      </c>
      <c r="C652" s="98">
        <f t="shared" si="179"/>
        <v>7</v>
      </c>
      <c r="D652" s="98">
        <f t="shared" si="180"/>
        <v>6</v>
      </c>
      <c r="E652" s="98">
        <f t="shared" si="181"/>
        <v>0</v>
      </c>
      <c r="F652" s="118">
        <f t="shared" ca="1" si="182"/>
        <v>1.6947839999999999E-2</v>
      </c>
      <c r="G652" s="98">
        <v>1</v>
      </c>
      <c r="H652" s="98">
        <v>1</v>
      </c>
      <c r="I652" s="98">
        <v>2</v>
      </c>
      <c r="J652" s="118">
        <f t="shared" ca="1" si="183"/>
        <v>0</v>
      </c>
      <c r="K652" s="118">
        <f t="shared" ca="1" si="184"/>
        <v>0</v>
      </c>
      <c r="L652" s="133">
        <f t="shared" ca="1" si="185"/>
        <v>360</v>
      </c>
      <c r="M652" s="130">
        <f t="shared" ca="1" si="186"/>
        <v>640</v>
      </c>
      <c r="N652" s="100">
        <f t="shared" ca="1" si="187"/>
        <v>3</v>
      </c>
      <c r="O652" s="136">
        <f t="shared" ca="1" si="188"/>
        <v>2.1177215542739054</v>
      </c>
      <c r="P652" s="136">
        <f t="shared" ca="1" si="189"/>
        <v>21.177215542739059</v>
      </c>
      <c r="Q652" s="136">
        <f t="shared" ca="1" si="190"/>
        <v>21.177215542739059</v>
      </c>
      <c r="R652" s="136">
        <f t="shared" ca="1" si="191"/>
        <v>2.1177215542739058</v>
      </c>
      <c r="S652" s="136">
        <f t="shared" ca="1" si="192"/>
        <v>2.1177215542739054</v>
      </c>
      <c r="T652" s="104">
        <f t="shared" ca="1" si="193"/>
        <v>0</v>
      </c>
      <c r="U652" s="120">
        <f t="shared" ca="1" si="194"/>
        <v>1167.5224659982036</v>
      </c>
      <c r="V652" s="104">
        <f t="shared" ca="1" si="195"/>
        <v>0</v>
      </c>
      <c r="W652" s="133">
        <f t="shared" ca="1" si="196"/>
        <v>8993.4875517366127</v>
      </c>
      <c r="X652" s="104">
        <f t="shared" ca="1" si="197"/>
        <v>0</v>
      </c>
    </row>
    <row r="653" spans="1:24" x14ac:dyDescent="0.2">
      <c r="A653" s="98">
        <v>0</v>
      </c>
      <c r="B653" s="98">
        <v>3</v>
      </c>
      <c r="C653" s="98">
        <f t="shared" si="179"/>
        <v>7</v>
      </c>
      <c r="D653" s="98">
        <f t="shared" si="180"/>
        <v>6</v>
      </c>
      <c r="E653" s="98">
        <f t="shared" si="181"/>
        <v>0</v>
      </c>
      <c r="F653" s="118">
        <f t="shared" ca="1" si="182"/>
        <v>1.6947839999999999E-2</v>
      </c>
      <c r="G653" s="98">
        <v>1</v>
      </c>
      <c r="H653" s="98">
        <v>1</v>
      </c>
      <c r="I653" s="98">
        <v>1</v>
      </c>
      <c r="J653" s="118">
        <f t="shared" ca="1" si="183"/>
        <v>0</v>
      </c>
      <c r="K653" s="118">
        <f t="shared" ca="1" si="184"/>
        <v>0</v>
      </c>
      <c r="L653" s="133">
        <f t="shared" ca="1" si="185"/>
        <v>348</v>
      </c>
      <c r="M653" s="130">
        <f t="shared" ca="1" si="186"/>
        <v>652</v>
      </c>
      <c r="N653" s="100">
        <f t="shared" ca="1" si="187"/>
        <v>4</v>
      </c>
      <c r="O653" s="136">
        <f t="shared" ca="1" si="188"/>
        <v>2.6973744602864622</v>
      </c>
      <c r="P653" s="136">
        <f t="shared" ca="1" si="189"/>
        <v>21.177215542739059</v>
      </c>
      <c r="Q653" s="136">
        <f t="shared" ca="1" si="190"/>
        <v>21.177215542739059</v>
      </c>
      <c r="R653" s="136">
        <f t="shared" ca="1" si="191"/>
        <v>2.1177215542739058</v>
      </c>
      <c r="S653" s="136">
        <f t="shared" ca="1" si="192"/>
        <v>2.5060890013023185</v>
      </c>
      <c r="T653" s="104">
        <f t="shared" ca="1" si="193"/>
        <v>0</v>
      </c>
      <c r="U653" s="120">
        <f t="shared" ca="1" si="194"/>
        <v>1297.2589968903351</v>
      </c>
      <c r="V653" s="104">
        <f t="shared" ca="1" si="195"/>
        <v>0</v>
      </c>
      <c r="W653" s="133">
        <f t="shared" ca="1" si="196"/>
        <v>6815.8876602749624</v>
      </c>
      <c r="X653" s="104">
        <f t="shared" ca="1" si="197"/>
        <v>0</v>
      </c>
    </row>
    <row r="654" spans="1:24" x14ac:dyDescent="0.2">
      <c r="A654" s="98">
        <v>0</v>
      </c>
      <c r="B654" s="98">
        <v>3</v>
      </c>
      <c r="C654" s="98">
        <f t="shared" si="179"/>
        <v>7</v>
      </c>
      <c r="D654" s="98">
        <f t="shared" si="180"/>
        <v>6</v>
      </c>
      <c r="E654" s="98">
        <f t="shared" si="181"/>
        <v>0</v>
      </c>
      <c r="F654" s="118">
        <f t="shared" ca="1" si="182"/>
        <v>1.6947839999999999E-2</v>
      </c>
      <c r="G654" s="98">
        <v>1</v>
      </c>
      <c r="H654" s="98">
        <v>1</v>
      </c>
      <c r="I654" s="98">
        <v>0</v>
      </c>
      <c r="J654" s="118">
        <f t="shared" ca="1" si="183"/>
        <v>0</v>
      </c>
      <c r="K654" s="118">
        <f t="shared" ca="1" si="184"/>
        <v>0</v>
      </c>
      <c r="L654" s="133">
        <f t="shared" ca="1" si="185"/>
        <v>336</v>
      </c>
      <c r="M654" s="130">
        <f t="shared" ca="1" si="186"/>
        <v>664</v>
      </c>
      <c r="N654" s="100">
        <f t="shared" ca="1" si="187"/>
        <v>4</v>
      </c>
      <c r="O654" s="136">
        <f t="shared" ca="1" si="188"/>
        <v>2.6973744602864622</v>
      </c>
      <c r="P654" s="136">
        <f t="shared" ca="1" si="189"/>
        <v>26.973744602864617</v>
      </c>
      <c r="Q654" s="136">
        <f t="shared" ca="1" si="190"/>
        <v>22.336521354764173</v>
      </c>
      <c r="R654" s="136">
        <f t="shared" ca="1" si="191"/>
        <v>2.4655132978814391</v>
      </c>
      <c r="S654" s="136">
        <f t="shared" ca="1" si="192"/>
        <v>2.6208602766928046</v>
      </c>
      <c r="T654" s="104">
        <f t="shared" ca="1" si="193"/>
        <v>0</v>
      </c>
      <c r="U654" s="120">
        <f t="shared" ca="1" si="194"/>
        <v>1327.1453149748754</v>
      </c>
      <c r="V654" s="104">
        <f t="shared" ca="1" si="195"/>
        <v>0</v>
      </c>
      <c r="W654" s="133">
        <f t="shared" ca="1" si="196"/>
        <v>4638.2877688133131</v>
      </c>
      <c r="X654" s="104">
        <f t="shared" ca="1" si="197"/>
        <v>0</v>
      </c>
    </row>
    <row r="655" spans="1:24" x14ac:dyDescent="0.2">
      <c r="A655" s="98">
        <v>0</v>
      </c>
      <c r="B655" s="98">
        <v>3</v>
      </c>
      <c r="C655" s="98">
        <f t="shared" si="179"/>
        <v>7</v>
      </c>
      <c r="D655" s="98">
        <f t="shared" si="180"/>
        <v>6</v>
      </c>
      <c r="E655" s="98">
        <f t="shared" si="181"/>
        <v>0</v>
      </c>
      <c r="F655" s="118">
        <f t="shared" ca="1" si="182"/>
        <v>1.6947839999999999E-2</v>
      </c>
      <c r="G655" s="98">
        <v>1</v>
      </c>
      <c r="H655" s="98">
        <v>0</v>
      </c>
      <c r="I655" s="98">
        <v>7</v>
      </c>
      <c r="J655" s="118">
        <f t="shared" si="183"/>
        <v>0</v>
      </c>
      <c r="K655" s="118">
        <f t="shared" ca="1" si="184"/>
        <v>0</v>
      </c>
      <c r="L655" s="133">
        <f t="shared" ca="1" si="185"/>
        <v>252</v>
      </c>
      <c r="M655" s="130">
        <f t="shared" ca="1" si="186"/>
        <v>748</v>
      </c>
      <c r="N655" s="100">
        <f t="shared" ca="1" si="187"/>
        <v>4</v>
      </c>
      <c r="O655" s="136">
        <f t="shared" ca="1" si="188"/>
        <v>2.6973744602864622</v>
      </c>
      <c r="P655" s="136">
        <f t="shared" ca="1" si="189"/>
        <v>26.973744602864617</v>
      </c>
      <c r="Q655" s="136">
        <f t="shared" ca="1" si="190"/>
        <v>26.973744602864617</v>
      </c>
      <c r="R655" s="136">
        <f t="shared" ca="1" si="191"/>
        <v>2.6973744602864618</v>
      </c>
      <c r="S655" s="136">
        <f t="shared" ca="1" si="192"/>
        <v>2.6973744602864622</v>
      </c>
      <c r="T655" s="104">
        <f t="shared" ca="1" si="193"/>
        <v>0</v>
      </c>
      <c r="U655" s="120">
        <f t="shared" ca="1" si="194"/>
        <v>1271.0695270312358</v>
      </c>
      <c r="V655" s="104">
        <f t="shared" ca="1" si="195"/>
        <v>0</v>
      </c>
      <c r="W655" s="133">
        <f t="shared" ca="1" si="196"/>
        <v>17703.88711758321</v>
      </c>
      <c r="X655" s="104">
        <f t="shared" ca="1" si="197"/>
        <v>0</v>
      </c>
    </row>
    <row r="656" spans="1:24" x14ac:dyDescent="0.2">
      <c r="A656" s="98">
        <v>0</v>
      </c>
      <c r="B656" s="98">
        <v>3</v>
      </c>
      <c r="C656" s="98">
        <f t="shared" si="179"/>
        <v>7</v>
      </c>
      <c r="D656" s="98">
        <f t="shared" si="180"/>
        <v>6</v>
      </c>
      <c r="E656" s="98">
        <f t="shared" si="181"/>
        <v>0</v>
      </c>
      <c r="F656" s="118">
        <f t="shared" ca="1" si="182"/>
        <v>1.6947839999999999E-2</v>
      </c>
      <c r="G656" s="98">
        <v>1</v>
      </c>
      <c r="H656" s="98">
        <v>0</v>
      </c>
      <c r="I656" s="98">
        <v>6</v>
      </c>
      <c r="J656" s="118">
        <f t="shared" ca="1" si="183"/>
        <v>0.69833729609374984</v>
      </c>
      <c r="K656" s="118">
        <f t="shared" ca="1" si="184"/>
        <v>1.1835308760229497E-2</v>
      </c>
      <c r="L656" s="133">
        <f t="shared" ca="1" si="185"/>
        <v>240</v>
      </c>
      <c r="M656" s="130">
        <f t="shared" ca="1" si="186"/>
        <v>760</v>
      </c>
      <c r="N656" s="100">
        <f t="shared" ca="1" si="187"/>
        <v>4</v>
      </c>
      <c r="O656" s="136">
        <f t="shared" ca="1" si="188"/>
        <v>2.6973744602864622</v>
      </c>
      <c r="P656" s="136">
        <f t="shared" ca="1" si="189"/>
        <v>26.973744602864617</v>
      </c>
      <c r="Q656" s="136">
        <f t="shared" ca="1" si="190"/>
        <v>26.973744602864617</v>
      </c>
      <c r="R656" s="136">
        <f t="shared" ca="1" si="191"/>
        <v>2.6973744602864618</v>
      </c>
      <c r="S656" s="136">
        <f t="shared" ca="1" si="192"/>
        <v>2.6973744602864622</v>
      </c>
      <c r="T656" s="104">
        <f t="shared" ca="1" si="193"/>
        <v>3.1924259579447674E-2</v>
      </c>
      <c r="U656" s="120">
        <f t="shared" ca="1" si="194"/>
        <v>1259.0695270312358</v>
      </c>
      <c r="V656" s="104">
        <f t="shared" ca="1" si="195"/>
        <v>14.901476603010794</v>
      </c>
      <c r="W656" s="133">
        <f t="shared" ca="1" si="196"/>
        <v>15526.287226121562</v>
      </c>
      <c r="X656" s="104">
        <f t="shared" ca="1" si="197"/>
        <v>183.75840322115585</v>
      </c>
    </row>
    <row r="657" spans="1:24" x14ac:dyDescent="0.2">
      <c r="A657" s="98">
        <v>0</v>
      </c>
      <c r="B657" s="98">
        <v>3</v>
      </c>
      <c r="C657" s="98">
        <f t="shared" si="179"/>
        <v>7</v>
      </c>
      <c r="D657" s="98">
        <f t="shared" si="180"/>
        <v>6</v>
      </c>
      <c r="E657" s="98">
        <f t="shared" si="181"/>
        <v>0</v>
      </c>
      <c r="F657" s="118">
        <f t="shared" ca="1" si="182"/>
        <v>1.6947839999999999E-2</v>
      </c>
      <c r="G657" s="98">
        <v>1</v>
      </c>
      <c r="H657" s="98">
        <v>0</v>
      </c>
      <c r="I657" s="98">
        <v>5</v>
      </c>
      <c r="J657" s="118">
        <f t="shared" ca="1" si="183"/>
        <v>0.22052756718750019</v>
      </c>
      <c r="K657" s="118">
        <f t="shared" ca="1" si="184"/>
        <v>3.7374659242830031E-3</v>
      </c>
      <c r="L657" s="133">
        <f t="shared" ca="1" si="185"/>
        <v>228</v>
      </c>
      <c r="M657" s="130">
        <f t="shared" ca="1" si="186"/>
        <v>772</v>
      </c>
      <c r="N657" s="100">
        <f t="shared" ca="1" si="187"/>
        <v>4</v>
      </c>
      <c r="O657" s="136">
        <f t="shared" ca="1" si="188"/>
        <v>2.6973744602864622</v>
      </c>
      <c r="P657" s="136">
        <f t="shared" ca="1" si="189"/>
        <v>26.973744602864617</v>
      </c>
      <c r="Q657" s="136">
        <f t="shared" ca="1" si="190"/>
        <v>26.973744602864617</v>
      </c>
      <c r="R657" s="136">
        <f t="shared" ca="1" si="191"/>
        <v>2.6973744602864618</v>
      </c>
      <c r="S657" s="136">
        <f t="shared" ca="1" si="192"/>
        <v>2.6973744602864622</v>
      </c>
      <c r="T657" s="104">
        <f t="shared" ca="1" si="193"/>
        <v>1.008134513035191E-2</v>
      </c>
      <c r="U657" s="120">
        <f t="shared" ca="1" si="194"/>
        <v>1247.0695270312358</v>
      </c>
      <c r="V657" s="104">
        <f t="shared" ca="1" si="195"/>
        <v>4.6608798624909653</v>
      </c>
      <c r="W657" s="133">
        <f t="shared" ca="1" si="196"/>
        <v>13348.687334659911</v>
      </c>
      <c r="X657" s="104">
        <f t="shared" ca="1" si="197"/>
        <v>49.890264047199523</v>
      </c>
    </row>
    <row r="658" spans="1:24" x14ac:dyDescent="0.2">
      <c r="A658" s="98">
        <v>0</v>
      </c>
      <c r="B658" s="98">
        <v>3</v>
      </c>
      <c r="C658" s="98">
        <f t="shared" si="179"/>
        <v>7</v>
      </c>
      <c r="D658" s="98">
        <f t="shared" si="180"/>
        <v>6</v>
      </c>
      <c r="E658" s="98">
        <f t="shared" si="181"/>
        <v>0</v>
      </c>
      <c r="F658" s="118">
        <f t="shared" ca="1" si="182"/>
        <v>1.6947839999999999E-2</v>
      </c>
      <c r="G658" s="98">
        <v>1</v>
      </c>
      <c r="H658" s="98">
        <v>0</v>
      </c>
      <c r="I658" s="98">
        <v>4</v>
      </c>
      <c r="J658" s="118">
        <f t="shared" ca="1" si="183"/>
        <v>2.9016785156250047E-2</v>
      </c>
      <c r="K658" s="118">
        <f t="shared" ca="1" si="184"/>
        <v>4.9177183214250074E-4</v>
      </c>
      <c r="L658" s="133">
        <f t="shared" ca="1" si="185"/>
        <v>216</v>
      </c>
      <c r="M658" s="130">
        <f t="shared" ca="1" si="186"/>
        <v>784</v>
      </c>
      <c r="N658" s="100">
        <f t="shared" ca="1" si="187"/>
        <v>4</v>
      </c>
      <c r="O658" s="136">
        <f t="shared" ca="1" si="188"/>
        <v>2.6973744602864622</v>
      </c>
      <c r="P658" s="136">
        <f t="shared" ca="1" si="189"/>
        <v>26.973744602864617</v>
      </c>
      <c r="Q658" s="136">
        <f t="shared" ca="1" si="190"/>
        <v>26.973744602864617</v>
      </c>
      <c r="R658" s="136">
        <f t="shared" ca="1" si="191"/>
        <v>2.6973744602864618</v>
      </c>
      <c r="S658" s="136">
        <f t="shared" ca="1" si="192"/>
        <v>2.6973744602864622</v>
      </c>
      <c r="T658" s="104">
        <f t="shared" ca="1" si="193"/>
        <v>1.3264927803094627E-3</v>
      </c>
      <c r="U658" s="120">
        <f t="shared" ca="1" si="194"/>
        <v>1235.0695270312358</v>
      </c>
      <c r="V658" s="104">
        <f t="shared" ca="1" si="195"/>
        <v>0.60737240413152271</v>
      </c>
      <c r="W658" s="133">
        <f t="shared" ca="1" si="196"/>
        <v>11171.087443198261</v>
      </c>
      <c r="X658" s="104">
        <f t="shared" ca="1" si="197"/>
        <v>5.4936261389656931</v>
      </c>
    </row>
    <row r="659" spans="1:24" x14ac:dyDescent="0.2">
      <c r="A659" s="98">
        <v>0</v>
      </c>
      <c r="B659" s="98">
        <v>3</v>
      </c>
      <c r="C659" s="98">
        <f t="shared" si="179"/>
        <v>7</v>
      </c>
      <c r="D659" s="98">
        <f t="shared" si="180"/>
        <v>6</v>
      </c>
      <c r="E659" s="98">
        <f t="shared" si="181"/>
        <v>0</v>
      </c>
      <c r="F659" s="118">
        <f t="shared" ca="1" si="182"/>
        <v>1.6947839999999999E-2</v>
      </c>
      <c r="G659" s="98">
        <v>1</v>
      </c>
      <c r="H659" s="98">
        <v>0</v>
      </c>
      <c r="I659" s="98">
        <v>3</v>
      </c>
      <c r="J659" s="118">
        <f t="shared" ca="1" si="183"/>
        <v>2.0362656250000047E-3</v>
      </c>
      <c r="K659" s="118">
        <f t="shared" ca="1" si="184"/>
        <v>3.4510304010000076E-5</v>
      </c>
      <c r="L659" s="133">
        <f t="shared" ca="1" si="185"/>
        <v>204</v>
      </c>
      <c r="M659" s="130">
        <f t="shared" ca="1" si="186"/>
        <v>796</v>
      </c>
      <c r="N659" s="100">
        <f t="shared" ca="1" si="187"/>
        <v>4</v>
      </c>
      <c r="O659" s="136">
        <f t="shared" ca="1" si="188"/>
        <v>2.6973744602864622</v>
      </c>
      <c r="P659" s="136">
        <f t="shared" ca="1" si="189"/>
        <v>26.973744602864617</v>
      </c>
      <c r="Q659" s="136">
        <f t="shared" ca="1" si="190"/>
        <v>26.973744602864617</v>
      </c>
      <c r="R659" s="136">
        <f t="shared" ca="1" si="191"/>
        <v>2.6973744602864618</v>
      </c>
      <c r="S659" s="136">
        <f t="shared" ca="1" si="192"/>
        <v>2.6973744602864622</v>
      </c>
      <c r="T659" s="104">
        <f t="shared" ca="1" si="193"/>
        <v>9.3087212653295687E-5</v>
      </c>
      <c r="U659" s="120">
        <f t="shared" ca="1" si="194"/>
        <v>1223.0695270312358</v>
      </c>
      <c r="V659" s="104">
        <f t="shared" ca="1" si="195"/>
        <v>4.2208501203214954E-2</v>
      </c>
      <c r="W659" s="133">
        <f t="shared" ca="1" si="196"/>
        <v>8993.4875517366127</v>
      </c>
      <c r="X659" s="104">
        <f t="shared" ca="1" si="197"/>
        <v>0.31036798952058181</v>
      </c>
    </row>
    <row r="660" spans="1:24" x14ac:dyDescent="0.2">
      <c r="A660" s="98">
        <v>0</v>
      </c>
      <c r="B660" s="98">
        <v>3</v>
      </c>
      <c r="C660" s="98">
        <f t="shared" si="179"/>
        <v>7</v>
      </c>
      <c r="D660" s="98">
        <f t="shared" si="180"/>
        <v>6</v>
      </c>
      <c r="E660" s="98">
        <f t="shared" si="181"/>
        <v>0</v>
      </c>
      <c r="F660" s="118">
        <f t="shared" ca="1" si="182"/>
        <v>1.6947839999999999E-2</v>
      </c>
      <c r="G660" s="98">
        <v>1</v>
      </c>
      <c r="H660" s="98">
        <v>0</v>
      </c>
      <c r="I660" s="98">
        <v>2</v>
      </c>
      <c r="J660" s="118">
        <f t="shared" ca="1" si="183"/>
        <v>8.0378906250000291E-5</v>
      </c>
      <c r="K660" s="118">
        <f t="shared" ca="1" si="184"/>
        <v>1.3622488425000048E-6</v>
      </c>
      <c r="L660" s="133">
        <f t="shared" ca="1" si="185"/>
        <v>192</v>
      </c>
      <c r="M660" s="130">
        <f t="shared" ca="1" si="186"/>
        <v>808</v>
      </c>
      <c r="N660" s="100">
        <f t="shared" ca="1" si="187"/>
        <v>4</v>
      </c>
      <c r="O660" s="136">
        <f t="shared" ca="1" si="188"/>
        <v>2.6973744602864622</v>
      </c>
      <c r="P660" s="136">
        <f t="shared" ca="1" si="189"/>
        <v>26.973744602864617</v>
      </c>
      <c r="Q660" s="136">
        <f t="shared" ca="1" si="190"/>
        <v>26.973744602864617</v>
      </c>
      <c r="R660" s="136">
        <f t="shared" ca="1" si="191"/>
        <v>2.6973744602864618</v>
      </c>
      <c r="S660" s="136">
        <f t="shared" ca="1" si="192"/>
        <v>2.6973744602864622</v>
      </c>
      <c r="T660" s="104">
        <f t="shared" ca="1" si="193"/>
        <v>3.6744952363143083E-6</v>
      </c>
      <c r="U660" s="120">
        <f t="shared" ca="1" si="194"/>
        <v>1211.0695270312358</v>
      </c>
      <c r="V660" s="104">
        <f t="shared" ca="1" si="195"/>
        <v>1.6497780613853293E-3</v>
      </c>
      <c r="W660" s="133">
        <f t="shared" ca="1" si="196"/>
        <v>6815.8876602749624</v>
      </c>
      <c r="X660" s="104">
        <f t="shared" ca="1" si="197"/>
        <v>9.2849350758196329E-3</v>
      </c>
    </row>
    <row r="661" spans="1:24" x14ac:dyDescent="0.2">
      <c r="A661" s="98">
        <v>0</v>
      </c>
      <c r="B661" s="98">
        <v>3</v>
      </c>
      <c r="C661" s="98">
        <f t="shared" si="179"/>
        <v>7</v>
      </c>
      <c r="D661" s="98">
        <f t="shared" si="180"/>
        <v>6</v>
      </c>
      <c r="E661" s="98">
        <f t="shared" si="181"/>
        <v>0</v>
      </c>
      <c r="F661" s="118">
        <f t="shared" ca="1" si="182"/>
        <v>1.6947839999999999E-2</v>
      </c>
      <c r="G661" s="98">
        <v>1</v>
      </c>
      <c r="H661" s="98">
        <v>0</v>
      </c>
      <c r="I661" s="98">
        <v>1</v>
      </c>
      <c r="J661" s="118">
        <f t="shared" ca="1" si="183"/>
        <v>1.6921875000000077E-6</v>
      </c>
      <c r="K661" s="118">
        <f t="shared" ca="1" si="184"/>
        <v>2.8678923000000129E-8</v>
      </c>
      <c r="L661" s="133">
        <f t="shared" ca="1" si="185"/>
        <v>180</v>
      </c>
      <c r="M661" s="130">
        <f t="shared" ca="1" si="186"/>
        <v>820</v>
      </c>
      <c r="N661" s="100">
        <f t="shared" ca="1" si="187"/>
        <v>4</v>
      </c>
      <c r="O661" s="136">
        <f t="shared" ca="1" si="188"/>
        <v>2.6973744602864622</v>
      </c>
      <c r="P661" s="136">
        <f t="shared" ca="1" si="189"/>
        <v>26.973744602864617</v>
      </c>
      <c r="Q661" s="136">
        <f t="shared" ca="1" si="190"/>
        <v>26.973744602864617</v>
      </c>
      <c r="R661" s="136">
        <f t="shared" ca="1" si="191"/>
        <v>2.6973744602864618</v>
      </c>
      <c r="S661" s="136">
        <f t="shared" ca="1" si="192"/>
        <v>2.6973744602864622</v>
      </c>
      <c r="T661" s="104">
        <f t="shared" ca="1" si="193"/>
        <v>7.7357794448722352E-8</v>
      </c>
      <c r="U661" s="120">
        <f t="shared" ca="1" si="194"/>
        <v>1199.0695270312358</v>
      </c>
      <c r="V661" s="104">
        <f t="shared" ca="1" si="195"/>
        <v>3.4388022637375383E-5</v>
      </c>
      <c r="W661" s="133">
        <f t="shared" ca="1" si="196"/>
        <v>4638.2877688133131</v>
      </c>
      <c r="X661" s="104">
        <f t="shared" ca="1" si="197"/>
        <v>1.330210977736394E-4</v>
      </c>
    </row>
    <row r="662" spans="1:24" x14ac:dyDescent="0.2">
      <c r="A662" s="98">
        <v>0</v>
      </c>
      <c r="B662" s="98">
        <v>3</v>
      </c>
      <c r="C662" s="98">
        <f t="shared" si="179"/>
        <v>7</v>
      </c>
      <c r="D662" s="98">
        <f t="shared" si="180"/>
        <v>6</v>
      </c>
      <c r="E662" s="98">
        <f t="shared" si="181"/>
        <v>0</v>
      </c>
      <c r="F662" s="118">
        <f t="shared" ca="1" si="182"/>
        <v>1.6947839999999999E-2</v>
      </c>
      <c r="G662" s="98">
        <v>1</v>
      </c>
      <c r="H662" s="98">
        <v>0</v>
      </c>
      <c r="I662" s="98">
        <v>0</v>
      </c>
      <c r="J662" s="118">
        <f t="shared" ca="1" si="183"/>
        <v>1.4843750000000078E-8</v>
      </c>
      <c r="K662" s="118">
        <f t="shared" ca="1" si="184"/>
        <v>2.5156950000000128E-10</v>
      </c>
      <c r="L662" s="133">
        <f t="shared" ca="1" si="185"/>
        <v>168</v>
      </c>
      <c r="M662" s="130">
        <f t="shared" ca="1" si="186"/>
        <v>832</v>
      </c>
      <c r="N662" s="100">
        <f t="shared" ca="1" si="187"/>
        <v>4</v>
      </c>
      <c r="O662" s="136">
        <f t="shared" ca="1" si="188"/>
        <v>2.6973744602864622</v>
      </c>
      <c r="P662" s="136">
        <f t="shared" ca="1" si="189"/>
        <v>26.973744602864617</v>
      </c>
      <c r="Q662" s="136">
        <f t="shared" ca="1" si="190"/>
        <v>26.973744602864617</v>
      </c>
      <c r="R662" s="136">
        <f t="shared" ca="1" si="191"/>
        <v>2.6973744602864618</v>
      </c>
      <c r="S662" s="136">
        <f t="shared" ca="1" si="192"/>
        <v>2.6973744602864622</v>
      </c>
      <c r="T662" s="104">
        <f t="shared" ca="1" si="193"/>
        <v>6.785771442870386E-10</v>
      </c>
      <c r="U662" s="120">
        <f t="shared" ca="1" si="194"/>
        <v>1187.0695270312358</v>
      </c>
      <c r="V662" s="104">
        <f t="shared" ca="1" si="195"/>
        <v>2.9863048738048597E-7</v>
      </c>
      <c r="W662" s="133">
        <f t="shared" ca="1" si="196"/>
        <v>2460.6878773516637</v>
      </c>
      <c r="X662" s="104">
        <f t="shared" ca="1" si="197"/>
        <v>6.1903401896142249E-7</v>
      </c>
    </row>
    <row r="663" spans="1:24" x14ac:dyDescent="0.2">
      <c r="A663" s="98">
        <v>0</v>
      </c>
      <c r="B663" s="98">
        <v>3</v>
      </c>
      <c r="C663" s="98">
        <f t="shared" si="179"/>
        <v>7</v>
      </c>
      <c r="D663" s="98">
        <f t="shared" si="180"/>
        <v>6</v>
      </c>
      <c r="E663" s="98">
        <f t="shared" si="181"/>
        <v>0</v>
      </c>
      <c r="F663" s="118">
        <f t="shared" ca="1" si="182"/>
        <v>1.6947839999999999E-2</v>
      </c>
      <c r="G663" s="98">
        <v>0</v>
      </c>
      <c r="H663" s="98">
        <v>1</v>
      </c>
      <c r="I663" s="98">
        <v>7</v>
      </c>
      <c r="J663" s="118">
        <f t="shared" si="183"/>
        <v>0</v>
      </c>
      <c r="K663" s="118">
        <f t="shared" ca="1" si="184"/>
        <v>0</v>
      </c>
      <c r="L663" s="133">
        <f t="shared" ca="1" si="185"/>
        <v>252</v>
      </c>
      <c r="M663" s="130">
        <f t="shared" ca="1" si="186"/>
        <v>748</v>
      </c>
      <c r="N663" s="100">
        <f t="shared" ca="1" si="187"/>
        <v>4</v>
      </c>
      <c r="O663" s="136">
        <f t="shared" ca="1" si="188"/>
        <v>2.6973744602864622</v>
      </c>
      <c r="P663" s="136">
        <f t="shared" ca="1" si="189"/>
        <v>26.973744602864617</v>
      </c>
      <c r="Q663" s="136">
        <f t="shared" ca="1" si="190"/>
        <v>26.973744602864617</v>
      </c>
      <c r="R663" s="136">
        <f t="shared" ca="1" si="191"/>
        <v>2.6973744602864618</v>
      </c>
      <c r="S663" s="136">
        <f t="shared" ca="1" si="192"/>
        <v>2.6973744602864622</v>
      </c>
      <c r="T663" s="104">
        <f t="shared" ca="1" si="193"/>
        <v>0</v>
      </c>
      <c r="U663" s="120">
        <f t="shared" ca="1" si="194"/>
        <v>1271.0695270312358</v>
      </c>
      <c r="V663" s="104">
        <f t="shared" ca="1" si="195"/>
        <v>0</v>
      </c>
      <c r="W663" s="133">
        <f t="shared" ca="1" si="196"/>
        <v>17420.799131693195</v>
      </c>
      <c r="X663" s="104">
        <f t="shared" ca="1" si="197"/>
        <v>0</v>
      </c>
    </row>
    <row r="664" spans="1:24" x14ac:dyDescent="0.2">
      <c r="A664" s="98">
        <v>0</v>
      </c>
      <c r="B664" s="98">
        <v>3</v>
      </c>
      <c r="C664" s="98">
        <f t="shared" si="179"/>
        <v>7</v>
      </c>
      <c r="D664" s="98">
        <f t="shared" si="180"/>
        <v>6</v>
      </c>
      <c r="E664" s="98">
        <f t="shared" si="181"/>
        <v>0</v>
      </c>
      <c r="F664" s="118">
        <f t="shared" ca="1" si="182"/>
        <v>1.6947839999999999E-2</v>
      </c>
      <c r="G664" s="98">
        <v>0</v>
      </c>
      <c r="H664" s="98">
        <v>1</v>
      </c>
      <c r="I664" s="98">
        <v>6</v>
      </c>
      <c r="J664" s="118">
        <f t="shared" ca="1" si="183"/>
        <v>0</v>
      </c>
      <c r="K664" s="118">
        <f t="shared" ca="1" si="184"/>
        <v>0</v>
      </c>
      <c r="L664" s="133">
        <f t="shared" ca="1" si="185"/>
        <v>240</v>
      </c>
      <c r="M664" s="130">
        <f t="shared" ca="1" si="186"/>
        <v>760</v>
      </c>
      <c r="N664" s="100">
        <f t="shared" ca="1" si="187"/>
        <v>4</v>
      </c>
      <c r="O664" s="136">
        <f t="shared" ca="1" si="188"/>
        <v>2.6973744602864622</v>
      </c>
      <c r="P664" s="136">
        <f t="shared" ca="1" si="189"/>
        <v>26.973744602864617</v>
      </c>
      <c r="Q664" s="136">
        <f t="shared" ca="1" si="190"/>
        <v>26.973744602864617</v>
      </c>
      <c r="R664" s="136">
        <f t="shared" ca="1" si="191"/>
        <v>2.6973744602864618</v>
      </c>
      <c r="S664" s="136">
        <f t="shared" ca="1" si="192"/>
        <v>2.6973744602864622</v>
      </c>
      <c r="T664" s="104">
        <f t="shared" ca="1" si="193"/>
        <v>0</v>
      </c>
      <c r="U664" s="120">
        <f t="shared" ca="1" si="194"/>
        <v>1259.0695270312358</v>
      </c>
      <c r="V664" s="104">
        <f t="shared" ca="1" si="195"/>
        <v>0</v>
      </c>
      <c r="W664" s="133">
        <f t="shared" ca="1" si="196"/>
        <v>15243.199240231548</v>
      </c>
      <c r="X664" s="104">
        <f t="shared" ca="1" si="197"/>
        <v>0</v>
      </c>
    </row>
    <row r="665" spans="1:24" x14ac:dyDescent="0.2">
      <c r="A665" s="98">
        <v>0</v>
      </c>
      <c r="B665" s="98">
        <v>3</v>
      </c>
      <c r="C665" s="98">
        <f t="shared" si="179"/>
        <v>7</v>
      </c>
      <c r="D665" s="98">
        <f t="shared" si="180"/>
        <v>6</v>
      </c>
      <c r="E665" s="98">
        <f t="shared" si="181"/>
        <v>0</v>
      </c>
      <c r="F665" s="118">
        <f t="shared" ca="1" si="182"/>
        <v>1.6947839999999999E-2</v>
      </c>
      <c r="G665" s="98">
        <v>0</v>
      </c>
      <c r="H665" s="98">
        <v>1</v>
      </c>
      <c r="I665" s="98">
        <v>5</v>
      </c>
      <c r="J665" s="118">
        <f t="shared" ca="1" si="183"/>
        <v>0</v>
      </c>
      <c r="K665" s="118">
        <f t="shared" ca="1" si="184"/>
        <v>0</v>
      </c>
      <c r="L665" s="133">
        <f t="shared" ca="1" si="185"/>
        <v>228</v>
      </c>
      <c r="M665" s="130">
        <f t="shared" ca="1" si="186"/>
        <v>772</v>
      </c>
      <c r="N665" s="100">
        <f t="shared" ca="1" si="187"/>
        <v>4</v>
      </c>
      <c r="O665" s="136">
        <f t="shared" ca="1" si="188"/>
        <v>2.6973744602864622</v>
      </c>
      <c r="P665" s="136">
        <f t="shared" ca="1" si="189"/>
        <v>26.973744602864617</v>
      </c>
      <c r="Q665" s="136">
        <f t="shared" ca="1" si="190"/>
        <v>26.973744602864617</v>
      </c>
      <c r="R665" s="136">
        <f t="shared" ca="1" si="191"/>
        <v>2.6973744602864618</v>
      </c>
      <c r="S665" s="136">
        <f t="shared" ca="1" si="192"/>
        <v>2.6973744602864622</v>
      </c>
      <c r="T665" s="104">
        <f t="shared" ca="1" si="193"/>
        <v>0</v>
      </c>
      <c r="U665" s="120">
        <f t="shared" ca="1" si="194"/>
        <v>1247.0695270312358</v>
      </c>
      <c r="V665" s="104">
        <f t="shared" ca="1" si="195"/>
        <v>0</v>
      </c>
      <c r="W665" s="133">
        <f t="shared" ca="1" si="196"/>
        <v>13065.599348769898</v>
      </c>
      <c r="X665" s="104">
        <f t="shared" ca="1" si="197"/>
        <v>0</v>
      </c>
    </row>
    <row r="666" spans="1:24" x14ac:dyDescent="0.2">
      <c r="A666" s="98">
        <v>0</v>
      </c>
      <c r="B666" s="98">
        <v>3</v>
      </c>
      <c r="C666" s="98">
        <f t="shared" si="179"/>
        <v>7</v>
      </c>
      <c r="D666" s="98">
        <f t="shared" si="180"/>
        <v>6</v>
      </c>
      <c r="E666" s="98">
        <f t="shared" si="181"/>
        <v>0</v>
      </c>
      <c r="F666" s="118">
        <f t="shared" ca="1" si="182"/>
        <v>1.6947839999999999E-2</v>
      </c>
      <c r="G666" s="98">
        <v>0</v>
      </c>
      <c r="H666" s="98">
        <v>1</v>
      </c>
      <c r="I666" s="98">
        <v>4</v>
      </c>
      <c r="J666" s="118">
        <f t="shared" ca="1" si="183"/>
        <v>0</v>
      </c>
      <c r="K666" s="118">
        <f t="shared" ca="1" si="184"/>
        <v>0</v>
      </c>
      <c r="L666" s="133">
        <f t="shared" ca="1" si="185"/>
        <v>216</v>
      </c>
      <c r="M666" s="130">
        <f t="shared" ca="1" si="186"/>
        <v>784</v>
      </c>
      <c r="N666" s="100">
        <f t="shared" ca="1" si="187"/>
        <v>4</v>
      </c>
      <c r="O666" s="136">
        <f t="shared" ca="1" si="188"/>
        <v>2.6973744602864622</v>
      </c>
      <c r="P666" s="136">
        <f t="shared" ca="1" si="189"/>
        <v>26.973744602864617</v>
      </c>
      <c r="Q666" s="136">
        <f t="shared" ca="1" si="190"/>
        <v>26.973744602864617</v>
      </c>
      <c r="R666" s="136">
        <f t="shared" ca="1" si="191"/>
        <v>2.6973744602864618</v>
      </c>
      <c r="S666" s="136">
        <f t="shared" ca="1" si="192"/>
        <v>2.6973744602864622</v>
      </c>
      <c r="T666" s="104">
        <f t="shared" ca="1" si="193"/>
        <v>0</v>
      </c>
      <c r="U666" s="120">
        <f t="shared" ca="1" si="194"/>
        <v>1235.0695270312358</v>
      </c>
      <c r="V666" s="104">
        <f t="shared" ca="1" si="195"/>
        <v>0</v>
      </c>
      <c r="W666" s="133">
        <f t="shared" ca="1" si="196"/>
        <v>10887.999457308248</v>
      </c>
      <c r="X666" s="104">
        <f t="shared" ca="1" si="197"/>
        <v>0</v>
      </c>
    </row>
    <row r="667" spans="1:24" x14ac:dyDescent="0.2">
      <c r="A667" s="98">
        <v>0</v>
      </c>
      <c r="B667" s="98">
        <v>3</v>
      </c>
      <c r="C667" s="98">
        <f t="shared" si="179"/>
        <v>7</v>
      </c>
      <c r="D667" s="98">
        <f t="shared" si="180"/>
        <v>6</v>
      </c>
      <c r="E667" s="98">
        <f t="shared" si="181"/>
        <v>0</v>
      </c>
      <c r="F667" s="118">
        <f t="shared" ca="1" si="182"/>
        <v>1.6947839999999999E-2</v>
      </c>
      <c r="G667" s="98">
        <v>0</v>
      </c>
      <c r="H667" s="98">
        <v>1</v>
      </c>
      <c r="I667" s="98">
        <v>3</v>
      </c>
      <c r="J667" s="118">
        <f t="shared" ca="1" si="183"/>
        <v>0</v>
      </c>
      <c r="K667" s="118">
        <f t="shared" ca="1" si="184"/>
        <v>0</v>
      </c>
      <c r="L667" s="133">
        <f t="shared" ca="1" si="185"/>
        <v>204</v>
      </c>
      <c r="M667" s="130">
        <f t="shared" ca="1" si="186"/>
        <v>796</v>
      </c>
      <c r="N667" s="100">
        <f t="shared" ca="1" si="187"/>
        <v>4</v>
      </c>
      <c r="O667" s="136">
        <f t="shared" ca="1" si="188"/>
        <v>2.6973744602864622</v>
      </c>
      <c r="P667" s="136">
        <f t="shared" ca="1" si="189"/>
        <v>26.973744602864617</v>
      </c>
      <c r="Q667" s="136">
        <f t="shared" ca="1" si="190"/>
        <v>26.973744602864617</v>
      </c>
      <c r="R667" s="136">
        <f t="shared" ca="1" si="191"/>
        <v>2.6973744602864618</v>
      </c>
      <c r="S667" s="136">
        <f t="shared" ca="1" si="192"/>
        <v>2.6973744602864622</v>
      </c>
      <c r="T667" s="104">
        <f t="shared" ca="1" si="193"/>
        <v>0</v>
      </c>
      <c r="U667" s="120">
        <f t="shared" ca="1" si="194"/>
        <v>1223.0695270312358</v>
      </c>
      <c r="V667" s="104">
        <f t="shared" ca="1" si="195"/>
        <v>0</v>
      </c>
      <c r="W667" s="133">
        <f t="shared" ca="1" si="196"/>
        <v>8710.3995658465974</v>
      </c>
      <c r="X667" s="104">
        <f t="shared" ca="1" si="197"/>
        <v>0</v>
      </c>
    </row>
    <row r="668" spans="1:24" x14ac:dyDescent="0.2">
      <c r="A668" s="98">
        <v>0</v>
      </c>
      <c r="B668" s="98">
        <v>3</v>
      </c>
      <c r="C668" s="98">
        <f t="shared" si="179"/>
        <v>7</v>
      </c>
      <c r="D668" s="98">
        <f t="shared" si="180"/>
        <v>6</v>
      </c>
      <c r="E668" s="98">
        <f t="shared" si="181"/>
        <v>0</v>
      </c>
      <c r="F668" s="118">
        <f t="shared" ca="1" si="182"/>
        <v>1.6947839999999999E-2</v>
      </c>
      <c r="G668" s="98">
        <v>0</v>
      </c>
      <c r="H668" s="98">
        <v>1</v>
      </c>
      <c r="I668" s="98">
        <v>2</v>
      </c>
      <c r="J668" s="118">
        <f t="shared" ca="1" si="183"/>
        <v>0</v>
      </c>
      <c r="K668" s="118">
        <f t="shared" ca="1" si="184"/>
        <v>0</v>
      </c>
      <c r="L668" s="133">
        <f t="shared" ca="1" si="185"/>
        <v>192</v>
      </c>
      <c r="M668" s="130">
        <f t="shared" ca="1" si="186"/>
        <v>808</v>
      </c>
      <c r="N668" s="100">
        <f t="shared" ca="1" si="187"/>
        <v>4</v>
      </c>
      <c r="O668" s="136">
        <f t="shared" ca="1" si="188"/>
        <v>2.6973744602864622</v>
      </c>
      <c r="P668" s="136">
        <f t="shared" ca="1" si="189"/>
        <v>26.973744602864617</v>
      </c>
      <c r="Q668" s="136">
        <f t="shared" ca="1" si="190"/>
        <v>26.973744602864617</v>
      </c>
      <c r="R668" s="136">
        <f t="shared" ca="1" si="191"/>
        <v>2.6973744602864618</v>
      </c>
      <c r="S668" s="136">
        <f t="shared" ca="1" si="192"/>
        <v>2.6973744602864622</v>
      </c>
      <c r="T668" s="104">
        <f t="shared" ca="1" si="193"/>
        <v>0</v>
      </c>
      <c r="U668" s="120">
        <f t="shared" ca="1" si="194"/>
        <v>1211.0695270312358</v>
      </c>
      <c r="V668" s="104">
        <f t="shared" ca="1" si="195"/>
        <v>0</v>
      </c>
      <c r="W668" s="133">
        <f t="shared" ca="1" si="196"/>
        <v>6532.799674384948</v>
      </c>
      <c r="X668" s="104">
        <f t="shared" ca="1" si="197"/>
        <v>0</v>
      </c>
    </row>
    <row r="669" spans="1:24" x14ac:dyDescent="0.2">
      <c r="A669" s="98">
        <v>0</v>
      </c>
      <c r="B669" s="98">
        <v>3</v>
      </c>
      <c r="C669" s="98">
        <f t="shared" si="179"/>
        <v>7</v>
      </c>
      <c r="D669" s="98">
        <f t="shared" si="180"/>
        <v>6</v>
      </c>
      <c r="E669" s="98">
        <f t="shared" si="181"/>
        <v>0</v>
      </c>
      <c r="F669" s="118">
        <f t="shared" ca="1" si="182"/>
        <v>1.6947839999999999E-2</v>
      </c>
      <c r="G669" s="98">
        <v>0</v>
      </c>
      <c r="H669" s="98">
        <v>1</v>
      </c>
      <c r="I669" s="98">
        <v>1</v>
      </c>
      <c r="J669" s="118">
        <f t="shared" ca="1" si="183"/>
        <v>0</v>
      </c>
      <c r="K669" s="118">
        <f t="shared" ca="1" si="184"/>
        <v>0</v>
      </c>
      <c r="L669" s="133">
        <f t="shared" ca="1" si="185"/>
        <v>180</v>
      </c>
      <c r="M669" s="130">
        <f t="shared" ca="1" si="186"/>
        <v>820</v>
      </c>
      <c r="N669" s="100">
        <f t="shared" ca="1" si="187"/>
        <v>4</v>
      </c>
      <c r="O669" s="136">
        <f t="shared" ca="1" si="188"/>
        <v>2.6973744602864622</v>
      </c>
      <c r="P669" s="136">
        <f t="shared" ca="1" si="189"/>
        <v>26.973744602864617</v>
      </c>
      <c r="Q669" s="136">
        <f t="shared" ca="1" si="190"/>
        <v>26.973744602864617</v>
      </c>
      <c r="R669" s="136">
        <f t="shared" ca="1" si="191"/>
        <v>2.6973744602864618</v>
      </c>
      <c r="S669" s="136">
        <f t="shared" ca="1" si="192"/>
        <v>2.6973744602864622</v>
      </c>
      <c r="T669" s="104">
        <f t="shared" ca="1" si="193"/>
        <v>0</v>
      </c>
      <c r="U669" s="120">
        <f t="shared" ca="1" si="194"/>
        <v>1199.0695270312358</v>
      </c>
      <c r="V669" s="104">
        <f t="shared" ca="1" si="195"/>
        <v>0</v>
      </c>
      <c r="W669" s="133">
        <f t="shared" ca="1" si="196"/>
        <v>4355.1997829232987</v>
      </c>
      <c r="X669" s="104">
        <f t="shared" ca="1" si="197"/>
        <v>0</v>
      </c>
    </row>
    <row r="670" spans="1:24" x14ac:dyDescent="0.2">
      <c r="A670" s="98">
        <v>0</v>
      </c>
      <c r="B670" s="98">
        <v>3</v>
      </c>
      <c r="C670" s="98">
        <f t="shared" si="179"/>
        <v>7</v>
      </c>
      <c r="D670" s="98">
        <f t="shared" si="180"/>
        <v>6</v>
      </c>
      <c r="E670" s="98">
        <f t="shared" si="181"/>
        <v>0</v>
      </c>
      <c r="F670" s="118">
        <f t="shared" ca="1" si="182"/>
        <v>1.6947839999999999E-2</v>
      </c>
      <c r="G670" s="98">
        <v>0</v>
      </c>
      <c r="H670" s="98">
        <v>1</v>
      </c>
      <c r="I670" s="98">
        <v>0</v>
      </c>
      <c r="J670" s="118">
        <f t="shared" ca="1" si="183"/>
        <v>0</v>
      </c>
      <c r="K670" s="118">
        <f t="shared" ca="1" si="184"/>
        <v>0</v>
      </c>
      <c r="L670" s="133">
        <f t="shared" ca="1" si="185"/>
        <v>168</v>
      </c>
      <c r="M670" s="130">
        <f t="shared" ca="1" si="186"/>
        <v>832</v>
      </c>
      <c r="N670" s="100">
        <f t="shared" ca="1" si="187"/>
        <v>4</v>
      </c>
      <c r="O670" s="136">
        <f t="shared" ca="1" si="188"/>
        <v>2.6973744602864622</v>
      </c>
      <c r="P670" s="136">
        <f t="shared" ca="1" si="189"/>
        <v>26.973744602864617</v>
      </c>
      <c r="Q670" s="136">
        <f t="shared" ca="1" si="190"/>
        <v>26.973744602864617</v>
      </c>
      <c r="R670" s="136">
        <f t="shared" ca="1" si="191"/>
        <v>2.6973744602864618</v>
      </c>
      <c r="S670" s="136">
        <f t="shared" ca="1" si="192"/>
        <v>2.6973744602864622</v>
      </c>
      <c r="T670" s="104">
        <f t="shared" ca="1" si="193"/>
        <v>0</v>
      </c>
      <c r="U670" s="120">
        <f t="shared" ca="1" si="194"/>
        <v>1187.0695270312358</v>
      </c>
      <c r="V670" s="104">
        <f t="shared" ca="1" si="195"/>
        <v>0</v>
      </c>
      <c r="W670" s="133">
        <f t="shared" ca="1" si="196"/>
        <v>2177.5998914616493</v>
      </c>
      <c r="X670" s="104">
        <f t="shared" ca="1" si="197"/>
        <v>0</v>
      </c>
    </row>
    <row r="671" spans="1:24" x14ac:dyDescent="0.2">
      <c r="A671" s="98">
        <v>0</v>
      </c>
      <c r="B671" s="98">
        <v>3</v>
      </c>
      <c r="C671" s="98">
        <f t="shared" si="179"/>
        <v>7</v>
      </c>
      <c r="D671" s="98">
        <f t="shared" si="180"/>
        <v>6</v>
      </c>
      <c r="E671" s="98">
        <f t="shared" si="181"/>
        <v>0</v>
      </c>
      <c r="F671" s="118">
        <f t="shared" ca="1" si="182"/>
        <v>1.6947839999999999E-2</v>
      </c>
      <c r="G671" s="98">
        <v>0</v>
      </c>
      <c r="H671" s="98">
        <v>0</v>
      </c>
      <c r="I671" s="98">
        <v>7</v>
      </c>
      <c r="J671" s="118">
        <f t="shared" si="183"/>
        <v>0</v>
      </c>
      <c r="K671" s="118">
        <f t="shared" ca="1" si="184"/>
        <v>0</v>
      </c>
      <c r="L671" s="133">
        <f t="shared" ca="1" si="185"/>
        <v>84</v>
      </c>
      <c r="M671" s="130">
        <f t="shared" ca="1" si="186"/>
        <v>916</v>
      </c>
      <c r="N671" s="100">
        <f t="shared" ca="1" si="187"/>
        <v>5</v>
      </c>
      <c r="O671" s="136">
        <f t="shared" ca="1" si="188"/>
        <v>3.301004590397413</v>
      </c>
      <c r="P671" s="136">
        <f t="shared" ca="1" si="189"/>
        <v>33.010045903974124</v>
      </c>
      <c r="Q671" s="136">
        <f t="shared" ca="1" si="190"/>
        <v>33.010045903974124</v>
      </c>
      <c r="R671" s="136">
        <f t="shared" ca="1" si="191"/>
        <v>3.3010045903974126</v>
      </c>
      <c r="S671" s="136">
        <f t="shared" ca="1" si="192"/>
        <v>3.3010045903974126</v>
      </c>
      <c r="T671" s="104">
        <f t="shared" ca="1" si="193"/>
        <v>0</v>
      </c>
      <c r="U671" s="120">
        <f t="shared" ca="1" si="194"/>
        <v>1323.3671890482913</v>
      </c>
      <c r="V671" s="104">
        <f t="shared" ca="1" si="195"/>
        <v>0</v>
      </c>
      <c r="W671" s="133">
        <f t="shared" ca="1" si="196"/>
        <v>15243.199240231546</v>
      </c>
      <c r="X671" s="104">
        <f t="shared" ca="1" si="197"/>
        <v>0</v>
      </c>
    </row>
    <row r="672" spans="1:24" x14ac:dyDescent="0.2">
      <c r="A672" s="98">
        <v>0</v>
      </c>
      <c r="B672" s="98">
        <v>3</v>
      </c>
      <c r="C672" s="98">
        <f t="shared" si="179"/>
        <v>7</v>
      </c>
      <c r="D672" s="98">
        <f t="shared" si="180"/>
        <v>6</v>
      </c>
      <c r="E672" s="98">
        <f t="shared" si="181"/>
        <v>0</v>
      </c>
      <c r="F672" s="118">
        <f t="shared" ca="1" si="182"/>
        <v>1.6947839999999999E-2</v>
      </c>
      <c r="G672" s="98">
        <v>0</v>
      </c>
      <c r="H672" s="98">
        <v>0</v>
      </c>
      <c r="I672" s="98">
        <v>6</v>
      </c>
      <c r="J672" s="118">
        <f t="shared" ca="1" si="183"/>
        <v>3.6754594531249997E-2</v>
      </c>
      <c r="K672" s="118">
        <f t="shared" ca="1" si="184"/>
        <v>6.2291098738049991E-4</v>
      </c>
      <c r="L672" s="133">
        <f t="shared" ca="1" si="185"/>
        <v>72</v>
      </c>
      <c r="M672" s="130">
        <f t="shared" ca="1" si="186"/>
        <v>928</v>
      </c>
      <c r="N672" s="100">
        <f t="shared" ca="1" si="187"/>
        <v>5</v>
      </c>
      <c r="O672" s="136">
        <f t="shared" ca="1" si="188"/>
        <v>3.301004590397413</v>
      </c>
      <c r="P672" s="136">
        <f t="shared" ca="1" si="189"/>
        <v>33.010045903974124</v>
      </c>
      <c r="Q672" s="136">
        <f t="shared" ca="1" si="190"/>
        <v>33.010045903974124</v>
      </c>
      <c r="R672" s="136">
        <f t="shared" ca="1" si="191"/>
        <v>3.3010045903974126</v>
      </c>
      <c r="S672" s="136">
        <f t="shared" ca="1" si="192"/>
        <v>3.3010045903974126</v>
      </c>
      <c r="T672" s="104">
        <f t="shared" ca="1" si="193"/>
        <v>2.0562320287520149E-3</v>
      </c>
      <c r="U672" s="120">
        <f t="shared" ca="1" si="194"/>
        <v>1311.3671890482913</v>
      </c>
      <c r="V672" s="104">
        <f t="shared" ca="1" si="195"/>
        <v>0.81686503054846182</v>
      </c>
      <c r="W672" s="133">
        <f t="shared" ca="1" si="196"/>
        <v>13065.599348769898</v>
      </c>
      <c r="X672" s="104">
        <f t="shared" ca="1" si="197"/>
        <v>8.1387053910602738</v>
      </c>
    </row>
    <row r="673" spans="1:24" x14ac:dyDescent="0.2">
      <c r="A673" s="98">
        <v>0</v>
      </c>
      <c r="B673" s="98">
        <v>3</v>
      </c>
      <c r="C673" s="98">
        <f t="shared" si="179"/>
        <v>7</v>
      </c>
      <c r="D673" s="98">
        <f t="shared" si="180"/>
        <v>6</v>
      </c>
      <c r="E673" s="98">
        <f t="shared" si="181"/>
        <v>0</v>
      </c>
      <c r="F673" s="118">
        <f t="shared" ca="1" si="182"/>
        <v>1.6947839999999999E-2</v>
      </c>
      <c r="G673" s="98">
        <v>0</v>
      </c>
      <c r="H673" s="98">
        <v>0</v>
      </c>
      <c r="I673" s="98">
        <v>5</v>
      </c>
      <c r="J673" s="118">
        <f t="shared" ca="1" si="183"/>
        <v>1.1606714062500011E-2</v>
      </c>
      <c r="K673" s="118">
        <f t="shared" ca="1" si="184"/>
        <v>1.9670873285700018E-4</v>
      </c>
      <c r="L673" s="133">
        <f t="shared" ca="1" si="185"/>
        <v>60</v>
      </c>
      <c r="M673" s="130">
        <f t="shared" ca="1" si="186"/>
        <v>940</v>
      </c>
      <c r="N673" s="100">
        <f t="shared" ca="1" si="187"/>
        <v>5</v>
      </c>
      <c r="O673" s="136">
        <f t="shared" ca="1" si="188"/>
        <v>3.301004590397413</v>
      </c>
      <c r="P673" s="136">
        <f t="shared" ca="1" si="189"/>
        <v>33.010045903974124</v>
      </c>
      <c r="Q673" s="136">
        <f t="shared" ca="1" si="190"/>
        <v>33.010045903974124</v>
      </c>
      <c r="R673" s="136">
        <f t="shared" ca="1" si="191"/>
        <v>3.3010045903974126</v>
      </c>
      <c r="S673" s="136">
        <f t="shared" ca="1" si="192"/>
        <v>3.3010045903974126</v>
      </c>
      <c r="T673" s="104">
        <f t="shared" ca="1" si="193"/>
        <v>6.493364301322159E-4</v>
      </c>
      <c r="U673" s="120">
        <f t="shared" ca="1" si="194"/>
        <v>1299.3671890482913</v>
      </c>
      <c r="V673" s="104">
        <f t="shared" ca="1" si="195"/>
        <v>0.2555968732736516</v>
      </c>
      <c r="W673" s="133">
        <f t="shared" ca="1" si="196"/>
        <v>10887.999457308248</v>
      </c>
      <c r="X673" s="104">
        <f t="shared" ca="1" si="197"/>
        <v>2.1417645765948112</v>
      </c>
    </row>
    <row r="674" spans="1:24" x14ac:dyDescent="0.2">
      <c r="A674" s="98">
        <v>0</v>
      </c>
      <c r="B674" s="98">
        <v>3</v>
      </c>
      <c r="C674" s="98">
        <f t="shared" si="179"/>
        <v>7</v>
      </c>
      <c r="D674" s="98">
        <f t="shared" si="180"/>
        <v>6</v>
      </c>
      <c r="E674" s="98">
        <f t="shared" si="181"/>
        <v>0</v>
      </c>
      <c r="F674" s="118">
        <f t="shared" ca="1" si="182"/>
        <v>1.6947839999999999E-2</v>
      </c>
      <c r="G674" s="98">
        <v>0</v>
      </c>
      <c r="H674" s="98">
        <v>0</v>
      </c>
      <c r="I674" s="98">
        <v>4</v>
      </c>
      <c r="J674" s="118">
        <f t="shared" ca="1" si="183"/>
        <v>1.5271992187500026E-3</v>
      </c>
      <c r="K674" s="118">
        <f t="shared" ca="1" si="184"/>
        <v>2.5882728007500042E-5</v>
      </c>
      <c r="L674" s="133">
        <f t="shared" ca="1" si="185"/>
        <v>48</v>
      </c>
      <c r="M674" s="130">
        <f t="shared" ca="1" si="186"/>
        <v>952</v>
      </c>
      <c r="N674" s="100">
        <f t="shared" ca="1" si="187"/>
        <v>5</v>
      </c>
      <c r="O674" s="136">
        <f t="shared" ca="1" si="188"/>
        <v>3.301004590397413</v>
      </c>
      <c r="P674" s="136">
        <f t="shared" ca="1" si="189"/>
        <v>33.010045903974124</v>
      </c>
      <c r="Q674" s="136">
        <f t="shared" ca="1" si="190"/>
        <v>33.010045903974124</v>
      </c>
      <c r="R674" s="136">
        <f t="shared" ca="1" si="191"/>
        <v>3.3010045903974126</v>
      </c>
      <c r="S674" s="136">
        <f t="shared" ca="1" si="192"/>
        <v>3.3010045903974126</v>
      </c>
      <c r="T674" s="104">
        <f t="shared" ca="1" si="193"/>
        <v>8.5439003964765317E-5</v>
      </c>
      <c r="U674" s="120">
        <f t="shared" ca="1" si="194"/>
        <v>1287.3671890482913</v>
      </c>
      <c r="V674" s="104">
        <f t="shared" ca="1" si="195"/>
        <v>3.3320574799916812E-2</v>
      </c>
      <c r="W674" s="133">
        <f t="shared" ca="1" si="196"/>
        <v>8710.3995658465974</v>
      </c>
      <c r="X674" s="104">
        <f t="shared" ca="1" si="197"/>
        <v>0.22544890279945393</v>
      </c>
    </row>
    <row r="675" spans="1:24" x14ac:dyDescent="0.2">
      <c r="A675" s="98">
        <v>0</v>
      </c>
      <c r="B675" s="98">
        <v>3</v>
      </c>
      <c r="C675" s="98">
        <f t="shared" si="179"/>
        <v>7</v>
      </c>
      <c r="D675" s="98">
        <f t="shared" si="180"/>
        <v>6</v>
      </c>
      <c r="E675" s="98">
        <f t="shared" si="181"/>
        <v>0</v>
      </c>
      <c r="F675" s="118">
        <f t="shared" ca="1" si="182"/>
        <v>1.6947839999999999E-2</v>
      </c>
      <c r="G675" s="98">
        <v>0</v>
      </c>
      <c r="H675" s="98">
        <v>0</v>
      </c>
      <c r="I675" s="98">
        <v>3</v>
      </c>
      <c r="J675" s="118">
        <f t="shared" ca="1" si="183"/>
        <v>1.0717187500000027E-4</v>
      </c>
      <c r="K675" s="118">
        <f t="shared" ca="1" si="184"/>
        <v>1.8163317900000044E-6</v>
      </c>
      <c r="L675" s="133">
        <f t="shared" ca="1" si="185"/>
        <v>36</v>
      </c>
      <c r="M675" s="130">
        <f t="shared" ca="1" si="186"/>
        <v>964</v>
      </c>
      <c r="N675" s="100">
        <f t="shared" ca="1" si="187"/>
        <v>5</v>
      </c>
      <c r="O675" s="136">
        <f t="shared" ca="1" si="188"/>
        <v>3.301004590397413</v>
      </c>
      <c r="P675" s="136">
        <f t="shared" ca="1" si="189"/>
        <v>33.010045903974124</v>
      </c>
      <c r="Q675" s="136">
        <f t="shared" ca="1" si="190"/>
        <v>33.010045903974124</v>
      </c>
      <c r="R675" s="136">
        <f t="shared" ca="1" si="191"/>
        <v>3.3010045903974126</v>
      </c>
      <c r="S675" s="136">
        <f t="shared" ca="1" si="192"/>
        <v>3.3010045903974126</v>
      </c>
      <c r="T675" s="104">
        <f t="shared" ca="1" si="193"/>
        <v>5.9957195764747636E-6</v>
      </c>
      <c r="U675" s="120">
        <f t="shared" ca="1" si="194"/>
        <v>1275.3671890482913</v>
      </c>
      <c r="V675" s="104">
        <f t="shared" ca="1" si="195"/>
        <v>2.3164899693913568E-3</v>
      </c>
      <c r="W675" s="133">
        <f t="shared" ca="1" si="196"/>
        <v>6532.799674384949</v>
      </c>
      <c r="X675" s="104">
        <f t="shared" ca="1" si="197"/>
        <v>1.1865731726287061E-2</v>
      </c>
    </row>
    <row r="676" spans="1:24" x14ac:dyDescent="0.2">
      <c r="A676" s="98">
        <v>0</v>
      </c>
      <c r="B676" s="98">
        <v>3</v>
      </c>
      <c r="C676" s="98">
        <f t="shared" si="179"/>
        <v>7</v>
      </c>
      <c r="D676" s="98">
        <f t="shared" si="180"/>
        <v>6</v>
      </c>
      <c r="E676" s="98">
        <f t="shared" si="181"/>
        <v>0</v>
      </c>
      <c r="F676" s="118">
        <f t="shared" ca="1" si="182"/>
        <v>1.6947839999999999E-2</v>
      </c>
      <c r="G676" s="98">
        <v>0</v>
      </c>
      <c r="H676" s="98">
        <v>0</v>
      </c>
      <c r="I676" s="98">
        <v>2</v>
      </c>
      <c r="J676" s="118">
        <f t="shared" ca="1" si="183"/>
        <v>4.2304687500000152E-6</v>
      </c>
      <c r="K676" s="118">
        <f t="shared" ca="1" si="184"/>
        <v>7.1697307500000252E-8</v>
      </c>
      <c r="L676" s="133">
        <f t="shared" ca="1" si="185"/>
        <v>24</v>
      </c>
      <c r="M676" s="130">
        <f t="shared" ca="1" si="186"/>
        <v>976</v>
      </c>
      <c r="N676" s="100">
        <f t="shared" ca="1" si="187"/>
        <v>5</v>
      </c>
      <c r="O676" s="136">
        <f t="shared" ca="1" si="188"/>
        <v>3.301004590397413</v>
      </c>
      <c r="P676" s="136">
        <f t="shared" ca="1" si="189"/>
        <v>33.010045903974124</v>
      </c>
      <c r="Q676" s="136">
        <f t="shared" ca="1" si="190"/>
        <v>33.010045903974124</v>
      </c>
      <c r="R676" s="136">
        <f t="shared" ca="1" si="191"/>
        <v>3.3010045903974126</v>
      </c>
      <c r="S676" s="136">
        <f t="shared" ca="1" si="192"/>
        <v>3.3010045903974126</v>
      </c>
      <c r="T676" s="104">
        <f t="shared" ca="1" si="193"/>
        <v>2.3667314117663567E-7</v>
      </c>
      <c r="U676" s="120">
        <f t="shared" ca="1" si="194"/>
        <v>1263.3671890482913</v>
      </c>
      <c r="V676" s="104">
        <f t="shared" ca="1" si="195"/>
        <v>9.0580025838606296E-5</v>
      </c>
      <c r="W676" s="133">
        <f t="shared" ca="1" si="196"/>
        <v>4355.1997829232987</v>
      </c>
      <c r="X676" s="104">
        <f t="shared" ca="1" si="197"/>
        <v>3.1225609806018607E-4</v>
      </c>
    </row>
    <row r="677" spans="1:24" x14ac:dyDescent="0.2">
      <c r="A677" s="98">
        <v>0</v>
      </c>
      <c r="B677" s="98">
        <v>3</v>
      </c>
      <c r="C677" s="98">
        <f t="shared" si="179"/>
        <v>7</v>
      </c>
      <c r="D677" s="98">
        <f t="shared" si="180"/>
        <v>6</v>
      </c>
      <c r="E677" s="98">
        <f t="shared" si="181"/>
        <v>0</v>
      </c>
      <c r="F677" s="118">
        <f t="shared" ca="1" si="182"/>
        <v>1.6947839999999999E-2</v>
      </c>
      <c r="G677" s="98">
        <v>0</v>
      </c>
      <c r="H677" s="98">
        <v>0</v>
      </c>
      <c r="I677" s="98">
        <v>1</v>
      </c>
      <c r="J677" s="118">
        <f t="shared" ca="1" si="183"/>
        <v>8.9062500000000418E-8</v>
      </c>
      <c r="K677" s="118">
        <f t="shared" ca="1" si="184"/>
        <v>1.5094170000000071E-9</v>
      </c>
      <c r="L677" s="133">
        <f t="shared" ca="1" si="185"/>
        <v>12</v>
      </c>
      <c r="M677" s="130">
        <f t="shared" ca="1" si="186"/>
        <v>988</v>
      </c>
      <c r="N677" s="100">
        <f t="shared" ca="1" si="187"/>
        <v>5</v>
      </c>
      <c r="O677" s="136">
        <f t="shared" ca="1" si="188"/>
        <v>3.301004590397413</v>
      </c>
      <c r="P677" s="136">
        <f t="shared" ca="1" si="189"/>
        <v>33.010045903974124</v>
      </c>
      <c r="Q677" s="136">
        <f t="shared" ca="1" si="190"/>
        <v>33.010045903974124</v>
      </c>
      <c r="R677" s="136">
        <f t="shared" ca="1" si="191"/>
        <v>3.3010045903974126</v>
      </c>
      <c r="S677" s="136">
        <f t="shared" ca="1" si="192"/>
        <v>3.3010045903974126</v>
      </c>
      <c r="T677" s="104">
        <f t="shared" ca="1" si="193"/>
        <v>4.9825924458239148E-9</v>
      </c>
      <c r="U677" s="120">
        <f t="shared" ca="1" si="194"/>
        <v>1251.3671890482913</v>
      </c>
      <c r="V677" s="104">
        <f t="shared" ca="1" si="195"/>
        <v>1.8888349083917136E-6</v>
      </c>
      <c r="W677" s="133">
        <f t="shared" ca="1" si="196"/>
        <v>2177.5998914616493</v>
      </c>
      <c r="X677" s="104">
        <f t="shared" ca="1" si="197"/>
        <v>3.2869062953703837E-6</v>
      </c>
    </row>
    <row r="678" spans="1:24" x14ac:dyDescent="0.2">
      <c r="A678" s="98">
        <v>0</v>
      </c>
      <c r="B678" s="98">
        <v>3</v>
      </c>
      <c r="C678" s="98">
        <f t="shared" si="179"/>
        <v>7</v>
      </c>
      <c r="D678" s="98">
        <f t="shared" si="180"/>
        <v>6</v>
      </c>
      <c r="E678" s="98">
        <f t="shared" si="181"/>
        <v>0</v>
      </c>
      <c r="F678" s="118">
        <f t="shared" ca="1" si="182"/>
        <v>1.6947839999999999E-2</v>
      </c>
      <c r="G678" s="98">
        <v>0</v>
      </c>
      <c r="H678" s="98">
        <v>0</v>
      </c>
      <c r="I678" s="98">
        <v>0</v>
      </c>
      <c r="J678" s="118">
        <f t="shared" ca="1" si="183"/>
        <v>7.812500000000041E-10</v>
      </c>
      <c r="K678" s="118">
        <f t="shared" ca="1" si="184"/>
        <v>1.3240500000000068E-11</v>
      </c>
      <c r="L678" s="133">
        <f t="shared" ca="1" si="185"/>
        <v>0</v>
      </c>
      <c r="M678" s="130">
        <f t="shared" ca="1" si="186"/>
        <v>1000</v>
      </c>
      <c r="N678" s="100">
        <f t="shared" ca="1" si="187"/>
        <v>5</v>
      </c>
      <c r="O678" s="136">
        <f t="shared" ca="1" si="188"/>
        <v>3.301004590397413</v>
      </c>
      <c r="P678" s="136">
        <f t="shared" ca="1" si="189"/>
        <v>33.010045903974124</v>
      </c>
      <c r="Q678" s="136">
        <f t="shared" ca="1" si="190"/>
        <v>33.010045903974124</v>
      </c>
      <c r="R678" s="136">
        <f t="shared" ca="1" si="191"/>
        <v>3.3010045903974126</v>
      </c>
      <c r="S678" s="136">
        <f t="shared" ca="1" si="192"/>
        <v>3.3010045903974126</v>
      </c>
      <c r="T678" s="104">
        <f t="shared" ca="1" si="193"/>
        <v>4.3706951279157166E-11</v>
      </c>
      <c r="U678" s="120">
        <f t="shared" ca="1" si="194"/>
        <v>1239.3671890482913</v>
      </c>
      <c r="V678" s="104">
        <f t="shared" ca="1" si="195"/>
        <v>1.6409841266593983E-8</v>
      </c>
      <c r="W678" s="133">
        <f t="shared" ca="1" si="196"/>
        <v>0</v>
      </c>
      <c r="X678" s="104">
        <f t="shared" ca="1" si="197"/>
        <v>0</v>
      </c>
    </row>
    <row r="679" spans="1:24" x14ac:dyDescent="0.2">
      <c r="A679" s="98">
        <v>1</v>
      </c>
      <c r="B679" s="98">
        <v>0</v>
      </c>
      <c r="C679" s="98">
        <f t="shared" ref="C679:C742" si="198">MIN(8, 1+$B$543+$B$542+A679+B679)</f>
        <v>5</v>
      </c>
      <c r="D679" s="98">
        <f t="shared" ref="D679:D742" si="199">C679-(1+$B$543)</f>
        <v>4</v>
      </c>
      <c r="E679" s="98">
        <f t="shared" ref="E679:E742" si="200">MIN(A679, C679-(1+$B$543+$B$542))</f>
        <v>1</v>
      </c>
      <c r="F679" s="118">
        <f t="shared" ref="F679:F742" ca="1" si="201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0.179518300416</v>
      </c>
      <c r="G679" s="98">
        <v>1</v>
      </c>
      <c r="H679" s="98">
        <v>1</v>
      </c>
      <c r="I679" s="98">
        <v>7</v>
      </c>
      <c r="J679" s="118">
        <f t="shared" ref="J679:J742" si="202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18">
        <f t="shared" ref="K679:K742" ca="1" si="203">F679*J679</f>
        <v>0</v>
      </c>
      <c r="L679" s="133">
        <f t="shared" ref="L679:L742" ca="1" si="204">MAX((G679+H679)*Set2WSTP + I679*$B$539, Set2SaveTP)</f>
        <v>420</v>
      </c>
      <c r="M679" s="130">
        <f t="shared" ref="M679:M742" ca="1" si="205">MAX(Set2MinTP-(L679+Set2Regain), 0)</f>
        <v>580</v>
      </c>
      <c r="N679" s="100">
        <f t="shared" ref="N679:N742" ca="1" si="206">CEILING(M679/Set2MeleeTP, 1)</f>
        <v>3</v>
      </c>
      <c r="O679" s="136">
        <f t="shared" ref="O679:O742" ca="1" si="207">VLOOKUP(N679, AvgRoundsSet2, 2)</f>
        <v>2.1177215542739054</v>
      </c>
      <c r="P679" s="136">
        <f t="shared" ref="P679:P742" ca="1" si="208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21.177215542739059</v>
      </c>
      <c r="Q679" s="136">
        <f t="shared" ref="Q679:Q742" ca="1" si="209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21.177215542739059</v>
      </c>
      <c r="R679" s="136">
        <f t="shared" ref="R679:R742" ca="1" si="210">(P679+Q679)/20</f>
        <v>2.1177215542739058</v>
      </c>
      <c r="S679" s="136">
        <f t="shared" ref="S679:S742" ca="1" si="211">R679*Set2ConserveTP + O679*(1-Set2ConserveTP)</f>
        <v>2.1177215542739054</v>
      </c>
      <c r="T679" s="104">
        <f t="shared" ref="T679:T742" ca="1" si="212">K679*S679</f>
        <v>0</v>
      </c>
      <c r="U679" s="120">
        <f t="shared" ref="U679:U742" ca="1" si="213">MIN(L679+(S679+Set2OverTP)*AvgHitsPerRound2*Set2MeleeTP + Set2Regain + 105*Set2ConserveTP, 3000)</f>
        <v>1227.5224659982036</v>
      </c>
      <c r="V679" s="104">
        <f t="shared" ref="V679:V742" ca="1" si="214">U679*K679</f>
        <v>0</v>
      </c>
      <c r="W679" s="133">
        <f t="shared" ref="W679:W742" ca="1" si="215">G679*$K$543*((1-$L$543)*$L$547 + $L$543*$M$547*$M$543)*Set2WSDmg + H679*$K$546*((1-$L$546)*$L$547 + $L$546*$M$547*$M$544) + I679*$K$544*((1-$L$544)*$L$547 + $L$544*$M$547*$M$544) + E679*$K$545*$L$545*$M$543</f>
        <v>19881.48700904486</v>
      </c>
      <c r="X679" s="104">
        <f t="shared" ref="X679:X742" ca="1" si="216">K679*W679</f>
        <v>0</v>
      </c>
    </row>
    <row r="680" spans="1:24" x14ac:dyDescent="0.2">
      <c r="A680" s="98">
        <v>1</v>
      </c>
      <c r="B680" s="98">
        <v>0</v>
      </c>
      <c r="C680" s="98">
        <f t="shared" si="198"/>
        <v>5</v>
      </c>
      <c r="D680" s="98">
        <f t="shared" si="199"/>
        <v>4</v>
      </c>
      <c r="E680" s="98">
        <f t="shared" si="200"/>
        <v>1</v>
      </c>
      <c r="F680" s="118">
        <f t="shared" ca="1" si="201"/>
        <v>0.179518300416</v>
      </c>
      <c r="G680" s="98">
        <v>1</v>
      </c>
      <c r="H680" s="98">
        <v>1</v>
      </c>
      <c r="I680" s="98">
        <v>6</v>
      </c>
      <c r="J680" s="118">
        <f t="shared" si="202"/>
        <v>0</v>
      </c>
      <c r="K680" s="118">
        <f t="shared" ca="1" si="203"/>
        <v>0</v>
      </c>
      <c r="L680" s="133">
        <f t="shared" ca="1" si="204"/>
        <v>408</v>
      </c>
      <c r="M680" s="130">
        <f t="shared" ca="1" si="205"/>
        <v>592</v>
      </c>
      <c r="N680" s="100">
        <f t="shared" ca="1" si="206"/>
        <v>3</v>
      </c>
      <c r="O680" s="136">
        <f t="shared" ca="1" si="207"/>
        <v>2.1177215542739054</v>
      </c>
      <c r="P680" s="136">
        <f t="shared" ca="1" si="208"/>
        <v>21.177215542739059</v>
      </c>
      <c r="Q680" s="136">
        <f t="shared" ca="1" si="209"/>
        <v>21.177215542739059</v>
      </c>
      <c r="R680" s="136">
        <f t="shared" ca="1" si="210"/>
        <v>2.1177215542739058</v>
      </c>
      <c r="S680" s="136">
        <f t="shared" ca="1" si="211"/>
        <v>2.1177215542739054</v>
      </c>
      <c r="T680" s="104">
        <f t="shared" ca="1" si="212"/>
        <v>0</v>
      </c>
      <c r="U680" s="120">
        <f t="shared" ca="1" si="213"/>
        <v>1215.5224659982036</v>
      </c>
      <c r="V680" s="104">
        <f t="shared" ca="1" si="214"/>
        <v>0</v>
      </c>
      <c r="W680" s="133">
        <f t="shared" ca="1" si="215"/>
        <v>17703.88711758321</v>
      </c>
      <c r="X680" s="104">
        <f t="shared" ca="1" si="216"/>
        <v>0</v>
      </c>
    </row>
    <row r="681" spans="1:24" x14ac:dyDescent="0.2">
      <c r="A681" s="98">
        <v>1</v>
      </c>
      <c r="B681" s="98">
        <v>0</v>
      </c>
      <c r="C681" s="98">
        <f t="shared" si="198"/>
        <v>5</v>
      </c>
      <c r="D681" s="98">
        <f t="shared" si="199"/>
        <v>4</v>
      </c>
      <c r="E681" s="98">
        <f t="shared" si="200"/>
        <v>1</v>
      </c>
      <c r="F681" s="118">
        <f t="shared" ca="1" si="201"/>
        <v>0.179518300416</v>
      </c>
      <c r="G681" s="98">
        <v>1</v>
      </c>
      <c r="H681" s="98">
        <v>1</v>
      </c>
      <c r="I681" s="98">
        <v>5</v>
      </c>
      <c r="J681" s="118">
        <f t="shared" si="202"/>
        <v>0</v>
      </c>
      <c r="K681" s="118">
        <f t="shared" ca="1" si="203"/>
        <v>0</v>
      </c>
      <c r="L681" s="133">
        <f t="shared" ca="1" si="204"/>
        <v>396</v>
      </c>
      <c r="M681" s="130">
        <f t="shared" ca="1" si="205"/>
        <v>604</v>
      </c>
      <c r="N681" s="100">
        <f t="shared" ca="1" si="206"/>
        <v>3</v>
      </c>
      <c r="O681" s="136">
        <f t="shared" ca="1" si="207"/>
        <v>2.1177215542739054</v>
      </c>
      <c r="P681" s="136">
        <f t="shared" ca="1" si="208"/>
        <v>21.177215542739059</v>
      </c>
      <c r="Q681" s="136">
        <f t="shared" ca="1" si="209"/>
        <v>21.177215542739059</v>
      </c>
      <c r="R681" s="136">
        <f t="shared" ca="1" si="210"/>
        <v>2.1177215542739058</v>
      </c>
      <c r="S681" s="136">
        <f t="shared" ca="1" si="211"/>
        <v>2.1177215542739054</v>
      </c>
      <c r="T681" s="104">
        <f t="shared" ca="1" si="212"/>
        <v>0</v>
      </c>
      <c r="U681" s="120">
        <f t="shared" ca="1" si="213"/>
        <v>1203.5224659982036</v>
      </c>
      <c r="V681" s="104">
        <f t="shared" ca="1" si="214"/>
        <v>0</v>
      </c>
      <c r="W681" s="133">
        <f t="shared" ca="1" si="215"/>
        <v>15526.28722612156</v>
      </c>
      <c r="X681" s="104">
        <f t="shared" ca="1" si="216"/>
        <v>0</v>
      </c>
    </row>
    <row r="682" spans="1:24" x14ac:dyDescent="0.2">
      <c r="A682" s="98">
        <v>1</v>
      </c>
      <c r="B682" s="98">
        <v>0</v>
      </c>
      <c r="C682" s="98">
        <f t="shared" si="198"/>
        <v>5</v>
      </c>
      <c r="D682" s="98">
        <f t="shared" si="199"/>
        <v>4</v>
      </c>
      <c r="E682" s="98">
        <f t="shared" si="200"/>
        <v>1</v>
      </c>
      <c r="F682" s="118">
        <f t="shared" ca="1" si="201"/>
        <v>0.179518300416</v>
      </c>
      <c r="G682" s="98">
        <v>1</v>
      </c>
      <c r="H682" s="98">
        <v>1</v>
      </c>
      <c r="I682" s="98">
        <v>4</v>
      </c>
      <c r="J682" s="118">
        <f t="shared" ca="1" si="202"/>
        <v>0</v>
      </c>
      <c r="K682" s="118">
        <f t="shared" ca="1" si="203"/>
        <v>0</v>
      </c>
      <c r="L682" s="133">
        <f t="shared" ca="1" si="204"/>
        <v>384</v>
      </c>
      <c r="M682" s="130">
        <f t="shared" ca="1" si="205"/>
        <v>616</v>
      </c>
      <c r="N682" s="100">
        <f t="shared" ca="1" si="206"/>
        <v>3</v>
      </c>
      <c r="O682" s="136">
        <f t="shared" ca="1" si="207"/>
        <v>2.1177215542739054</v>
      </c>
      <c r="P682" s="136">
        <f t="shared" ca="1" si="208"/>
        <v>21.177215542739059</v>
      </c>
      <c r="Q682" s="136">
        <f t="shared" ca="1" si="209"/>
        <v>21.177215542739059</v>
      </c>
      <c r="R682" s="136">
        <f t="shared" ca="1" si="210"/>
        <v>2.1177215542739058</v>
      </c>
      <c r="S682" s="136">
        <f t="shared" ca="1" si="211"/>
        <v>2.1177215542739054</v>
      </c>
      <c r="T682" s="104">
        <f t="shared" ca="1" si="212"/>
        <v>0</v>
      </c>
      <c r="U682" s="120">
        <f t="shared" ca="1" si="213"/>
        <v>1191.5224659982036</v>
      </c>
      <c r="V682" s="104">
        <f t="shared" ca="1" si="214"/>
        <v>0</v>
      </c>
      <c r="W682" s="133">
        <f t="shared" ca="1" si="215"/>
        <v>13348.68733465991</v>
      </c>
      <c r="X682" s="104">
        <f t="shared" ca="1" si="216"/>
        <v>0</v>
      </c>
    </row>
    <row r="683" spans="1:24" x14ac:dyDescent="0.2">
      <c r="A683" s="98">
        <v>1</v>
      </c>
      <c r="B683" s="98">
        <v>0</v>
      </c>
      <c r="C683" s="98">
        <f t="shared" si="198"/>
        <v>5</v>
      </c>
      <c r="D683" s="98">
        <f t="shared" si="199"/>
        <v>4</v>
      </c>
      <c r="E683" s="98">
        <f t="shared" si="200"/>
        <v>1</v>
      </c>
      <c r="F683" s="118">
        <f t="shared" ca="1" si="201"/>
        <v>0.179518300416</v>
      </c>
      <c r="G683" s="98">
        <v>1</v>
      </c>
      <c r="H683" s="98">
        <v>1</v>
      </c>
      <c r="I683" s="98">
        <v>3</v>
      </c>
      <c r="J683" s="118">
        <f t="shared" ca="1" si="202"/>
        <v>0</v>
      </c>
      <c r="K683" s="118">
        <f t="shared" ca="1" si="203"/>
        <v>0</v>
      </c>
      <c r="L683" s="133">
        <f t="shared" ca="1" si="204"/>
        <v>372</v>
      </c>
      <c r="M683" s="130">
        <f t="shared" ca="1" si="205"/>
        <v>628</v>
      </c>
      <c r="N683" s="100">
        <f t="shared" ca="1" si="206"/>
        <v>3</v>
      </c>
      <c r="O683" s="136">
        <f t="shared" ca="1" si="207"/>
        <v>2.1177215542739054</v>
      </c>
      <c r="P683" s="136">
        <f t="shared" ca="1" si="208"/>
        <v>21.177215542739059</v>
      </c>
      <c r="Q683" s="136">
        <f t="shared" ca="1" si="209"/>
        <v>21.177215542739059</v>
      </c>
      <c r="R683" s="136">
        <f t="shared" ca="1" si="210"/>
        <v>2.1177215542739058</v>
      </c>
      <c r="S683" s="136">
        <f t="shared" ca="1" si="211"/>
        <v>2.1177215542739054</v>
      </c>
      <c r="T683" s="104">
        <f t="shared" ca="1" si="212"/>
        <v>0</v>
      </c>
      <c r="U683" s="120">
        <f t="shared" ca="1" si="213"/>
        <v>1179.5224659982036</v>
      </c>
      <c r="V683" s="104">
        <f t="shared" ca="1" si="214"/>
        <v>0</v>
      </c>
      <c r="W683" s="133">
        <f t="shared" ca="1" si="215"/>
        <v>11171.087443198263</v>
      </c>
      <c r="X683" s="104">
        <f t="shared" ca="1" si="216"/>
        <v>0</v>
      </c>
    </row>
    <row r="684" spans="1:24" x14ac:dyDescent="0.2">
      <c r="A684" s="98">
        <v>1</v>
      </c>
      <c r="B684" s="98">
        <v>0</v>
      </c>
      <c r="C684" s="98">
        <f t="shared" si="198"/>
        <v>5</v>
      </c>
      <c r="D684" s="98">
        <f t="shared" si="199"/>
        <v>4</v>
      </c>
      <c r="E684" s="98">
        <f t="shared" si="200"/>
        <v>1</v>
      </c>
      <c r="F684" s="118">
        <f t="shared" ca="1" si="201"/>
        <v>0.179518300416</v>
      </c>
      <c r="G684" s="98">
        <v>1</v>
      </c>
      <c r="H684" s="98">
        <v>1</v>
      </c>
      <c r="I684" s="98">
        <v>2</v>
      </c>
      <c r="J684" s="118">
        <f t="shared" ca="1" si="202"/>
        <v>0</v>
      </c>
      <c r="K684" s="118">
        <f t="shared" ca="1" si="203"/>
        <v>0</v>
      </c>
      <c r="L684" s="133">
        <f t="shared" ca="1" si="204"/>
        <v>360</v>
      </c>
      <c r="M684" s="130">
        <f t="shared" ca="1" si="205"/>
        <v>640</v>
      </c>
      <c r="N684" s="100">
        <f t="shared" ca="1" si="206"/>
        <v>3</v>
      </c>
      <c r="O684" s="136">
        <f t="shared" ca="1" si="207"/>
        <v>2.1177215542739054</v>
      </c>
      <c r="P684" s="136">
        <f t="shared" ca="1" si="208"/>
        <v>21.177215542739059</v>
      </c>
      <c r="Q684" s="136">
        <f t="shared" ca="1" si="209"/>
        <v>21.177215542739059</v>
      </c>
      <c r="R684" s="136">
        <f t="shared" ca="1" si="210"/>
        <v>2.1177215542739058</v>
      </c>
      <c r="S684" s="136">
        <f t="shared" ca="1" si="211"/>
        <v>2.1177215542739054</v>
      </c>
      <c r="T684" s="104">
        <f t="shared" ca="1" si="212"/>
        <v>0</v>
      </c>
      <c r="U684" s="120">
        <f t="shared" ca="1" si="213"/>
        <v>1167.5224659982036</v>
      </c>
      <c r="V684" s="104">
        <f t="shared" ca="1" si="214"/>
        <v>0</v>
      </c>
      <c r="W684" s="133">
        <f t="shared" ca="1" si="215"/>
        <v>8993.4875517366127</v>
      </c>
      <c r="X684" s="104">
        <f t="shared" ca="1" si="216"/>
        <v>0</v>
      </c>
    </row>
    <row r="685" spans="1:24" x14ac:dyDescent="0.2">
      <c r="A685" s="98">
        <v>1</v>
      </c>
      <c r="B685" s="98">
        <v>0</v>
      </c>
      <c r="C685" s="98">
        <f t="shared" si="198"/>
        <v>5</v>
      </c>
      <c r="D685" s="98">
        <f t="shared" si="199"/>
        <v>4</v>
      </c>
      <c r="E685" s="98">
        <f t="shared" si="200"/>
        <v>1</v>
      </c>
      <c r="F685" s="118">
        <f t="shared" ca="1" si="201"/>
        <v>0.179518300416</v>
      </c>
      <c r="G685" s="98">
        <v>1</v>
      </c>
      <c r="H685" s="98">
        <v>1</v>
      </c>
      <c r="I685" s="98">
        <v>1</v>
      </c>
      <c r="J685" s="118">
        <f t="shared" ca="1" si="202"/>
        <v>0</v>
      </c>
      <c r="K685" s="118">
        <f t="shared" ca="1" si="203"/>
        <v>0</v>
      </c>
      <c r="L685" s="133">
        <f t="shared" ca="1" si="204"/>
        <v>348</v>
      </c>
      <c r="M685" s="130">
        <f t="shared" ca="1" si="205"/>
        <v>652</v>
      </c>
      <c r="N685" s="100">
        <f t="shared" ca="1" si="206"/>
        <v>4</v>
      </c>
      <c r="O685" s="136">
        <f t="shared" ca="1" si="207"/>
        <v>2.6973744602864622</v>
      </c>
      <c r="P685" s="136">
        <f t="shared" ca="1" si="208"/>
        <v>21.177215542739059</v>
      </c>
      <c r="Q685" s="136">
        <f t="shared" ca="1" si="209"/>
        <v>21.177215542739059</v>
      </c>
      <c r="R685" s="136">
        <f t="shared" ca="1" si="210"/>
        <v>2.1177215542739058</v>
      </c>
      <c r="S685" s="136">
        <f t="shared" ca="1" si="211"/>
        <v>2.5060890013023185</v>
      </c>
      <c r="T685" s="104">
        <f t="shared" ca="1" si="212"/>
        <v>0</v>
      </c>
      <c r="U685" s="120">
        <f t="shared" ca="1" si="213"/>
        <v>1297.2589968903351</v>
      </c>
      <c r="V685" s="104">
        <f t="shared" ca="1" si="214"/>
        <v>0</v>
      </c>
      <c r="W685" s="133">
        <f t="shared" ca="1" si="215"/>
        <v>6815.8876602749624</v>
      </c>
      <c r="X685" s="104">
        <f t="shared" ca="1" si="216"/>
        <v>0</v>
      </c>
    </row>
    <row r="686" spans="1:24" x14ac:dyDescent="0.2">
      <c r="A686" s="98">
        <v>1</v>
      </c>
      <c r="B686" s="98">
        <v>0</v>
      </c>
      <c r="C686" s="98">
        <f t="shared" si="198"/>
        <v>5</v>
      </c>
      <c r="D686" s="98">
        <f t="shared" si="199"/>
        <v>4</v>
      </c>
      <c r="E686" s="98">
        <f t="shared" si="200"/>
        <v>1</v>
      </c>
      <c r="F686" s="118">
        <f t="shared" ca="1" si="201"/>
        <v>0.179518300416</v>
      </c>
      <c r="G686" s="98">
        <v>1</v>
      </c>
      <c r="H686" s="98">
        <v>1</v>
      </c>
      <c r="I686" s="98">
        <v>0</v>
      </c>
      <c r="J686" s="118">
        <f t="shared" ca="1" si="202"/>
        <v>0</v>
      </c>
      <c r="K686" s="118">
        <f t="shared" ca="1" si="203"/>
        <v>0</v>
      </c>
      <c r="L686" s="133">
        <f t="shared" ca="1" si="204"/>
        <v>336</v>
      </c>
      <c r="M686" s="130">
        <f t="shared" ca="1" si="205"/>
        <v>664</v>
      </c>
      <c r="N686" s="100">
        <f t="shared" ca="1" si="206"/>
        <v>4</v>
      </c>
      <c r="O686" s="136">
        <f t="shared" ca="1" si="207"/>
        <v>2.6973744602864622</v>
      </c>
      <c r="P686" s="136">
        <f t="shared" ca="1" si="208"/>
        <v>26.973744602864617</v>
      </c>
      <c r="Q686" s="136">
        <f t="shared" ca="1" si="209"/>
        <v>22.336521354764173</v>
      </c>
      <c r="R686" s="136">
        <f t="shared" ca="1" si="210"/>
        <v>2.4655132978814391</v>
      </c>
      <c r="S686" s="136">
        <f t="shared" ca="1" si="211"/>
        <v>2.6208602766928046</v>
      </c>
      <c r="T686" s="104">
        <f t="shared" ca="1" si="212"/>
        <v>0</v>
      </c>
      <c r="U686" s="120">
        <f t="shared" ca="1" si="213"/>
        <v>1327.1453149748754</v>
      </c>
      <c r="V686" s="104">
        <f t="shared" ca="1" si="214"/>
        <v>0</v>
      </c>
      <c r="W686" s="133">
        <f t="shared" ca="1" si="215"/>
        <v>4638.2877688133131</v>
      </c>
      <c r="X686" s="104">
        <f t="shared" ca="1" si="216"/>
        <v>0</v>
      </c>
    </row>
    <row r="687" spans="1:24" x14ac:dyDescent="0.2">
      <c r="A687" s="98">
        <v>1</v>
      </c>
      <c r="B687" s="98">
        <v>0</v>
      </c>
      <c r="C687" s="98">
        <f t="shared" si="198"/>
        <v>5</v>
      </c>
      <c r="D687" s="98">
        <f t="shared" si="199"/>
        <v>4</v>
      </c>
      <c r="E687" s="98">
        <f t="shared" si="200"/>
        <v>1</v>
      </c>
      <c r="F687" s="118">
        <f t="shared" ca="1" si="201"/>
        <v>0.179518300416</v>
      </c>
      <c r="G687" s="98">
        <v>1</v>
      </c>
      <c r="H687" s="98">
        <v>0</v>
      </c>
      <c r="I687" s="98">
        <v>7</v>
      </c>
      <c r="J687" s="118">
        <f t="shared" si="202"/>
        <v>0</v>
      </c>
      <c r="K687" s="118">
        <f t="shared" ca="1" si="203"/>
        <v>0</v>
      </c>
      <c r="L687" s="133">
        <f t="shared" ca="1" si="204"/>
        <v>252</v>
      </c>
      <c r="M687" s="130">
        <f t="shared" ca="1" si="205"/>
        <v>748</v>
      </c>
      <c r="N687" s="100">
        <f t="shared" ca="1" si="206"/>
        <v>4</v>
      </c>
      <c r="O687" s="136">
        <f t="shared" ca="1" si="207"/>
        <v>2.6973744602864622</v>
      </c>
      <c r="P687" s="136">
        <f t="shared" ca="1" si="208"/>
        <v>26.973744602864617</v>
      </c>
      <c r="Q687" s="136">
        <f t="shared" ca="1" si="209"/>
        <v>26.973744602864617</v>
      </c>
      <c r="R687" s="136">
        <f t="shared" ca="1" si="210"/>
        <v>2.6973744602864618</v>
      </c>
      <c r="S687" s="136">
        <f t="shared" ca="1" si="211"/>
        <v>2.6973744602864622</v>
      </c>
      <c r="T687" s="104">
        <f t="shared" ca="1" si="212"/>
        <v>0</v>
      </c>
      <c r="U687" s="120">
        <f t="shared" ca="1" si="213"/>
        <v>1271.0695270312358</v>
      </c>
      <c r="V687" s="104">
        <f t="shared" ca="1" si="214"/>
        <v>0</v>
      </c>
      <c r="W687" s="133">
        <f t="shared" ca="1" si="215"/>
        <v>17703.88711758321</v>
      </c>
      <c r="X687" s="104">
        <f t="shared" ca="1" si="216"/>
        <v>0</v>
      </c>
    </row>
    <row r="688" spans="1:24" x14ac:dyDescent="0.2">
      <c r="A688" s="98">
        <v>1</v>
      </c>
      <c r="B688" s="98">
        <v>0</v>
      </c>
      <c r="C688" s="98">
        <f t="shared" si="198"/>
        <v>5</v>
      </c>
      <c r="D688" s="98">
        <f t="shared" si="199"/>
        <v>4</v>
      </c>
      <c r="E688" s="98">
        <f t="shared" si="200"/>
        <v>1</v>
      </c>
      <c r="F688" s="118">
        <f t="shared" ca="1" si="201"/>
        <v>0.179518300416</v>
      </c>
      <c r="G688" s="98">
        <v>1</v>
      </c>
      <c r="H688" s="98">
        <v>0</v>
      </c>
      <c r="I688" s="98">
        <v>6</v>
      </c>
      <c r="J688" s="118">
        <f t="shared" si="202"/>
        <v>0</v>
      </c>
      <c r="K688" s="118">
        <f t="shared" ca="1" si="203"/>
        <v>0</v>
      </c>
      <c r="L688" s="133">
        <f t="shared" ca="1" si="204"/>
        <v>240</v>
      </c>
      <c r="M688" s="130">
        <f t="shared" ca="1" si="205"/>
        <v>760</v>
      </c>
      <c r="N688" s="100">
        <f t="shared" ca="1" si="206"/>
        <v>4</v>
      </c>
      <c r="O688" s="136">
        <f t="shared" ca="1" si="207"/>
        <v>2.6973744602864622</v>
      </c>
      <c r="P688" s="136">
        <f t="shared" ca="1" si="208"/>
        <v>26.973744602864617</v>
      </c>
      <c r="Q688" s="136">
        <f t="shared" ca="1" si="209"/>
        <v>26.973744602864617</v>
      </c>
      <c r="R688" s="136">
        <f t="shared" ca="1" si="210"/>
        <v>2.6973744602864618</v>
      </c>
      <c r="S688" s="136">
        <f t="shared" ca="1" si="211"/>
        <v>2.6973744602864622</v>
      </c>
      <c r="T688" s="104">
        <f t="shared" ca="1" si="212"/>
        <v>0</v>
      </c>
      <c r="U688" s="120">
        <f t="shared" ca="1" si="213"/>
        <v>1259.0695270312358</v>
      </c>
      <c r="V688" s="104">
        <f t="shared" ca="1" si="214"/>
        <v>0</v>
      </c>
      <c r="W688" s="133">
        <f t="shared" ca="1" si="215"/>
        <v>15526.287226121562</v>
      </c>
      <c r="X688" s="104">
        <f t="shared" ca="1" si="216"/>
        <v>0</v>
      </c>
    </row>
    <row r="689" spans="1:24" x14ac:dyDescent="0.2">
      <c r="A689" s="98">
        <v>1</v>
      </c>
      <c r="B689" s="98">
        <v>0</v>
      </c>
      <c r="C689" s="98">
        <f t="shared" si="198"/>
        <v>5</v>
      </c>
      <c r="D689" s="98">
        <f t="shared" si="199"/>
        <v>4</v>
      </c>
      <c r="E689" s="98">
        <f t="shared" si="200"/>
        <v>1</v>
      </c>
      <c r="F689" s="118">
        <f t="shared" ca="1" si="201"/>
        <v>0.179518300416</v>
      </c>
      <c r="G689" s="98">
        <v>1</v>
      </c>
      <c r="H689" s="98">
        <v>0</v>
      </c>
      <c r="I689" s="98">
        <v>5</v>
      </c>
      <c r="J689" s="118">
        <f t="shared" si="202"/>
        <v>0</v>
      </c>
      <c r="K689" s="118">
        <f t="shared" ca="1" si="203"/>
        <v>0</v>
      </c>
      <c r="L689" s="133">
        <f t="shared" ca="1" si="204"/>
        <v>228</v>
      </c>
      <c r="M689" s="130">
        <f t="shared" ca="1" si="205"/>
        <v>772</v>
      </c>
      <c r="N689" s="100">
        <f t="shared" ca="1" si="206"/>
        <v>4</v>
      </c>
      <c r="O689" s="136">
        <f t="shared" ca="1" si="207"/>
        <v>2.6973744602864622</v>
      </c>
      <c r="P689" s="136">
        <f t="shared" ca="1" si="208"/>
        <v>26.973744602864617</v>
      </c>
      <c r="Q689" s="136">
        <f t="shared" ca="1" si="209"/>
        <v>26.973744602864617</v>
      </c>
      <c r="R689" s="136">
        <f t="shared" ca="1" si="210"/>
        <v>2.6973744602864618</v>
      </c>
      <c r="S689" s="136">
        <f t="shared" ca="1" si="211"/>
        <v>2.6973744602864622</v>
      </c>
      <c r="T689" s="104">
        <f t="shared" ca="1" si="212"/>
        <v>0</v>
      </c>
      <c r="U689" s="120">
        <f t="shared" ca="1" si="213"/>
        <v>1247.0695270312358</v>
      </c>
      <c r="V689" s="104">
        <f t="shared" ca="1" si="214"/>
        <v>0</v>
      </c>
      <c r="W689" s="133">
        <f t="shared" ca="1" si="215"/>
        <v>13348.687334659911</v>
      </c>
      <c r="X689" s="104">
        <f t="shared" ca="1" si="216"/>
        <v>0</v>
      </c>
    </row>
    <row r="690" spans="1:24" x14ac:dyDescent="0.2">
      <c r="A690" s="98">
        <v>1</v>
      </c>
      <c r="B690" s="98">
        <v>0</v>
      </c>
      <c r="C690" s="98">
        <f t="shared" si="198"/>
        <v>5</v>
      </c>
      <c r="D690" s="98">
        <f t="shared" si="199"/>
        <v>4</v>
      </c>
      <c r="E690" s="98">
        <f t="shared" si="200"/>
        <v>1</v>
      </c>
      <c r="F690" s="118">
        <f t="shared" ca="1" si="201"/>
        <v>0.179518300416</v>
      </c>
      <c r="G690" s="98">
        <v>1</v>
      </c>
      <c r="H690" s="98">
        <v>0</v>
      </c>
      <c r="I690" s="98">
        <v>4</v>
      </c>
      <c r="J690" s="118">
        <f t="shared" ca="1" si="202"/>
        <v>0.77378093749999999</v>
      </c>
      <c r="K690" s="118">
        <f t="shared" ca="1" si="203"/>
        <v>0.13890783879429913</v>
      </c>
      <c r="L690" s="133">
        <f t="shared" ca="1" si="204"/>
        <v>216</v>
      </c>
      <c r="M690" s="130">
        <f t="shared" ca="1" si="205"/>
        <v>784</v>
      </c>
      <c r="N690" s="100">
        <f t="shared" ca="1" si="206"/>
        <v>4</v>
      </c>
      <c r="O690" s="136">
        <f t="shared" ca="1" si="207"/>
        <v>2.6973744602864622</v>
      </c>
      <c r="P690" s="136">
        <f t="shared" ca="1" si="208"/>
        <v>26.973744602864617</v>
      </c>
      <c r="Q690" s="136">
        <f t="shared" ca="1" si="209"/>
        <v>26.973744602864617</v>
      </c>
      <c r="R690" s="136">
        <f t="shared" ca="1" si="210"/>
        <v>2.6973744602864618</v>
      </c>
      <c r="S690" s="136">
        <f t="shared" ca="1" si="211"/>
        <v>2.6973744602864622</v>
      </c>
      <c r="T690" s="104">
        <f t="shared" ca="1" si="212"/>
        <v>0.37468645669733153</v>
      </c>
      <c r="U690" s="120">
        <f t="shared" ca="1" si="213"/>
        <v>1235.0695270312358</v>
      </c>
      <c r="V690" s="104">
        <f t="shared" ca="1" si="214"/>
        <v>171.56083876060617</v>
      </c>
      <c r="W690" s="133">
        <f t="shared" ca="1" si="215"/>
        <v>11171.087443198261</v>
      </c>
      <c r="X690" s="104">
        <f t="shared" ca="1" si="216"/>
        <v>1551.7516137168034</v>
      </c>
    </row>
    <row r="691" spans="1:24" x14ac:dyDescent="0.2">
      <c r="A691" s="98">
        <v>1</v>
      </c>
      <c r="B691" s="98">
        <v>0</v>
      </c>
      <c r="C691" s="98">
        <f t="shared" si="198"/>
        <v>5</v>
      </c>
      <c r="D691" s="98">
        <f t="shared" si="199"/>
        <v>4</v>
      </c>
      <c r="E691" s="98">
        <f t="shared" si="200"/>
        <v>1</v>
      </c>
      <c r="F691" s="118">
        <f t="shared" ca="1" si="201"/>
        <v>0.179518300416</v>
      </c>
      <c r="G691" s="98">
        <v>1</v>
      </c>
      <c r="H691" s="98">
        <v>0</v>
      </c>
      <c r="I691" s="98">
        <v>3</v>
      </c>
      <c r="J691" s="118">
        <f t="shared" ca="1" si="202"/>
        <v>0.16290125000000011</v>
      </c>
      <c r="K691" s="118">
        <f t="shared" ca="1" si="203"/>
        <v>2.924375553564194E-2</v>
      </c>
      <c r="L691" s="133">
        <f t="shared" ca="1" si="204"/>
        <v>204</v>
      </c>
      <c r="M691" s="130">
        <f t="shared" ca="1" si="205"/>
        <v>796</v>
      </c>
      <c r="N691" s="100">
        <f t="shared" ca="1" si="206"/>
        <v>4</v>
      </c>
      <c r="O691" s="136">
        <f t="shared" ca="1" si="207"/>
        <v>2.6973744602864622</v>
      </c>
      <c r="P691" s="136">
        <f t="shared" ca="1" si="208"/>
        <v>26.973744602864617</v>
      </c>
      <c r="Q691" s="136">
        <f t="shared" ca="1" si="209"/>
        <v>26.973744602864617</v>
      </c>
      <c r="R691" s="136">
        <f t="shared" ca="1" si="210"/>
        <v>2.6973744602864618</v>
      </c>
      <c r="S691" s="136">
        <f t="shared" ca="1" si="211"/>
        <v>2.6973744602864622</v>
      </c>
      <c r="T691" s="104">
        <f t="shared" ca="1" si="212"/>
        <v>7.8881359304701415E-2</v>
      </c>
      <c r="U691" s="120">
        <f t="shared" ca="1" si="213"/>
        <v>1223.0695270312358</v>
      </c>
      <c r="V691" s="104">
        <f t="shared" ca="1" si="214"/>
        <v>35.767146251594674</v>
      </c>
      <c r="W691" s="133">
        <f t="shared" ca="1" si="215"/>
        <v>8993.4875517366127</v>
      </c>
      <c r="X691" s="104">
        <f t="shared" ca="1" si="216"/>
        <v>263.00335137582442</v>
      </c>
    </row>
    <row r="692" spans="1:24" x14ac:dyDescent="0.2">
      <c r="A692" s="98">
        <v>1</v>
      </c>
      <c r="B692" s="98">
        <v>0</v>
      </c>
      <c r="C692" s="98">
        <f t="shared" si="198"/>
        <v>5</v>
      </c>
      <c r="D692" s="98">
        <f t="shared" si="199"/>
        <v>4</v>
      </c>
      <c r="E692" s="98">
        <f t="shared" si="200"/>
        <v>1</v>
      </c>
      <c r="F692" s="118">
        <f t="shared" ca="1" si="201"/>
        <v>0.179518300416</v>
      </c>
      <c r="G692" s="98">
        <v>1</v>
      </c>
      <c r="H692" s="98">
        <v>0</v>
      </c>
      <c r="I692" s="98">
        <v>2</v>
      </c>
      <c r="J692" s="118">
        <f t="shared" ca="1" si="202"/>
        <v>1.2860625000000021E-2</v>
      </c>
      <c r="K692" s="118">
        <f t="shared" ca="1" si="203"/>
        <v>2.308717542287524E-3</v>
      </c>
      <c r="L692" s="133">
        <f t="shared" ca="1" si="204"/>
        <v>192</v>
      </c>
      <c r="M692" s="130">
        <f t="shared" ca="1" si="205"/>
        <v>808</v>
      </c>
      <c r="N692" s="100">
        <f t="shared" ca="1" si="206"/>
        <v>4</v>
      </c>
      <c r="O692" s="136">
        <f t="shared" ca="1" si="207"/>
        <v>2.6973744602864622</v>
      </c>
      <c r="P692" s="136">
        <f t="shared" ca="1" si="208"/>
        <v>26.973744602864617</v>
      </c>
      <c r="Q692" s="136">
        <f t="shared" ca="1" si="209"/>
        <v>26.973744602864617</v>
      </c>
      <c r="R692" s="136">
        <f t="shared" ca="1" si="210"/>
        <v>2.6973744602864618</v>
      </c>
      <c r="S692" s="136">
        <f t="shared" ca="1" si="211"/>
        <v>2.6973744602864622</v>
      </c>
      <c r="T692" s="104">
        <f t="shared" ca="1" si="212"/>
        <v>6.2274757345816972E-3</v>
      </c>
      <c r="U692" s="120">
        <f t="shared" ca="1" si="213"/>
        <v>1211.0695270312358</v>
      </c>
      <c r="V692" s="104">
        <f t="shared" ca="1" si="214"/>
        <v>2.7960174619868687</v>
      </c>
      <c r="W692" s="133">
        <f t="shared" ca="1" si="215"/>
        <v>6815.8876602749624</v>
      </c>
      <c r="X692" s="104">
        <f t="shared" ca="1" si="216"/>
        <v>15.735959407537873</v>
      </c>
    </row>
    <row r="693" spans="1:24" x14ac:dyDescent="0.2">
      <c r="A693" s="98">
        <v>1</v>
      </c>
      <c r="B693" s="98">
        <v>0</v>
      </c>
      <c r="C693" s="98">
        <f t="shared" si="198"/>
        <v>5</v>
      </c>
      <c r="D693" s="98">
        <f t="shared" si="199"/>
        <v>4</v>
      </c>
      <c r="E693" s="98">
        <f t="shared" si="200"/>
        <v>1</v>
      </c>
      <c r="F693" s="118">
        <f t="shared" ca="1" si="201"/>
        <v>0.179518300416</v>
      </c>
      <c r="G693" s="98">
        <v>1</v>
      </c>
      <c r="H693" s="98">
        <v>0</v>
      </c>
      <c r="I693" s="98">
        <v>1</v>
      </c>
      <c r="J693" s="118">
        <f t="shared" ca="1" si="202"/>
        <v>4.5125000000000118E-4</v>
      </c>
      <c r="K693" s="118">
        <f t="shared" ca="1" si="203"/>
        <v>8.1007633062720212E-5</v>
      </c>
      <c r="L693" s="133">
        <f t="shared" ca="1" si="204"/>
        <v>180</v>
      </c>
      <c r="M693" s="130">
        <f t="shared" ca="1" si="205"/>
        <v>820</v>
      </c>
      <c r="N693" s="100">
        <f t="shared" ca="1" si="206"/>
        <v>4</v>
      </c>
      <c r="O693" s="136">
        <f t="shared" ca="1" si="207"/>
        <v>2.6973744602864622</v>
      </c>
      <c r="P693" s="136">
        <f t="shared" ca="1" si="208"/>
        <v>26.973744602864617</v>
      </c>
      <c r="Q693" s="136">
        <f t="shared" ca="1" si="209"/>
        <v>26.973744602864617</v>
      </c>
      <c r="R693" s="136">
        <f t="shared" ca="1" si="210"/>
        <v>2.6973744602864618</v>
      </c>
      <c r="S693" s="136">
        <f t="shared" ca="1" si="211"/>
        <v>2.6973744602864622</v>
      </c>
      <c r="T693" s="104">
        <f t="shared" ca="1" si="212"/>
        <v>2.185079205116387E-4</v>
      </c>
      <c r="U693" s="120">
        <f t="shared" ca="1" si="213"/>
        <v>1199.0695270312358</v>
      </c>
      <c r="V693" s="104">
        <f t="shared" ca="1" si="214"/>
        <v>9.7133784262435824E-2</v>
      </c>
      <c r="W693" s="133">
        <f t="shared" ca="1" si="215"/>
        <v>4638.2877688133131</v>
      </c>
      <c r="X693" s="104">
        <f t="shared" ca="1" si="216"/>
        <v>0.37573671361533212</v>
      </c>
    </row>
    <row r="694" spans="1:24" x14ac:dyDescent="0.2">
      <c r="A694" s="98">
        <v>1</v>
      </c>
      <c r="B694" s="98">
        <v>0</v>
      </c>
      <c r="C694" s="98">
        <f t="shared" si="198"/>
        <v>5</v>
      </c>
      <c r="D694" s="98">
        <f t="shared" si="199"/>
        <v>4</v>
      </c>
      <c r="E694" s="98">
        <f t="shared" si="200"/>
        <v>1</v>
      </c>
      <c r="F694" s="118">
        <f t="shared" ca="1" si="201"/>
        <v>0.179518300416</v>
      </c>
      <c r="G694" s="98">
        <v>1</v>
      </c>
      <c r="H694" s="98">
        <v>0</v>
      </c>
      <c r="I694" s="98">
        <v>0</v>
      </c>
      <c r="J694" s="118">
        <f t="shared" ca="1" si="202"/>
        <v>5.9375000000000207E-6</v>
      </c>
      <c r="K694" s="118">
        <f t="shared" ca="1" si="203"/>
        <v>1.0658899087200037E-6</v>
      </c>
      <c r="L694" s="133">
        <f t="shared" ca="1" si="204"/>
        <v>168</v>
      </c>
      <c r="M694" s="130">
        <f t="shared" ca="1" si="205"/>
        <v>832</v>
      </c>
      <c r="N694" s="100">
        <f t="shared" ca="1" si="206"/>
        <v>4</v>
      </c>
      <c r="O694" s="136">
        <f t="shared" ca="1" si="207"/>
        <v>2.6973744602864622</v>
      </c>
      <c r="P694" s="136">
        <f t="shared" ca="1" si="208"/>
        <v>26.973744602864617</v>
      </c>
      <c r="Q694" s="136">
        <f t="shared" ca="1" si="209"/>
        <v>26.973744602864617</v>
      </c>
      <c r="R694" s="136">
        <f t="shared" ca="1" si="210"/>
        <v>2.6973744602864618</v>
      </c>
      <c r="S694" s="136">
        <f t="shared" ca="1" si="211"/>
        <v>2.6973744602864622</v>
      </c>
      <c r="T694" s="104">
        <f t="shared" ca="1" si="212"/>
        <v>2.8751042172584066E-6</v>
      </c>
      <c r="U694" s="120">
        <f t="shared" ca="1" si="213"/>
        <v>1187.0695270312358</v>
      </c>
      <c r="V694" s="104">
        <f t="shared" ca="1" si="214"/>
        <v>1.2652854298116219E-3</v>
      </c>
      <c r="W694" s="133">
        <f t="shared" ca="1" si="215"/>
        <v>2460.6878773516637</v>
      </c>
      <c r="X694" s="104">
        <f t="shared" ca="1" si="216"/>
        <v>2.6228223769787845E-3</v>
      </c>
    </row>
    <row r="695" spans="1:24" x14ac:dyDescent="0.2">
      <c r="A695" s="98">
        <v>1</v>
      </c>
      <c r="B695" s="98">
        <v>0</v>
      </c>
      <c r="C695" s="98">
        <f t="shared" si="198"/>
        <v>5</v>
      </c>
      <c r="D695" s="98">
        <f t="shared" si="199"/>
        <v>4</v>
      </c>
      <c r="E695" s="98">
        <f t="shared" si="200"/>
        <v>1</v>
      </c>
      <c r="F695" s="118">
        <f t="shared" ca="1" si="201"/>
        <v>0.179518300416</v>
      </c>
      <c r="G695" s="98">
        <v>0</v>
      </c>
      <c r="H695" s="98">
        <v>1</v>
      </c>
      <c r="I695" s="98">
        <v>7</v>
      </c>
      <c r="J695" s="118">
        <f t="shared" si="202"/>
        <v>0</v>
      </c>
      <c r="K695" s="118">
        <f t="shared" ca="1" si="203"/>
        <v>0</v>
      </c>
      <c r="L695" s="133">
        <f t="shared" ca="1" si="204"/>
        <v>252</v>
      </c>
      <c r="M695" s="130">
        <f t="shared" ca="1" si="205"/>
        <v>748</v>
      </c>
      <c r="N695" s="100">
        <f t="shared" ca="1" si="206"/>
        <v>4</v>
      </c>
      <c r="O695" s="136">
        <f t="shared" ca="1" si="207"/>
        <v>2.6973744602864622</v>
      </c>
      <c r="P695" s="136">
        <f t="shared" ca="1" si="208"/>
        <v>26.973744602864617</v>
      </c>
      <c r="Q695" s="136">
        <f t="shared" ca="1" si="209"/>
        <v>26.973744602864617</v>
      </c>
      <c r="R695" s="136">
        <f t="shared" ca="1" si="210"/>
        <v>2.6973744602864618</v>
      </c>
      <c r="S695" s="136">
        <f t="shared" ca="1" si="211"/>
        <v>2.6973744602864622</v>
      </c>
      <c r="T695" s="104">
        <f t="shared" ca="1" si="212"/>
        <v>0</v>
      </c>
      <c r="U695" s="120">
        <f t="shared" ca="1" si="213"/>
        <v>1271.0695270312358</v>
      </c>
      <c r="V695" s="104">
        <f t="shared" ca="1" si="214"/>
        <v>0</v>
      </c>
      <c r="W695" s="133">
        <f t="shared" ca="1" si="215"/>
        <v>17420.799131693195</v>
      </c>
      <c r="X695" s="104">
        <f t="shared" ca="1" si="216"/>
        <v>0</v>
      </c>
    </row>
    <row r="696" spans="1:24" x14ac:dyDescent="0.2">
      <c r="A696" s="98">
        <v>1</v>
      </c>
      <c r="B696" s="98">
        <v>0</v>
      </c>
      <c r="C696" s="98">
        <f t="shared" si="198"/>
        <v>5</v>
      </c>
      <c r="D696" s="98">
        <f t="shared" si="199"/>
        <v>4</v>
      </c>
      <c r="E696" s="98">
        <f t="shared" si="200"/>
        <v>1</v>
      </c>
      <c r="F696" s="118">
        <f t="shared" ca="1" si="201"/>
        <v>0.179518300416</v>
      </c>
      <c r="G696" s="98">
        <v>0</v>
      </c>
      <c r="H696" s="98">
        <v>1</v>
      </c>
      <c r="I696" s="98">
        <v>6</v>
      </c>
      <c r="J696" s="118">
        <f t="shared" si="202"/>
        <v>0</v>
      </c>
      <c r="K696" s="118">
        <f t="shared" ca="1" si="203"/>
        <v>0</v>
      </c>
      <c r="L696" s="133">
        <f t="shared" ca="1" si="204"/>
        <v>240</v>
      </c>
      <c r="M696" s="130">
        <f t="shared" ca="1" si="205"/>
        <v>760</v>
      </c>
      <c r="N696" s="100">
        <f t="shared" ca="1" si="206"/>
        <v>4</v>
      </c>
      <c r="O696" s="136">
        <f t="shared" ca="1" si="207"/>
        <v>2.6973744602864622</v>
      </c>
      <c r="P696" s="136">
        <f t="shared" ca="1" si="208"/>
        <v>26.973744602864617</v>
      </c>
      <c r="Q696" s="136">
        <f t="shared" ca="1" si="209"/>
        <v>26.973744602864617</v>
      </c>
      <c r="R696" s="136">
        <f t="shared" ca="1" si="210"/>
        <v>2.6973744602864618</v>
      </c>
      <c r="S696" s="136">
        <f t="shared" ca="1" si="211"/>
        <v>2.6973744602864622</v>
      </c>
      <c r="T696" s="104">
        <f t="shared" ca="1" si="212"/>
        <v>0</v>
      </c>
      <c r="U696" s="120">
        <f t="shared" ca="1" si="213"/>
        <v>1259.0695270312358</v>
      </c>
      <c r="V696" s="104">
        <f t="shared" ca="1" si="214"/>
        <v>0</v>
      </c>
      <c r="W696" s="133">
        <f t="shared" ca="1" si="215"/>
        <v>15243.199240231548</v>
      </c>
      <c r="X696" s="104">
        <f t="shared" ca="1" si="216"/>
        <v>0</v>
      </c>
    </row>
    <row r="697" spans="1:24" x14ac:dyDescent="0.2">
      <c r="A697" s="98">
        <v>1</v>
      </c>
      <c r="B697" s="98">
        <v>0</v>
      </c>
      <c r="C697" s="98">
        <f t="shared" si="198"/>
        <v>5</v>
      </c>
      <c r="D697" s="98">
        <f t="shared" si="199"/>
        <v>4</v>
      </c>
      <c r="E697" s="98">
        <f t="shared" si="200"/>
        <v>1</v>
      </c>
      <c r="F697" s="118">
        <f t="shared" ca="1" si="201"/>
        <v>0.179518300416</v>
      </c>
      <c r="G697" s="98">
        <v>0</v>
      </c>
      <c r="H697" s="98">
        <v>1</v>
      </c>
      <c r="I697" s="98">
        <v>5</v>
      </c>
      <c r="J697" s="118">
        <f t="shared" si="202"/>
        <v>0</v>
      </c>
      <c r="K697" s="118">
        <f t="shared" ca="1" si="203"/>
        <v>0</v>
      </c>
      <c r="L697" s="133">
        <f t="shared" ca="1" si="204"/>
        <v>228</v>
      </c>
      <c r="M697" s="130">
        <f t="shared" ca="1" si="205"/>
        <v>772</v>
      </c>
      <c r="N697" s="100">
        <f t="shared" ca="1" si="206"/>
        <v>4</v>
      </c>
      <c r="O697" s="136">
        <f t="shared" ca="1" si="207"/>
        <v>2.6973744602864622</v>
      </c>
      <c r="P697" s="136">
        <f t="shared" ca="1" si="208"/>
        <v>26.973744602864617</v>
      </c>
      <c r="Q697" s="136">
        <f t="shared" ca="1" si="209"/>
        <v>26.973744602864617</v>
      </c>
      <c r="R697" s="136">
        <f t="shared" ca="1" si="210"/>
        <v>2.6973744602864618</v>
      </c>
      <c r="S697" s="136">
        <f t="shared" ca="1" si="211"/>
        <v>2.6973744602864622</v>
      </c>
      <c r="T697" s="104">
        <f t="shared" ca="1" si="212"/>
        <v>0</v>
      </c>
      <c r="U697" s="120">
        <f t="shared" ca="1" si="213"/>
        <v>1247.0695270312358</v>
      </c>
      <c r="V697" s="104">
        <f t="shared" ca="1" si="214"/>
        <v>0</v>
      </c>
      <c r="W697" s="133">
        <f t="shared" ca="1" si="215"/>
        <v>13065.599348769898</v>
      </c>
      <c r="X697" s="104">
        <f t="shared" ca="1" si="216"/>
        <v>0</v>
      </c>
    </row>
    <row r="698" spans="1:24" x14ac:dyDescent="0.2">
      <c r="A698" s="98">
        <v>1</v>
      </c>
      <c r="B698" s="98">
        <v>0</v>
      </c>
      <c r="C698" s="98">
        <f t="shared" si="198"/>
        <v>5</v>
      </c>
      <c r="D698" s="98">
        <f t="shared" si="199"/>
        <v>4</v>
      </c>
      <c r="E698" s="98">
        <f t="shared" si="200"/>
        <v>1</v>
      </c>
      <c r="F698" s="118">
        <f t="shared" ca="1" si="201"/>
        <v>0.179518300416</v>
      </c>
      <c r="G698" s="98">
        <v>0</v>
      </c>
      <c r="H698" s="98">
        <v>1</v>
      </c>
      <c r="I698" s="98">
        <v>4</v>
      </c>
      <c r="J698" s="118">
        <f t="shared" ca="1" si="202"/>
        <v>0</v>
      </c>
      <c r="K698" s="118">
        <f t="shared" ca="1" si="203"/>
        <v>0</v>
      </c>
      <c r="L698" s="133">
        <f t="shared" ca="1" si="204"/>
        <v>216</v>
      </c>
      <c r="M698" s="130">
        <f t="shared" ca="1" si="205"/>
        <v>784</v>
      </c>
      <c r="N698" s="100">
        <f t="shared" ca="1" si="206"/>
        <v>4</v>
      </c>
      <c r="O698" s="136">
        <f t="shared" ca="1" si="207"/>
        <v>2.6973744602864622</v>
      </c>
      <c r="P698" s="136">
        <f t="shared" ca="1" si="208"/>
        <v>26.973744602864617</v>
      </c>
      <c r="Q698" s="136">
        <f t="shared" ca="1" si="209"/>
        <v>26.973744602864617</v>
      </c>
      <c r="R698" s="136">
        <f t="shared" ca="1" si="210"/>
        <v>2.6973744602864618</v>
      </c>
      <c r="S698" s="136">
        <f t="shared" ca="1" si="211"/>
        <v>2.6973744602864622</v>
      </c>
      <c r="T698" s="104">
        <f t="shared" ca="1" si="212"/>
        <v>0</v>
      </c>
      <c r="U698" s="120">
        <f t="shared" ca="1" si="213"/>
        <v>1235.0695270312358</v>
      </c>
      <c r="V698" s="104">
        <f t="shared" ca="1" si="214"/>
        <v>0</v>
      </c>
      <c r="W698" s="133">
        <f t="shared" ca="1" si="215"/>
        <v>10887.999457308248</v>
      </c>
      <c r="X698" s="104">
        <f t="shared" ca="1" si="216"/>
        <v>0</v>
      </c>
    </row>
    <row r="699" spans="1:24" x14ac:dyDescent="0.2">
      <c r="A699" s="98">
        <v>1</v>
      </c>
      <c r="B699" s="98">
        <v>0</v>
      </c>
      <c r="C699" s="98">
        <f t="shared" si="198"/>
        <v>5</v>
      </c>
      <c r="D699" s="98">
        <f t="shared" si="199"/>
        <v>4</v>
      </c>
      <c r="E699" s="98">
        <f t="shared" si="200"/>
        <v>1</v>
      </c>
      <c r="F699" s="118">
        <f t="shared" ca="1" si="201"/>
        <v>0.179518300416</v>
      </c>
      <c r="G699" s="98">
        <v>0</v>
      </c>
      <c r="H699" s="98">
        <v>1</v>
      </c>
      <c r="I699" s="98">
        <v>3</v>
      </c>
      <c r="J699" s="118">
        <f t="shared" ca="1" si="202"/>
        <v>0</v>
      </c>
      <c r="K699" s="118">
        <f t="shared" ca="1" si="203"/>
        <v>0</v>
      </c>
      <c r="L699" s="133">
        <f t="shared" ca="1" si="204"/>
        <v>204</v>
      </c>
      <c r="M699" s="130">
        <f t="shared" ca="1" si="205"/>
        <v>796</v>
      </c>
      <c r="N699" s="100">
        <f t="shared" ca="1" si="206"/>
        <v>4</v>
      </c>
      <c r="O699" s="136">
        <f t="shared" ca="1" si="207"/>
        <v>2.6973744602864622</v>
      </c>
      <c r="P699" s="136">
        <f t="shared" ca="1" si="208"/>
        <v>26.973744602864617</v>
      </c>
      <c r="Q699" s="136">
        <f t="shared" ca="1" si="209"/>
        <v>26.973744602864617</v>
      </c>
      <c r="R699" s="136">
        <f t="shared" ca="1" si="210"/>
        <v>2.6973744602864618</v>
      </c>
      <c r="S699" s="136">
        <f t="shared" ca="1" si="211"/>
        <v>2.6973744602864622</v>
      </c>
      <c r="T699" s="104">
        <f t="shared" ca="1" si="212"/>
        <v>0</v>
      </c>
      <c r="U699" s="120">
        <f t="shared" ca="1" si="213"/>
        <v>1223.0695270312358</v>
      </c>
      <c r="V699" s="104">
        <f t="shared" ca="1" si="214"/>
        <v>0</v>
      </c>
      <c r="W699" s="133">
        <f t="shared" ca="1" si="215"/>
        <v>8710.3995658465974</v>
      </c>
      <c r="X699" s="104">
        <f t="shared" ca="1" si="216"/>
        <v>0</v>
      </c>
    </row>
    <row r="700" spans="1:24" x14ac:dyDescent="0.2">
      <c r="A700" s="98">
        <v>1</v>
      </c>
      <c r="B700" s="98">
        <v>0</v>
      </c>
      <c r="C700" s="98">
        <f t="shared" si="198"/>
        <v>5</v>
      </c>
      <c r="D700" s="98">
        <f t="shared" si="199"/>
        <v>4</v>
      </c>
      <c r="E700" s="98">
        <f t="shared" si="200"/>
        <v>1</v>
      </c>
      <c r="F700" s="118">
        <f t="shared" ca="1" si="201"/>
        <v>0.179518300416</v>
      </c>
      <c r="G700" s="98">
        <v>0</v>
      </c>
      <c r="H700" s="98">
        <v>1</v>
      </c>
      <c r="I700" s="98">
        <v>2</v>
      </c>
      <c r="J700" s="118">
        <f t="shared" ca="1" si="202"/>
        <v>0</v>
      </c>
      <c r="K700" s="118">
        <f t="shared" ca="1" si="203"/>
        <v>0</v>
      </c>
      <c r="L700" s="133">
        <f t="shared" ca="1" si="204"/>
        <v>192</v>
      </c>
      <c r="M700" s="130">
        <f t="shared" ca="1" si="205"/>
        <v>808</v>
      </c>
      <c r="N700" s="100">
        <f t="shared" ca="1" si="206"/>
        <v>4</v>
      </c>
      <c r="O700" s="136">
        <f t="shared" ca="1" si="207"/>
        <v>2.6973744602864622</v>
      </c>
      <c r="P700" s="136">
        <f t="shared" ca="1" si="208"/>
        <v>26.973744602864617</v>
      </c>
      <c r="Q700" s="136">
        <f t="shared" ca="1" si="209"/>
        <v>26.973744602864617</v>
      </c>
      <c r="R700" s="136">
        <f t="shared" ca="1" si="210"/>
        <v>2.6973744602864618</v>
      </c>
      <c r="S700" s="136">
        <f t="shared" ca="1" si="211"/>
        <v>2.6973744602864622</v>
      </c>
      <c r="T700" s="104">
        <f t="shared" ca="1" si="212"/>
        <v>0</v>
      </c>
      <c r="U700" s="120">
        <f t="shared" ca="1" si="213"/>
        <v>1211.0695270312358</v>
      </c>
      <c r="V700" s="104">
        <f t="shared" ca="1" si="214"/>
        <v>0</v>
      </c>
      <c r="W700" s="133">
        <f t="shared" ca="1" si="215"/>
        <v>6532.799674384948</v>
      </c>
      <c r="X700" s="104">
        <f t="shared" ca="1" si="216"/>
        <v>0</v>
      </c>
    </row>
    <row r="701" spans="1:24" x14ac:dyDescent="0.2">
      <c r="A701" s="98">
        <v>1</v>
      </c>
      <c r="B701" s="98">
        <v>0</v>
      </c>
      <c r="C701" s="98">
        <f t="shared" si="198"/>
        <v>5</v>
      </c>
      <c r="D701" s="98">
        <f t="shared" si="199"/>
        <v>4</v>
      </c>
      <c r="E701" s="98">
        <f t="shared" si="200"/>
        <v>1</v>
      </c>
      <c r="F701" s="118">
        <f t="shared" ca="1" si="201"/>
        <v>0.179518300416</v>
      </c>
      <c r="G701" s="98">
        <v>0</v>
      </c>
      <c r="H701" s="98">
        <v>1</v>
      </c>
      <c r="I701" s="98">
        <v>1</v>
      </c>
      <c r="J701" s="118">
        <f t="shared" ca="1" si="202"/>
        <v>0</v>
      </c>
      <c r="K701" s="118">
        <f t="shared" ca="1" si="203"/>
        <v>0</v>
      </c>
      <c r="L701" s="133">
        <f t="shared" ca="1" si="204"/>
        <v>180</v>
      </c>
      <c r="M701" s="130">
        <f t="shared" ca="1" si="205"/>
        <v>820</v>
      </c>
      <c r="N701" s="100">
        <f t="shared" ca="1" si="206"/>
        <v>4</v>
      </c>
      <c r="O701" s="136">
        <f t="shared" ca="1" si="207"/>
        <v>2.6973744602864622</v>
      </c>
      <c r="P701" s="136">
        <f t="shared" ca="1" si="208"/>
        <v>26.973744602864617</v>
      </c>
      <c r="Q701" s="136">
        <f t="shared" ca="1" si="209"/>
        <v>26.973744602864617</v>
      </c>
      <c r="R701" s="136">
        <f t="shared" ca="1" si="210"/>
        <v>2.6973744602864618</v>
      </c>
      <c r="S701" s="136">
        <f t="shared" ca="1" si="211"/>
        <v>2.6973744602864622</v>
      </c>
      <c r="T701" s="104">
        <f t="shared" ca="1" si="212"/>
        <v>0</v>
      </c>
      <c r="U701" s="120">
        <f t="shared" ca="1" si="213"/>
        <v>1199.0695270312358</v>
      </c>
      <c r="V701" s="104">
        <f t="shared" ca="1" si="214"/>
        <v>0</v>
      </c>
      <c r="W701" s="133">
        <f t="shared" ca="1" si="215"/>
        <v>4355.1997829232987</v>
      </c>
      <c r="X701" s="104">
        <f t="shared" ca="1" si="216"/>
        <v>0</v>
      </c>
    </row>
    <row r="702" spans="1:24" x14ac:dyDescent="0.2">
      <c r="A702" s="98">
        <v>1</v>
      </c>
      <c r="B702" s="98">
        <v>0</v>
      </c>
      <c r="C702" s="98">
        <f t="shared" si="198"/>
        <v>5</v>
      </c>
      <c r="D702" s="98">
        <f t="shared" si="199"/>
        <v>4</v>
      </c>
      <c r="E702" s="98">
        <f t="shared" si="200"/>
        <v>1</v>
      </c>
      <c r="F702" s="118">
        <f t="shared" ca="1" si="201"/>
        <v>0.179518300416</v>
      </c>
      <c r="G702" s="98">
        <v>0</v>
      </c>
      <c r="H702" s="98">
        <v>1</v>
      </c>
      <c r="I702" s="98">
        <v>0</v>
      </c>
      <c r="J702" s="118">
        <f t="shared" ca="1" si="202"/>
        <v>0</v>
      </c>
      <c r="K702" s="118">
        <f t="shared" ca="1" si="203"/>
        <v>0</v>
      </c>
      <c r="L702" s="133">
        <f t="shared" ca="1" si="204"/>
        <v>168</v>
      </c>
      <c r="M702" s="130">
        <f t="shared" ca="1" si="205"/>
        <v>832</v>
      </c>
      <c r="N702" s="100">
        <f t="shared" ca="1" si="206"/>
        <v>4</v>
      </c>
      <c r="O702" s="136">
        <f t="shared" ca="1" si="207"/>
        <v>2.6973744602864622</v>
      </c>
      <c r="P702" s="136">
        <f t="shared" ca="1" si="208"/>
        <v>26.973744602864617</v>
      </c>
      <c r="Q702" s="136">
        <f t="shared" ca="1" si="209"/>
        <v>26.973744602864617</v>
      </c>
      <c r="R702" s="136">
        <f t="shared" ca="1" si="210"/>
        <v>2.6973744602864618</v>
      </c>
      <c r="S702" s="136">
        <f t="shared" ca="1" si="211"/>
        <v>2.6973744602864622</v>
      </c>
      <c r="T702" s="104">
        <f t="shared" ca="1" si="212"/>
        <v>0</v>
      </c>
      <c r="U702" s="120">
        <f t="shared" ca="1" si="213"/>
        <v>1187.0695270312358</v>
      </c>
      <c r="V702" s="104">
        <f t="shared" ca="1" si="214"/>
        <v>0</v>
      </c>
      <c r="W702" s="133">
        <f t="shared" ca="1" si="215"/>
        <v>2177.5998914616493</v>
      </c>
      <c r="X702" s="104">
        <f t="shared" ca="1" si="216"/>
        <v>0</v>
      </c>
    </row>
    <row r="703" spans="1:24" x14ac:dyDescent="0.2">
      <c r="A703" s="98">
        <v>1</v>
      </c>
      <c r="B703" s="98">
        <v>0</v>
      </c>
      <c r="C703" s="98">
        <f t="shared" si="198"/>
        <v>5</v>
      </c>
      <c r="D703" s="98">
        <f t="shared" si="199"/>
        <v>4</v>
      </c>
      <c r="E703" s="98">
        <f t="shared" si="200"/>
        <v>1</v>
      </c>
      <c r="F703" s="118">
        <f t="shared" ca="1" si="201"/>
        <v>0.179518300416</v>
      </c>
      <c r="G703" s="98">
        <v>0</v>
      </c>
      <c r="H703" s="98">
        <v>0</v>
      </c>
      <c r="I703" s="98">
        <v>7</v>
      </c>
      <c r="J703" s="118">
        <f t="shared" si="202"/>
        <v>0</v>
      </c>
      <c r="K703" s="118">
        <f t="shared" ca="1" si="203"/>
        <v>0</v>
      </c>
      <c r="L703" s="133">
        <f t="shared" ca="1" si="204"/>
        <v>84</v>
      </c>
      <c r="M703" s="130">
        <f t="shared" ca="1" si="205"/>
        <v>916</v>
      </c>
      <c r="N703" s="100">
        <f t="shared" ca="1" si="206"/>
        <v>5</v>
      </c>
      <c r="O703" s="136">
        <f t="shared" ca="1" si="207"/>
        <v>3.301004590397413</v>
      </c>
      <c r="P703" s="136">
        <f t="shared" ca="1" si="208"/>
        <v>33.010045903974124</v>
      </c>
      <c r="Q703" s="136">
        <f t="shared" ca="1" si="209"/>
        <v>33.010045903974124</v>
      </c>
      <c r="R703" s="136">
        <f t="shared" ca="1" si="210"/>
        <v>3.3010045903974126</v>
      </c>
      <c r="S703" s="136">
        <f t="shared" ca="1" si="211"/>
        <v>3.3010045903974126</v>
      </c>
      <c r="T703" s="104">
        <f t="shared" ca="1" si="212"/>
        <v>0</v>
      </c>
      <c r="U703" s="120">
        <f t="shared" ca="1" si="213"/>
        <v>1323.3671890482913</v>
      </c>
      <c r="V703" s="104">
        <f t="shared" ca="1" si="214"/>
        <v>0</v>
      </c>
      <c r="W703" s="133">
        <f t="shared" ca="1" si="215"/>
        <v>15243.199240231546</v>
      </c>
      <c r="X703" s="104">
        <f t="shared" ca="1" si="216"/>
        <v>0</v>
      </c>
    </row>
    <row r="704" spans="1:24" x14ac:dyDescent="0.2">
      <c r="A704" s="98">
        <v>1</v>
      </c>
      <c r="B704" s="98">
        <v>0</v>
      </c>
      <c r="C704" s="98">
        <f t="shared" si="198"/>
        <v>5</v>
      </c>
      <c r="D704" s="98">
        <f t="shared" si="199"/>
        <v>4</v>
      </c>
      <c r="E704" s="98">
        <f t="shared" si="200"/>
        <v>1</v>
      </c>
      <c r="F704" s="118">
        <f t="shared" ca="1" si="201"/>
        <v>0.179518300416</v>
      </c>
      <c r="G704" s="98">
        <v>0</v>
      </c>
      <c r="H704" s="98">
        <v>0</v>
      </c>
      <c r="I704" s="98">
        <v>6</v>
      </c>
      <c r="J704" s="118">
        <f t="shared" si="202"/>
        <v>0</v>
      </c>
      <c r="K704" s="118">
        <f t="shared" ca="1" si="203"/>
        <v>0</v>
      </c>
      <c r="L704" s="133">
        <f t="shared" ca="1" si="204"/>
        <v>72</v>
      </c>
      <c r="M704" s="130">
        <f t="shared" ca="1" si="205"/>
        <v>928</v>
      </c>
      <c r="N704" s="100">
        <f t="shared" ca="1" si="206"/>
        <v>5</v>
      </c>
      <c r="O704" s="136">
        <f t="shared" ca="1" si="207"/>
        <v>3.301004590397413</v>
      </c>
      <c r="P704" s="136">
        <f t="shared" ca="1" si="208"/>
        <v>33.010045903974124</v>
      </c>
      <c r="Q704" s="136">
        <f t="shared" ca="1" si="209"/>
        <v>33.010045903974124</v>
      </c>
      <c r="R704" s="136">
        <f t="shared" ca="1" si="210"/>
        <v>3.3010045903974126</v>
      </c>
      <c r="S704" s="136">
        <f t="shared" ca="1" si="211"/>
        <v>3.3010045903974126</v>
      </c>
      <c r="T704" s="104">
        <f t="shared" ca="1" si="212"/>
        <v>0</v>
      </c>
      <c r="U704" s="120">
        <f t="shared" ca="1" si="213"/>
        <v>1311.3671890482913</v>
      </c>
      <c r="V704" s="104">
        <f t="shared" ca="1" si="214"/>
        <v>0</v>
      </c>
      <c r="W704" s="133">
        <f t="shared" ca="1" si="215"/>
        <v>13065.599348769898</v>
      </c>
      <c r="X704" s="104">
        <f t="shared" ca="1" si="216"/>
        <v>0</v>
      </c>
    </row>
    <row r="705" spans="1:24" x14ac:dyDescent="0.2">
      <c r="A705" s="98">
        <v>1</v>
      </c>
      <c r="B705" s="98">
        <v>0</v>
      </c>
      <c r="C705" s="98">
        <f t="shared" si="198"/>
        <v>5</v>
      </c>
      <c r="D705" s="98">
        <f t="shared" si="199"/>
        <v>4</v>
      </c>
      <c r="E705" s="98">
        <f t="shared" si="200"/>
        <v>1</v>
      </c>
      <c r="F705" s="118">
        <f t="shared" ca="1" si="201"/>
        <v>0.179518300416</v>
      </c>
      <c r="G705" s="98">
        <v>0</v>
      </c>
      <c r="H705" s="98">
        <v>0</v>
      </c>
      <c r="I705" s="98">
        <v>5</v>
      </c>
      <c r="J705" s="118">
        <f t="shared" si="202"/>
        <v>0</v>
      </c>
      <c r="K705" s="118">
        <f t="shared" ca="1" si="203"/>
        <v>0</v>
      </c>
      <c r="L705" s="133">
        <f t="shared" ca="1" si="204"/>
        <v>60</v>
      </c>
      <c r="M705" s="130">
        <f t="shared" ca="1" si="205"/>
        <v>940</v>
      </c>
      <c r="N705" s="100">
        <f t="shared" ca="1" si="206"/>
        <v>5</v>
      </c>
      <c r="O705" s="136">
        <f t="shared" ca="1" si="207"/>
        <v>3.301004590397413</v>
      </c>
      <c r="P705" s="136">
        <f t="shared" ca="1" si="208"/>
        <v>33.010045903974124</v>
      </c>
      <c r="Q705" s="136">
        <f t="shared" ca="1" si="209"/>
        <v>33.010045903974124</v>
      </c>
      <c r="R705" s="136">
        <f t="shared" ca="1" si="210"/>
        <v>3.3010045903974126</v>
      </c>
      <c r="S705" s="136">
        <f t="shared" ca="1" si="211"/>
        <v>3.3010045903974126</v>
      </c>
      <c r="T705" s="104">
        <f t="shared" ca="1" si="212"/>
        <v>0</v>
      </c>
      <c r="U705" s="120">
        <f t="shared" ca="1" si="213"/>
        <v>1299.3671890482913</v>
      </c>
      <c r="V705" s="104">
        <f t="shared" ca="1" si="214"/>
        <v>0</v>
      </c>
      <c r="W705" s="133">
        <f t="shared" ca="1" si="215"/>
        <v>10887.999457308248</v>
      </c>
      <c r="X705" s="104">
        <f t="shared" ca="1" si="216"/>
        <v>0</v>
      </c>
    </row>
    <row r="706" spans="1:24" x14ac:dyDescent="0.2">
      <c r="A706" s="98">
        <v>1</v>
      </c>
      <c r="B706" s="98">
        <v>0</v>
      </c>
      <c r="C706" s="98">
        <f t="shared" si="198"/>
        <v>5</v>
      </c>
      <c r="D706" s="98">
        <f t="shared" si="199"/>
        <v>4</v>
      </c>
      <c r="E706" s="98">
        <f t="shared" si="200"/>
        <v>1</v>
      </c>
      <c r="F706" s="118">
        <f t="shared" ca="1" si="201"/>
        <v>0.179518300416</v>
      </c>
      <c r="G706" s="98">
        <v>0</v>
      </c>
      <c r="H706" s="98">
        <v>0</v>
      </c>
      <c r="I706" s="98">
        <v>4</v>
      </c>
      <c r="J706" s="118">
        <f t="shared" ca="1" si="202"/>
        <v>4.0725312499999999E-2</v>
      </c>
      <c r="K706" s="118">
        <f t="shared" ca="1" si="203"/>
        <v>7.3109388839104799E-3</v>
      </c>
      <c r="L706" s="133">
        <f t="shared" ca="1" si="204"/>
        <v>48</v>
      </c>
      <c r="M706" s="130">
        <f t="shared" ca="1" si="205"/>
        <v>952</v>
      </c>
      <c r="N706" s="100">
        <f t="shared" ca="1" si="206"/>
        <v>5</v>
      </c>
      <c r="O706" s="136">
        <f t="shared" ca="1" si="207"/>
        <v>3.301004590397413</v>
      </c>
      <c r="P706" s="136">
        <f t="shared" ca="1" si="208"/>
        <v>33.010045903974124</v>
      </c>
      <c r="Q706" s="136">
        <f t="shared" ca="1" si="209"/>
        <v>33.010045903974124</v>
      </c>
      <c r="R706" s="136">
        <f t="shared" ca="1" si="210"/>
        <v>3.3010045903974126</v>
      </c>
      <c r="S706" s="136">
        <f t="shared" ca="1" si="211"/>
        <v>3.3010045903974126</v>
      </c>
      <c r="T706" s="104">
        <f t="shared" ca="1" si="212"/>
        <v>2.413344281590343E-2</v>
      </c>
      <c r="U706" s="120">
        <f t="shared" ca="1" si="213"/>
        <v>1287.3671890482913</v>
      </c>
      <c r="V706" s="104">
        <f t="shared" ca="1" si="214"/>
        <v>9.4118628402836855</v>
      </c>
      <c r="W706" s="133">
        <f t="shared" ca="1" si="215"/>
        <v>8710.3995658465974</v>
      </c>
      <c r="X706" s="104">
        <f t="shared" ca="1" si="216"/>
        <v>63.681198880344851</v>
      </c>
    </row>
    <row r="707" spans="1:24" x14ac:dyDescent="0.2">
      <c r="A707" s="98">
        <v>1</v>
      </c>
      <c r="B707" s="98">
        <v>0</v>
      </c>
      <c r="C707" s="98">
        <f t="shared" si="198"/>
        <v>5</v>
      </c>
      <c r="D707" s="98">
        <f t="shared" si="199"/>
        <v>4</v>
      </c>
      <c r="E707" s="98">
        <f t="shared" si="200"/>
        <v>1</v>
      </c>
      <c r="F707" s="118">
        <f t="shared" ca="1" si="201"/>
        <v>0.179518300416</v>
      </c>
      <c r="G707" s="98">
        <v>0</v>
      </c>
      <c r="H707" s="98">
        <v>0</v>
      </c>
      <c r="I707" s="98">
        <v>3</v>
      </c>
      <c r="J707" s="118">
        <f t="shared" ca="1" si="202"/>
        <v>8.5737500000000067E-3</v>
      </c>
      <c r="K707" s="118">
        <f t="shared" ca="1" si="203"/>
        <v>1.5391450281916812E-3</v>
      </c>
      <c r="L707" s="133">
        <f t="shared" ca="1" si="204"/>
        <v>36</v>
      </c>
      <c r="M707" s="130">
        <f t="shared" ca="1" si="205"/>
        <v>964</v>
      </c>
      <c r="N707" s="100">
        <f t="shared" ca="1" si="206"/>
        <v>5</v>
      </c>
      <c r="O707" s="136">
        <f t="shared" ca="1" si="207"/>
        <v>3.301004590397413</v>
      </c>
      <c r="P707" s="136">
        <f t="shared" ca="1" si="208"/>
        <v>33.010045903974124</v>
      </c>
      <c r="Q707" s="136">
        <f t="shared" ca="1" si="209"/>
        <v>33.010045903974124</v>
      </c>
      <c r="R707" s="136">
        <f t="shared" ca="1" si="210"/>
        <v>3.3010045903974126</v>
      </c>
      <c r="S707" s="136">
        <f t="shared" ca="1" si="211"/>
        <v>3.3010045903974126</v>
      </c>
      <c r="T707" s="104">
        <f t="shared" ca="1" si="212"/>
        <v>5.0807248033480946E-3</v>
      </c>
      <c r="U707" s="120">
        <f t="shared" ca="1" si="213"/>
        <v>1275.3671890482913</v>
      </c>
      <c r="V707" s="104">
        <f t="shared" ca="1" si="214"/>
        <v>1.9629750681424776</v>
      </c>
      <c r="W707" s="133">
        <f t="shared" ca="1" si="215"/>
        <v>6532.799674384949</v>
      </c>
      <c r="X707" s="104">
        <f t="shared" ca="1" si="216"/>
        <v>10.054926139001829</v>
      </c>
    </row>
    <row r="708" spans="1:24" x14ac:dyDescent="0.2">
      <c r="A708" s="98">
        <v>1</v>
      </c>
      <c r="B708" s="98">
        <v>0</v>
      </c>
      <c r="C708" s="98">
        <f t="shared" si="198"/>
        <v>5</v>
      </c>
      <c r="D708" s="98">
        <f t="shared" si="199"/>
        <v>4</v>
      </c>
      <c r="E708" s="98">
        <f t="shared" si="200"/>
        <v>1</v>
      </c>
      <c r="F708" s="118">
        <f t="shared" ca="1" si="201"/>
        <v>0.179518300416</v>
      </c>
      <c r="G708" s="98">
        <v>0</v>
      </c>
      <c r="H708" s="98">
        <v>0</v>
      </c>
      <c r="I708" s="98">
        <v>2</v>
      </c>
      <c r="J708" s="118">
        <f t="shared" ca="1" si="202"/>
        <v>6.7687500000000126E-4</v>
      </c>
      <c r="K708" s="118">
        <f t="shared" ca="1" si="203"/>
        <v>1.2151144959408022E-4</v>
      </c>
      <c r="L708" s="133">
        <f t="shared" ca="1" si="204"/>
        <v>24</v>
      </c>
      <c r="M708" s="130">
        <f t="shared" ca="1" si="205"/>
        <v>976</v>
      </c>
      <c r="N708" s="100">
        <f t="shared" ca="1" si="206"/>
        <v>5</v>
      </c>
      <c r="O708" s="136">
        <f t="shared" ca="1" si="207"/>
        <v>3.301004590397413</v>
      </c>
      <c r="P708" s="136">
        <f t="shared" ca="1" si="208"/>
        <v>33.010045903974124</v>
      </c>
      <c r="Q708" s="136">
        <f t="shared" ca="1" si="209"/>
        <v>33.010045903974124</v>
      </c>
      <c r="R708" s="136">
        <f t="shared" ca="1" si="210"/>
        <v>3.3010045903974126</v>
      </c>
      <c r="S708" s="136">
        <f t="shared" ca="1" si="211"/>
        <v>3.3010045903974126</v>
      </c>
      <c r="T708" s="104">
        <f t="shared" ca="1" si="212"/>
        <v>4.0110985289590264E-4</v>
      </c>
      <c r="U708" s="120">
        <f t="shared" ca="1" si="213"/>
        <v>1263.3671890482913</v>
      </c>
      <c r="V708" s="104">
        <f t="shared" ca="1" si="214"/>
        <v>0.15351357851085626</v>
      </c>
      <c r="W708" s="133">
        <f t="shared" ca="1" si="215"/>
        <v>4355.1997829232987</v>
      </c>
      <c r="X708" s="104">
        <f t="shared" ca="1" si="216"/>
        <v>0.52920663889483355</v>
      </c>
    </row>
    <row r="709" spans="1:24" x14ac:dyDescent="0.2">
      <c r="A709" s="98">
        <v>1</v>
      </c>
      <c r="B709" s="98">
        <v>0</v>
      </c>
      <c r="C709" s="98">
        <f t="shared" si="198"/>
        <v>5</v>
      </c>
      <c r="D709" s="98">
        <f t="shared" si="199"/>
        <v>4</v>
      </c>
      <c r="E709" s="98">
        <f t="shared" si="200"/>
        <v>1</v>
      </c>
      <c r="F709" s="118">
        <f t="shared" ca="1" si="201"/>
        <v>0.179518300416</v>
      </c>
      <c r="G709" s="98">
        <v>0</v>
      </c>
      <c r="H709" s="98">
        <v>0</v>
      </c>
      <c r="I709" s="98">
        <v>1</v>
      </c>
      <c r="J709" s="118">
        <f t="shared" ca="1" si="202"/>
        <v>2.3750000000000062E-5</v>
      </c>
      <c r="K709" s="118">
        <f t="shared" ca="1" si="203"/>
        <v>4.2635596348800114E-6</v>
      </c>
      <c r="L709" s="133">
        <f t="shared" ca="1" si="204"/>
        <v>12</v>
      </c>
      <c r="M709" s="130">
        <f t="shared" ca="1" si="205"/>
        <v>988</v>
      </c>
      <c r="N709" s="100">
        <f t="shared" ca="1" si="206"/>
        <v>5</v>
      </c>
      <c r="O709" s="136">
        <f t="shared" ca="1" si="207"/>
        <v>3.301004590397413</v>
      </c>
      <c r="P709" s="136">
        <f t="shared" ca="1" si="208"/>
        <v>33.010045903974124</v>
      </c>
      <c r="Q709" s="136">
        <f t="shared" ca="1" si="209"/>
        <v>33.010045903974124</v>
      </c>
      <c r="R709" s="136">
        <f t="shared" ca="1" si="210"/>
        <v>3.3010045903974126</v>
      </c>
      <c r="S709" s="136">
        <f t="shared" ca="1" si="211"/>
        <v>3.3010045903974126</v>
      </c>
      <c r="T709" s="104">
        <f t="shared" ca="1" si="212"/>
        <v>1.4074029926172034E-5</v>
      </c>
      <c r="U709" s="120">
        <f t="shared" ca="1" si="213"/>
        <v>1251.3671890482913</v>
      </c>
      <c r="V709" s="104">
        <f t="shared" ca="1" si="214"/>
        <v>5.3352786356395589E-3</v>
      </c>
      <c r="W709" s="133">
        <f t="shared" ca="1" si="215"/>
        <v>2177.5998914616493</v>
      </c>
      <c r="X709" s="104">
        <f t="shared" ca="1" si="216"/>
        <v>9.2843269981549813E-3</v>
      </c>
    </row>
    <row r="710" spans="1:24" x14ac:dyDescent="0.2">
      <c r="A710" s="98">
        <v>1</v>
      </c>
      <c r="B710" s="98">
        <v>0</v>
      </c>
      <c r="C710" s="98">
        <f t="shared" si="198"/>
        <v>5</v>
      </c>
      <c r="D710" s="98">
        <f t="shared" si="199"/>
        <v>4</v>
      </c>
      <c r="E710" s="98">
        <f t="shared" si="200"/>
        <v>1</v>
      </c>
      <c r="F710" s="118">
        <f t="shared" ca="1" si="201"/>
        <v>0.179518300416</v>
      </c>
      <c r="G710" s="98">
        <v>0</v>
      </c>
      <c r="H710" s="98">
        <v>0</v>
      </c>
      <c r="I710" s="98">
        <v>0</v>
      </c>
      <c r="J710" s="118">
        <f t="shared" ca="1" si="202"/>
        <v>3.1250000000000114E-7</v>
      </c>
      <c r="K710" s="118">
        <f t="shared" ca="1" si="203"/>
        <v>5.6099468880000206E-8</v>
      </c>
      <c r="L710" s="133">
        <f t="shared" ca="1" si="204"/>
        <v>0</v>
      </c>
      <c r="M710" s="130">
        <f t="shared" ca="1" si="205"/>
        <v>1000</v>
      </c>
      <c r="N710" s="100">
        <f t="shared" ca="1" si="206"/>
        <v>5</v>
      </c>
      <c r="O710" s="136">
        <f t="shared" ca="1" si="207"/>
        <v>3.301004590397413</v>
      </c>
      <c r="P710" s="136">
        <f t="shared" ca="1" si="208"/>
        <v>33.010045903974124</v>
      </c>
      <c r="Q710" s="136">
        <f t="shared" ca="1" si="209"/>
        <v>33.010045903974124</v>
      </c>
      <c r="R710" s="136">
        <f t="shared" ca="1" si="210"/>
        <v>3.3010045903974126</v>
      </c>
      <c r="S710" s="136">
        <f t="shared" ca="1" si="211"/>
        <v>3.3010045903974126</v>
      </c>
      <c r="T710" s="104">
        <f t="shared" ca="1" si="212"/>
        <v>1.8518460429173746E-7</v>
      </c>
      <c r="U710" s="120">
        <f t="shared" ca="1" si="213"/>
        <v>1239.3671890482913</v>
      </c>
      <c r="V710" s="104">
        <f t="shared" ca="1" si="214"/>
        <v>6.9527841052907942E-5</v>
      </c>
      <c r="W710" s="133">
        <f t="shared" ca="1" si="215"/>
        <v>0</v>
      </c>
      <c r="X710" s="104">
        <f t="shared" ca="1" si="216"/>
        <v>0</v>
      </c>
    </row>
    <row r="711" spans="1:24" x14ac:dyDescent="0.2">
      <c r="A711" s="98">
        <v>1</v>
      </c>
      <c r="B711" s="98">
        <v>1</v>
      </c>
      <c r="C711" s="98">
        <f t="shared" si="198"/>
        <v>6</v>
      </c>
      <c r="D711" s="98">
        <f t="shared" si="199"/>
        <v>5</v>
      </c>
      <c r="E711" s="98">
        <f t="shared" si="200"/>
        <v>1</v>
      </c>
      <c r="F711" s="118">
        <f t="shared" ca="1" si="201"/>
        <v>0.100979043984</v>
      </c>
      <c r="G711" s="98">
        <v>1</v>
      </c>
      <c r="H711" s="98">
        <v>1</v>
      </c>
      <c r="I711" s="98">
        <v>7</v>
      </c>
      <c r="J711" s="118">
        <f t="shared" si="202"/>
        <v>0</v>
      </c>
      <c r="K711" s="118">
        <f t="shared" ca="1" si="203"/>
        <v>0</v>
      </c>
      <c r="L711" s="133">
        <f t="shared" ca="1" si="204"/>
        <v>420</v>
      </c>
      <c r="M711" s="130">
        <f t="shared" ca="1" si="205"/>
        <v>580</v>
      </c>
      <c r="N711" s="100">
        <f t="shared" ca="1" si="206"/>
        <v>3</v>
      </c>
      <c r="O711" s="136">
        <f t="shared" ca="1" si="207"/>
        <v>2.1177215542739054</v>
      </c>
      <c r="P711" s="136">
        <f t="shared" ca="1" si="208"/>
        <v>21.177215542739059</v>
      </c>
      <c r="Q711" s="136">
        <f t="shared" ca="1" si="209"/>
        <v>21.177215542739059</v>
      </c>
      <c r="R711" s="136">
        <f t="shared" ca="1" si="210"/>
        <v>2.1177215542739058</v>
      </c>
      <c r="S711" s="136">
        <f t="shared" ca="1" si="211"/>
        <v>2.1177215542739054</v>
      </c>
      <c r="T711" s="104">
        <f t="shared" ca="1" si="212"/>
        <v>0</v>
      </c>
      <c r="U711" s="120">
        <f t="shared" ca="1" si="213"/>
        <v>1227.5224659982036</v>
      </c>
      <c r="V711" s="104">
        <f t="shared" ca="1" si="214"/>
        <v>0</v>
      </c>
      <c r="W711" s="133">
        <f t="shared" ca="1" si="215"/>
        <v>19881.48700904486</v>
      </c>
      <c r="X711" s="104">
        <f t="shared" ca="1" si="216"/>
        <v>0</v>
      </c>
    </row>
    <row r="712" spans="1:24" x14ac:dyDescent="0.2">
      <c r="A712" s="98">
        <v>1</v>
      </c>
      <c r="B712" s="98">
        <v>1</v>
      </c>
      <c r="C712" s="98">
        <f t="shared" si="198"/>
        <v>6</v>
      </c>
      <c r="D712" s="98">
        <f t="shared" si="199"/>
        <v>5</v>
      </c>
      <c r="E712" s="98">
        <f t="shared" si="200"/>
        <v>1</v>
      </c>
      <c r="F712" s="118">
        <f t="shared" ca="1" si="201"/>
        <v>0.100979043984</v>
      </c>
      <c r="G712" s="98">
        <v>1</v>
      </c>
      <c r="H712" s="98">
        <v>1</v>
      </c>
      <c r="I712" s="98">
        <v>6</v>
      </c>
      <c r="J712" s="118">
        <f t="shared" si="202"/>
        <v>0</v>
      </c>
      <c r="K712" s="118">
        <f t="shared" ca="1" si="203"/>
        <v>0</v>
      </c>
      <c r="L712" s="133">
        <f t="shared" ca="1" si="204"/>
        <v>408</v>
      </c>
      <c r="M712" s="130">
        <f t="shared" ca="1" si="205"/>
        <v>592</v>
      </c>
      <c r="N712" s="100">
        <f t="shared" ca="1" si="206"/>
        <v>3</v>
      </c>
      <c r="O712" s="136">
        <f t="shared" ca="1" si="207"/>
        <v>2.1177215542739054</v>
      </c>
      <c r="P712" s="136">
        <f t="shared" ca="1" si="208"/>
        <v>21.177215542739059</v>
      </c>
      <c r="Q712" s="136">
        <f t="shared" ca="1" si="209"/>
        <v>21.177215542739059</v>
      </c>
      <c r="R712" s="136">
        <f t="shared" ca="1" si="210"/>
        <v>2.1177215542739058</v>
      </c>
      <c r="S712" s="136">
        <f t="shared" ca="1" si="211"/>
        <v>2.1177215542739054</v>
      </c>
      <c r="T712" s="104">
        <f t="shared" ca="1" si="212"/>
        <v>0</v>
      </c>
      <c r="U712" s="120">
        <f t="shared" ca="1" si="213"/>
        <v>1215.5224659982036</v>
      </c>
      <c r="V712" s="104">
        <f t="shared" ca="1" si="214"/>
        <v>0</v>
      </c>
      <c r="W712" s="133">
        <f t="shared" ca="1" si="215"/>
        <v>17703.88711758321</v>
      </c>
      <c r="X712" s="104">
        <f t="shared" ca="1" si="216"/>
        <v>0</v>
      </c>
    </row>
    <row r="713" spans="1:24" x14ac:dyDescent="0.2">
      <c r="A713" s="98">
        <v>1</v>
      </c>
      <c r="B713" s="98">
        <v>1</v>
      </c>
      <c r="C713" s="98">
        <f t="shared" si="198"/>
        <v>6</v>
      </c>
      <c r="D713" s="98">
        <f t="shared" si="199"/>
        <v>5</v>
      </c>
      <c r="E713" s="98">
        <f t="shared" si="200"/>
        <v>1</v>
      </c>
      <c r="F713" s="118">
        <f t="shared" ca="1" si="201"/>
        <v>0.100979043984</v>
      </c>
      <c r="G713" s="98">
        <v>1</v>
      </c>
      <c r="H713" s="98">
        <v>1</v>
      </c>
      <c r="I713" s="98">
        <v>5</v>
      </c>
      <c r="J713" s="118">
        <f t="shared" ca="1" si="202"/>
        <v>0</v>
      </c>
      <c r="K713" s="118">
        <f t="shared" ca="1" si="203"/>
        <v>0</v>
      </c>
      <c r="L713" s="133">
        <f t="shared" ca="1" si="204"/>
        <v>396</v>
      </c>
      <c r="M713" s="130">
        <f t="shared" ca="1" si="205"/>
        <v>604</v>
      </c>
      <c r="N713" s="100">
        <f t="shared" ca="1" si="206"/>
        <v>3</v>
      </c>
      <c r="O713" s="136">
        <f t="shared" ca="1" si="207"/>
        <v>2.1177215542739054</v>
      </c>
      <c r="P713" s="136">
        <f t="shared" ca="1" si="208"/>
        <v>21.177215542739059</v>
      </c>
      <c r="Q713" s="136">
        <f t="shared" ca="1" si="209"/>
        <v>21.177215542739059</v>
      </c>
      <c r="R713" s="136">
        <f t="shared" ca="1" si="210"/>
        <v>2.1177215542739058</v>
      </c>
      <c r="S713" s="136">
        <f t="shared" ca="1" si="211"/>
        <v>2.1177215542739054</v>
      </c>
      <c r="T713" s="104">
        <f t="shared" ca="1" si="212"/>
        <v>0</v>
      </c>
      <c r="U713" s="120">
        <f t="shared" ca="1" si="213"/>
        <v>1203.5224659982036</v>
      </c>
      <c r="V713" s="104">
        <f t="shared" ca="1" si="214"/>
        <v>0</v>
      </c>
      <c r="W713" s="133">
        <f t="shared" ca="1" si="215"/>
        <v>15526.28722612156</v>
      </c>
      <c r="X713" s="104">
        <f t="shared" ca="1" si="216"/>
        <v>0</v>
      </c>
    </row>
    <row r="714" spans="1:24" x14ac:dyDescent="0.2">
      <c r="A714" s="98">
        <v>1</v>
      </c>
      <c r="B714" s="98">
        <v>1</v>
      </c>
      <c r="C714" s="98">
        <f t="shared" si="198"/>
        <v>6</v>
      </c>
      <c r="D714" s="98">
        <f t="shared" si="199"/>
        <v>5</v>
      </c>
      <c r="E714" s="98">
        <f t="shared" si="200"/>
        <v>1</v>
      </c>
      <c r="F714" s="118">
        <f t="shared" ca="1" si="201"/>
        <v>0.100979043984</v>
      </c>
      <c r="G714" s="98">
        <v>1</v>
      </c>
      <c r="H714" s="98">
        <v>1</v>
      </c>
      <c r="I714" s="98">
        <v>4</v>
      </c>
      <c r="J714" s="118">
        <f t="shared" ca="1" si="202"/>
        <v>0</v>
      </c>
      <c r="K714" s="118">
        <f t="shared" ca="1" si="203"/>
        <v>0</v>
      </c>
      <c r="L714" s="133">
        <f t="shared" ca="1" si="204"/>
        <v>384</v>
      </c>
      <c r="M714" s="130">
        <f t="shared" ca="1" si="205"/>
        <v>616</v>
      </c>
      <c r="N714" s="100">
        <f t="shared" ca="1" si="206"/>
        <v>3</v>
      </c>
      <c r="O714" s="136">
        <f t="shared" ca="1" si="207"/>
        <v>2.1177215542739054</v>
      </c>
      <c r="P714" s="136">
        <f t="shared" ca="1" si="208"/>
        <v>21.177215542739059</v>
      </c>
      <c r="Q714" s="136">
        <f t="shared" ca="1" si="209"/>
        <v>21.177215542739059</v>
      </c>
      <c r="R714" s="136">
        <f t="shared" ca="1" si="210"/>
        <v>2.1177215542739058</v>
      </c>
      <c r="S714" s="136">
        <f t="shared" ca="1" si="211"/>
        <v>2.1177215542739054</v>
      </c>
      <c r="T714" s="104">
        <f t="shared" ca="1" si="212"/>
        <v>0</v>
      </c>
      <c r="U714" s="120">
        <f t="shared" ca="1" si="213"/>
        <v>1191.5224659982036</v>
      </c>
      <c r="V714" s="104">
        <f t="shared" ca="1" si="214"/>
        <v>0</v>
      </c>
      <c r="W714" s="133">
        <f t="shared" ca="1" si="215"/>
        <v>13348.68733465991</v>
      </c>
      <c r="X714" s="104">
        <f t="shared" ca="1" si="216"/>
        <v>0</v>
      </c>
    </row>
    <row r="715" spans="1:24" x14ac:dyDescent="0.2">
      <c r="A715" s="98">
        <v>1</v>
      </c>
      <c r="B715" s="98">
        <v>1</v>
      </c>
      <c r="C715" s="98">
        <f t="shared" si="198"/>
        <v>6</v>
      </c>
      <c r="D715" s="98">
        <f t="shared" si="199"/>
        <v>5</v>
      </c>
      <c r="E715" s="98">
        <f t="shared" si="200"/>
        <v>1</v>
      </c>
      <c r="F715" s="118">
        <f t="shared" ca="1" si="201"/>
        <v>0.100979043984</v>
      </c>
      <c r="G715" s="98">
        <v>1</v>
      </c>
      <c r="H715" s="98">
        <v>1</v>
      </c>
      <c r="I715" s="98">
        <v>3</v>
      </c>
      <c r="J715" s="118">
        <f t="shared" ca="1" si="202"/>
        <v>0</v>
      </c>
      <c r="K715" s="118">
        <f t="shared" ca="1" si="203"/>
        <v>0</v>
      </c>
      <c r="L715" s="133">
        <f t="shared" ca="1" si="204"/>
        <v>372</v>
      </c>
      <c r="M715" s="130">
        <f t="shared" ca="1" si="205"/>
        <v>628</v>
      </c>
      <c r="N715" s="100">
        <f t="shared" ca="1" si="206"/>
        <v>3</v>
      </c>
      <c r="O715" s="136">
        <f t="shared" ca="1" si="207"/>
        <v>2.1177215542739054</v>
      </c>
      <c r="P715" s="136">
        <f t="shared" ca="1" si="208"/>
        <v>21.177215542739059</v>
      </c>
      <c r="Q715" s="136">
        <f t="shared" ca="1" si="209"/>
        <v>21.177215542739059</v>
      </c>
      <c r="R715" s="136">
        <f t="shared" ca="1" si="210"/>
        <v>2.1177215542739058</v>
      </c>
      <c r="S715" s="136">
        <f t="shared" ca="1" si="211"/>
        <v>2.1177215542739054</v>
      </c>
      <c r="T715" s="104">
        <f t="shared" ca="1" si="212"/>
        <v>0</v>
      </c>
      <c r="U715" s="120">
        <f t="shared" ca="1" si="213"/>
        <v>1179.5224659982036</v>
      </c>
      <c r="V715" s="104">
        <f t="shared" ca="1" si="214"/>
        <v>0</v>
      </c>
      <c r="W715" s="133">
        <f t="shared" ca="1" si="215"/>
        <v>11171.087443198263</v>
      </c>
      <c r="X715" s="104">
        <f t="shared" ca="1" si="216"/>
        <v>0</v>
      </c>
    </row>
    <row r="716" spans="1:24" x14ac:dyDescent="0.2">
      <c r="A716" s="98">
        <v>1</v>
      </c>
      <c r="B716" s="98">
        <v>1</v>
      </c>
      <c r="C716" s="98">
        <f t="shared" si="198"/>
        <v>6</v>
      </c>
      <c r="D716" s="98">
        <f t="shared" si="199"/>
        <v>5</v>
      </c>
      <c r="E716" s="98">
        <f t="shared" si="200"/>
        <v>1</v>
      </c>
      <c r="F716" s="118">
        <f t="shared" ca="1" si="201"/>
        <v>0.100979043984</v>
      </c>
      <c r="G716" s="98">
        <v>1</v>
      </c>
      <c r="H716" s="98">
        <v>1</v>
      </c>
      <c r="I716" s="98">
        <v>2</v>
      </c>
      <c r="J716" s="118">
        <f t="shared" ca="1" si="202"/>
        <v>0</v>
      </c>
      <c r="K716" s="118">
        <f t="shared" ca="1" si="203"/>
        <v>0</v>
      </c>
      <c r="L716" s="133">
        <f t="shared" ca="1" si="204"/>
        <v>360</v>
      </c>
      <c r="M716" s="130">
        <f t="shared" ca="1" si="205"/>
        <v>640</v>
      </c>
      <c r="N716" s="100">
        <f t="shared" ca="1" si="206"/>
        <v>3</v>
      </c>
      <c r="O716" s="136">
        <f t="shared" ca="1" si="207"/>
        <v>2.1177215542739054</v>
      </c>
      <c r="P716" s="136">
        <f t="shared" ca="1" si="208"/>
        <v>21.177215542739059</v>
      </c>
      <c r="Q716" s="136">
        <f t="shared" ca="1" si="209"/>
        <v>21.177215542739059</v>
      </c>
      <c r="R716" s="136">
        <f t="shared" ca="1" si="210"/>
        <v>2.1177215542739058</v>
      </c>
      <c r="S716" s="136">
        <f t="shared" ca="1" si="211"/>
        <v>2.1177215542739054</v>
      </c>
      <c r="T716" s="104">
        <f t="shared" ca="1" si="212"/>
        <v>0</v>
      </c>
      <c r="U716" s="120">
        <f t="shared" ca="1" si="213"/>
        <v>1167.5224659982036</v>
      </c>
      <c r="V716" s="104">
        <f t="shared" ca="1" si="214"/>
        <v>0</v>
      </c>
      <c r="W716" s="133">
        <f t="shared" ca="1" si="215"/>
        <v>8993.4875517366127</v>
      </c>
      <c r="X716" s="104">
        <f t="shared" ca="1" si="216"/>
        <v>0</v>
      </c>
    </row>
    <row r="717" spans="1:24" x14ac:dyDescent="0.2">
      <c r="A717" s="98">
        <v>1</v>
      </c>
      <c r="B717" s="98">
        <v>1</v>
      </c>
      <c r="C717" s="98">
        <f t="shared" si="198"/>
        <v>6</v>
      </c>
      <c r="D717" s="98">
        <f t="shared" si="199"/>
        <v>5</v>
      </c>
      <c r="E717" s="98">
        <f t="shared" si="200"/>
        <v>1</v>
      </c>
      <c r="F717" s="118">
        <f t="shared" ca="1" si="201"/>
        <v>0.100979043984</v>
      </c>
      <c r="G717" s="98">
        <v>1</v>
      </c>
      <c r="H717" s="98">
        <v>1</v>
      </c>
      <c r="I717" s="98">
        <v>1</v>
      </c>
      <c r="J717" s="118">
        <f t="shared" ca="1" si="202"/>
        <v>0</v>
      </c>
      <c r="K717" s="118">
        <f t="shared" ca="1" si="203"/>
        <v>0</v>
      </c>
      <c r="L717" s="133">
        <f t="shared" ca="1" si="204"/>
        <v>348</v>
      </c>
      <c r="M717" s="130">
        <f t="shared" ca="1" si="205"/>
        <v>652</v>
      </c>
      <c r="N717" s="100">
        <f t="shared" ca="1" si="206"/>
        <v>4</v>
      </c>
      <c r="O717" s="136">
        <f t="shared" ca="1" si="207"/>
        <v>2.6973744602864622</v>
      </c>
      <c r="P717" s="136">
        <f t="shared" ca="1" si="208"/>
        <v>21.177215542739059</v>
      </c>
      <c r="Q717" s="136">
        <f t="shared" ca="1" si="209"/>
        <v>21.177215542739059</v>
      </c>
      <c r="R717" s="136">
        <f t="shared" ca="1" si="210"/>
        <v>2.1177215542739058</v>
      </c>
      <c r="S717" s="136">
        <f t="shared" ca="1" si="211"/>
        <v>2.5060890013023185</v>
      </c>
      <c r="T717" s="104">
        <f t="shared" ca="1" si="212"/>
        <v>0</v>
      </c>
      <c r="U717" s="120">
        <f t="shared" ca="1" si="213"/>
        <v>1297.2589968903351</v>
      </c>
      <c r="V717" s="104">
        <f t="shared" ca="1" si="214"/>
        <v>0</v>
      </c>
      <c r="W717" s="133">
        <f t="shared" ca="1" si="215"/>
        <v>6815.8876602749624</v>
      </c>
      <c r="X717" s="104">
        <f t="shared" ca="1" si="216"/>
        <v>0</v>
      </c>
    </row>
    <row r="718" spans="1:24" x14ac:dyDescent="0.2">
      <c r="A718" s="98">
        <v>1</v>
      </c>
      <c r="B718" s="98">
        <v>1</v>
      </c>
      <c r="C718" s="98">
        <f t="shared" si="198"/>
        <v>6</v>
      </c>
      <c r="D718" s="98">
        <f t="shared" si="199"/>
        <v>5</v>
      </c>
      <c r="E718" s="98">
        <f t="shared" si="200"/>
        <v>1</v>
      </c>
      <c r="F718" s="118">
        <f t="shared" ca="1" si="201"/>
        <v>0.100979043984</v>
      </c>
      <c r="G718" s="98">
        <v>1</v>
      </c>
      <c r="H718" s="98">
        <v>1</v>
      </c>
      <c r="I718" s="98">
        <v>0</v>
      </c>
      <c r="J718" s="118">
        <f t="shared" ca="1" si="202"/>
        <v>0</v>
      </c>
      <c r="K718" s="118">
        <f t="shared" ca="1" si="203"/>
        <v>0</v>
      </c>
      <c r="L718" s="133">
        <f t="shared" ca="1" si="204"/>
        <v>336</v>
      </c>
      <c r="M718" s="130">
        <f t="shared" ca="1" si="205"/>
        <v>664</v>
      </c>
      <c r="N718" s="100">
        <f t="shared" ca="1" si="206"/>
        <v>4</v>
      </c>
      <c r="O718" s="136">
        <f t="shared" ca="1" si="207"/>
        <v>2.6973744602864622</v>
      </c>
      <c r="P718" s="136">
        <f t="shared" ca="1" si="208"/>
        <v>26.973744602864617</v>
      </c>
      <c r="Q718" s="136">
        <f t="shared" ca="1" si="209"/>
        <v>22.336521354764173</v>
      </c>
      <c r="R718" s="136">
        <f t="shared" ca="1" si="210"/>
        <v>2.4655132978814391</v>
      </c>
      <c r="S718" s="136">
        <f t="shared" ca="1" si="211"/>
        <v>2.6208602766928046</v>
      </c>
      <c r="T718" s="104">
        <f t="shared" ca="1" si="212"/>
        <v>0</v>
      </c>
      <c r="U718" s="120">
        <f t="shared" ca="1" si="213"/>
        <v>1327.1453149748754</v>
      </c>
      <c r="V718" s="104">
        <f t="shared" ca="1" si="214"/>
        <v>0</v>
      </c>
      <c r="W718" s="133">
        <f t="shared" ca="1" si="215"/>
        <v>4638.2877688133131</v>
      </c>
      <c r="X718" s="104">
        <f t="shared" ca="1" si="216"/>
        <v>0</v>
      </c>
    </row>
    <row r="719" spans="1:24" x14ac:dyDescent="0.2">
      <c r="A719" s="98">
        <v>1</v>
      </c>
      <c r="B719" s="98">
        <v>1</v>
      </c>
      <c r="C719" s="98">
        <f t="shared" si="198"/>
        <v>6</v>
      </c>
      <c r="D719" s="98">
        <f t="shared" si="199"/>
        <v>5</v>
      </c>
      <c r="E719" s="98">
        <f t="shared" si="200"/>
        <v>1</v>
      </c>
      <c r="F719" s="118">
        <f t="shared" ca="1" si="201"/>
        <v>0.100979043984</v>
      </c>
      <c r="G719" s="98">
        <v>1</v>
      </c>
      <c r="H719" s="98">
        <v>0</v>
      </c>
      <c r="I719" s="98">
        <v>7</v>
      </c>
      <c r="J719" s="118">
        <f t="shared" si="202"/>
        <v>0</v>
      </c>
      <c r="K719" s="118">
        <f t="shared" ca="1" si="203"/>
        <v>0</v>
      </c>
      <c r="L719" s="133">
        <f t="shared" ca="1" si="204"/>
        <v>252</v>
      </c>
      <c r="M719" s="130">
        <f t="shared" ca="1" si="205"/>
        <v>748</v>
      </c>
      <c r="N719" s="100">
        <f t="shared" ca="1" si="206"/>
        <v>4</v>
      </c>
      <c r="O719" s="136">
        <f t="shared" ca="1" si="207"/>
        <v>2.6973744602864622</v>
      </c>
      <c r="P719" s="136">
        <f t="shared" ca="1" si="208"/>
        <v>26.973744602864617</v>
      </c>
      <c r="Q719" s="136">
        <f t="shared" ca="1" si="209"/>
        <v>26.973744602864617</v>
      </c>
      <c r="R719" s="136">
        <f t="shared" ca="1" si="210"/>
        <v>2.6973744602864618</v>
      </c>
      <c r="S719" s="136">
        <f t="shared" ca="1" si="211"/>
        <v>2.6973744602864622</v>
      </c>
      <c r="T719" s="104">
        <f t="shared" ca="1" si="212"/>
        <v>0</v>
      </c>
      <c r="U719" s="120">
        <f t="shared" ca="1" si="213"/>
        <v>1271.0695270312358</v>
      </c>
      <c r="V719" s="104">
        <f t="shared" ca="1" si="214"/>
        <v>0</v>
      </c>
      <c r="W719" s="133">
        <f t="shared" ca="1" si="215"/>
        <v>17703.88711758321</v>
      </c>
      <c r="X719" s="104">
        <f t="shared" ca="1" si="216"/>
        <v>0</v>
      </c>
    </row>
    <row r="720" spans="1:24" x14ac:dyDescent="0.2">
      <c r="A720" s="98">
        <v>1</v>
      </c>
      <c r="B720" s="98">
        <v>1</v>
      </c>
      <c r="C720" s="98">
        <f t="shared" si="198"/>
        <v>6</v>
      </c>
      <c r="D720" s="98">
        <f t="shared" si="199"/>
        <v>5</v>
      </c>
      <c r="E720" s="98">
        <f t="shared" si="200"/>
        <v>1</v>
      </c>
      <c r="F720" s="118">
        <f t="shared" ca="1" si="201"/>
        <v>0.100979043984</v>
      </c>
      <c r="G720" s="98">
        <v>1</v>
      </c>
      <c r="H720" s="98">
        <v>0</v>
      </c>
      <c r="I720" s="98">
        <v>6</v>
      </c>
      <c r="J720" s="118">
        <f t="shared" si="202"/>
        <v>0</v>
      </c>
      <c r="K720" s="118">
        <f t="shared" ca="1" si="203"/>
        <v>0</v>
      </c>
      <c r="L720" s="133">
        <f t="shared" ca="1" si="204"/>
        <v>240</v>
      </c>
      <c r="M720" s="130">
        <f t="shared" ca="1" si="205"/>
        <v>760</v>
      </c>
      <c r="N720" s="100">
        <f t="shared" ca="1" si="206"/>
        <v>4</v>
      </c>
      <c r="O720" s="136">
        <f t="shared" ca="1" si="207"/>
        <v>2.6973744602864622</v>
      </c>
      <c r="P720" s="136">
        <f t="shared" ca="1" si="208"/>
        <v>26.973744602864617</v>
      </c>
      <c r="Q720" s="136">
        <f t="shared" ca="1" si="209"/>
        <v>26.973744602864617</v>
      </c>
      <c r="R720" s="136">
        <f t="shared" ca="1" si="210"/>
        <v>2.6973744602864618</v>
      </c>
      <c r="S720" s="136">
        <f t="shared" ca="1" si="211"/>
        <v>2.6973744602864622</v>
      </c>
      <c r="T720" s="104">
        <f t="shared" ca="1" si="212"/>
        <v>0</v>
      </c>
      <c r="U720" s="120">
        <f t="shared" ca="1" si="213"/>
        <v>1259.0695270312358</v>
      </c>
      <c r="V720" s="104">
        <f t="shared" ca="1" si="214"/>
        <v>0</v>
      </c>
      <c r="W720" s="133">
        <f t="shared" ca="1" si="215"/>
        <v>15526.287226121562</v>
      </c>
      <c r="X720" s="104">
        <f t="shared" ca="1" si="216"/>
        <v>0</v>
      </c>
    </row>
    <row r="721" spans="1:24" x14ac:dyDescent="0.2">
      <c r="A721" s="98">
        <v>1</v>
      </c>
      <c r="B721" s="98">
        <v>1</v>
      </c>
      <c r="C721" s="98">
        <f t="shared" si="198"/>
        <v>6</v>
      </c>
      <c r="D721" s="98">
        <f t="shared" si="199"/>
        <v>5</v>
      </c>
      <c r="E721" s="98">
        <f t="shared" si="200"/>
        <v>1</v>
      </c>
      <c r="F721" s="118">
        <f t="shared" ca="1" si="201"/>
        <v>0.100979043984</v>
      </c>
      <c r="G721" s="98">
        <v>1</v>
      </c>
      <c r="H721" s="98">
        <v>0</v>
      </c>
      <c r="I721" s="98">
        <v>5</v>
      </c>
      <c r="J721" s="118">
        <f t="shared" ca="1" si="202"/>
        <v>0.73509189062499991</v>
      </c>
      <c r="K721" s="118">
        <f t="shared" ca="1" si="203"/>
        <v>7.4228876355703577E-2</v>
      </c>
      <c r="L721" s="133">
        <f t="shared" ca="1" si="204"/>
        <v>228</v>
      </c>
      <c r="M721" s="130">
        <f t="shared" ca="1" si="205"/>
        <v>772</v>
      </c>
      <c r="N721" s="100">
        <f t="shared" ca="1" si="206"/>
        <v>4</v>
      </c>
      <c r="O721" s="136">
        <f t="shared" ca="1" si="207"/>
        <v>2.6973744602864622</v>
      </c>
      <c r="P721" s="136">
        <f t="shared" ca="1" si="208"/>
        <v>26.973744602864617</v>
      </c>
      <c r="Q721" s="136">
        <f t="shared" ca="1" si="209"/>
        <v>26.973744602864617</v>
      </c>
      <c r="R721" s="136">
        <f t="shared" ca="1" si="210"/>
        <v>2.6973744602864618</v>
      </c>
      <c r="S721" s="136">
        <f t="shared" ca="1" si="211"/>
        <v>2.6973744602864622</v>
      </c>
      <c r="T721" s="104">
        <f t="shared" ca="1" si="212"/>
        <v>0.20022307529763647</v>
      </c>
      <c r="U721" s="120">
        <f t="shared" ca="1" si="213"/>
        <v>1247.0695270312358</v>
      </c>
      <c r="V721" s="104">
        <f t="shared" ca="1" si="214"/>
        <v>92.568569728967347</v>
      </c>
      <c r="W721" s="133">
        <f t="shared" ca="1" si="215"/>
        <v>13348.687334659911</v>
      </c>
      <c r="X721" s="104">
        <f t="shared" ca="1" si="216"/>
        <v>990.85806167541693</v>
      </c>
    </row>
    <row r="722" spans="1:24" x14ac:dyDescent="0.2">
      <c r="A722" s="98">
        <v>1</v>
      </c>
      <c r="B722" s="98">
        <v>1</v>
      </c>
      <c r="C722" s="98">
        <f t="shared" si="198"/>
        <v>6</v>
      </c>
      <c r="D722" s="98">
        <f t="shared" si="199"/>
        <v>5</v>
      </c>
      <c r="E722" s="98">
        <f t="shared" si="200"/>
        <v>1</v>
      </c>
      <c r="F722" s="118">
        <f t="shared" ca="1" si="201"/>
        <v>0.100979043984</v>
      </c>
      <c r="G722" s="98">
        <v>1</v>
      </c>
      <c r="H722" s="98">
        <v>0</v>
      </c>
      <c r="I722" s="98">
        <v>4</v>
      </c>
      <c r="J722" s="118">
        <f t="shared" ca="1" si="202"/>
        <v>0.19344523437500014</v>
      </c>
      <c r="K722" s="118">
        <f t="shared" ca="1" si="203"/>
        <v>1.9533914830448328E-2</v>
      </c>
      <c r="L722" s="133">
        <f t="shared" ca="1" si="204"/>
        <v>216</v>
      </c>
      <c r="M722" s="130">
        <f t="shared" ca="1" si="205"/>
        <v>784</v>
      </c>
      <c r="N722" s="100">
        <f t="shared" ca="1" si="206"/>
        <v>4</v>
      </c>
      <c r="O722" s="136">
        <f t="shared" ca="1" si="207"/>
        <v>2.6973744602864622</v>
      </c>
      <c r="P722" s="136">
        <f t="shared" ca="1" si="208"/>
        <v>26.973744602864617</v>
      </c>
      <c r="Q722" s="136">
        <f t="shared" ca="1" si="209"/>
        <v>26.973744602864617</v>
      </c>
      <c r="R722" s="136">
        <f t="shared" ca="1" si="210"/>
        <v>2.6973744602864618</v>
      </c>
      <c r="S722" s="136">
        <f t="shared" ca="1" si="211"/>
        <v>2.6973744602864622</v>
      </c>
      <c r="T722" s="104">
        <f t="shared" ca="1" si="212"/>
        <v>5.2690282973062275E-2</v>
      </c>
      <c r="U722" s="120">
        <f t="shared" ca="1" si="213"/>
        <v>1235.0695270312358</v>
      </c>
      <c r="V722" s="104">
        <f t="shared" ca="1" si="214"/>
        <v>24.125742950710258</v>
      </c>
      <c r="W722" s="133">
        <f t="shared" ca="1" si="215"/>
        <v>11171.087443198261</v>
      </c>
      <c r="X722" s="104">
        <f t="shared" ca="1" si="216"/>
        <v>218.2150706789256</v>
      </c>
    </row>
    <row r="723" spans="1:24" x14ac:dyDescent="0.2">
      <c r="A723" s="98">
        <v>1</v>
      </c>
      <c r="B723" s="98">
        <v>1</v>
      </c>
      <c r="C723" s="98">
        <f t="shared" si="198"/>
        <v>6</v>
      </c>
      <c r="D723" s="98">
        <f t="shared" si="199"/>
        <v>5</v>
      </c>
      <c r="E723" s="98">
        <f t="shared" si="200"/>
        <v>1</v>
      </c>
      <c r="F723" s="118">
        <f t="shared" ca="1" si="201"/>
        <v>0.100979043984</v>
      </c>
      <c r="G723" s="98">
        <v>1</v>
      </c>
      <c r="H723" s="98">
        <v>0</v>
      </c>
      <c r="I723" s="98">
        <v>3</v>
      </c>
      <c r="J723" s="118">
        <f t="shared" ca="1" si="202"/>
        <v>2.0362656250000031E-2</v>
      </c>
      <c r="K723" s="118">
        <f t="shared" ca="1" si="203"/>
        <v>2.0562015610998256E-3</v>
      </c>
      <c r="L723" s="133">
        <f t="shared" ca="1" si="204"/>
        <v>204</v>
      </c>
      <c r="M723" s="130">
        <f t="shared" ca="1" si="205"/>
        <v>796</v>
      </c>
      <c r="N723" s="100">
        <f t="shared" ca="1" si="206"/>
        <v>4</v>
      </c>
      <c r="O723" s="136">
        <f t="shared" ca="1" si="207"/>
        <v>2.6973744602864622</v>
      </c>
      <c r="P723" s="136">
        <f t="shared" ca="1" si="208"/>
        <v>26.973744602864617</v>
      </c>
      <c r="Q723" s="136">
        <f t="shared" ca="1" si="209"/>
        <v>26.973744602864617</v>
      </c>
      <c r="R723" s="136">
        <f t="shared" ca="1" si="210"/>
        <v>2.6973744602864618</v>
      </c>
      <c r="S723" s="136">
        <f t="shared" ca="1" si="211"/>
        <v>2.6973744602864622</v>
      </c>
      <c r="T723" s="104">
        <f t="shared" ca="1" si="212"/>
        <v>5.5463455761118234E-3</v>
      </c>
      <c r="U723" s="120">
        <f t="shared" ca="1" si="213"/>
        <v>1223.0695270312358</v>
      </c>
      <c r="V723" s="104">
        <f t="shared" ca="1" si="214"/>
        <v>2.5148774708152524</v>
      </c>
      <c r="W723" s="133">
        <f t="shared" ca="1" si="215"/>
        <v>8993.4875517366127</v>
      </c>
      <c r="X723" s="104">
        <f t="shared" ca="1" si="216"/>
        <v>18.492423143612672</v>
      </c>
    </row>
    <row r="724" spans="1:24" x14ac:dyDescent="0.2">
      <c r="A724" s="98">
        <v>1</v>
      </c>
      <c r="B724" s="98">
        <v>1</v>
      </c>
      <c r="C724" s="98">
        <f t="shared" si="198"/>
        <v>6</v>
      </c>
      <c r="D724" s="98">
        <f t="shared" si="199"/>
        <v>5</v>
      </c>
      <c r="E724" s="98">
        <f t="shared" si="200"/>
        <v>1</v>
      </c>
      <c r="F724" s="118">
        <f t="shared" ca="1" si="201"/>
        <v>0.100979043984</v>
      </c>
      <c r="G724" s="98">
        <v>1</v>
      </c>
      <c r="H724" s="98">
        <v>0</v>
      </c>
      <c r="I724" s="98">
        <v>2</v>
      </c>
      <c r="J724" s="118">
        <f t="shared" ca="1" si="202"/>
        <v>1.0717187500000028E-3</v>
      </c>
      <c r="K724" s="118">
        <f t="shared" ca="1" si="203"/>
        <v>1.0822113479472778E-4</v>
      </c>
      <c r="L724" s="133">
        <f t="shared" ca="1" si="204"/>
        <v>192</v>
      </c>
      <c r="M724" s="130">
        <f t="shared" ca="1" si="205"/>
        <v>808</v>
      </c>
      <c r="N724" s="100">
        <f t="shared" ca="1" si="206"/>
        <v>4</v>
      </c>
      <c r="O724" s="136">
        <f t="shared" ca="1" si="207"/>
        <v>2.6973744602864622</v>
      </c>
      <c r="P724" s="136">
        <f t="shared" ca="1" si="208"/>
        <v>26.973744602864617</v>
      </c>
      <c r="Q724" s="136">
        <f t="shared" ca="1" si="209"/>
        <v>26.973744602864617</v>
      </c>
      <c r="R724" s="136">
        <f t="shared" ca="1" si="210"/>
        <v>2.6973744602864618</v>
      </c>
      <c r="S724" s="136">
        <f t="shared" ca="1" si="211"/>
        <v>2.6973744602864622</v>
      </c>
      <c r="T724" s="104">
        <f t="shared" ca="1" si="212"/>
        <v>2.9191292505851733E-4</v>
      </c>
      <c r="U724" s="120">
        <f t="shared" ca="1" si="213"/>
        <v>1211.0695270312358</v>
      </c>
      <c r="V724" s="104">
        <f t="shared" ca="1" si="214"/>
        <v>0.13106331853063458</v>
      </c>
      <c r="W724" s="133">
        <f t="shared" ca="1" si="215"/>
        <v>6815.8876602749624</v>
      </c>
      <c r="X724" s="104">
        <f t="shared" ca="1" si="216"/>
        <v>0.73762309722833841</v>
      </c>
    </row>
    <row r="725" spans="1:24" x14ac:dyDescent="0.2">
      <c r="A725" s="98">
        <v>1</v>
      </c>
      <c r="B725" s="98">
        <v>1</v>
      </c>
      <c r="C725" s="98">
        <f t="shared" si="198"/>
        <v>6</v>
      </c>
      <c r="D725" s="98">
        <f t="shared" si="199"/>
        <v>5</v>
      </c>
      <c r="E725" s="98">
        <f t="shared" si="200"/>
        <v>1</v>
      </c>
      <c r="F725" s="118">
        <f t="shared" ca="1" si="201"/>
        <v>0.100979043984</v>
      </c>
      <c r="G725" s="98">
        <v>1</v>
      </c>
      <c r="H725" s="98">
        <v>0</v>
      </c>
      <c r="I725" s="98">
        <v>1</v>
      </c>
      <c r="J725" s="118">
        <f t="shared" ca="1" si="202"/>
        <v>2.8203125000000098E-5</v>
      </c>
      <c r="K725" s="118">
        <f t="shared" ca="1" si="203"/>
        <v>2.84792459986126E-6</v>
      </c>
      <c r="L725" s="133">
        <f t="shared" ca="1" si="204"/>
        <v>180</v>
      </c>
      <c r="M725" s="130">
        <f t="shared" ca="1" si="205"/>
        <v>820</v>
      </c>
      <c r="N725" s="100">
        <f t="shared" ca="1" si="206"/>
        <v>4</v>
      </c>
      <c r="O725" s="136">
        <f t="shared" ca="1" si="207"/>
        <v>2.6973744602864622</v>
      </c>
      <c r="P725" s="136">
        <f t="shared" ca="1" si="208"/>
        <v>26.973744602864617</v>
      </c>
      <c r="Q725" s="136">
        <f t="shared" ca="1" si="209"/>
        <v>26.973744602864617</v>
      </c>
      <c r="R725" s="136">
        <f t="shared" ca="1" si="210"/>
        <v>2.6973744602864618</v>
      </c>
      <c r="S725" s="136">
        <f t="shared" ca="1" si="211"/>
        <v>2.6973744602864622</v>
      </c>
      <c r="T725" s="104">
        <f t="shared" ca="1" si="212"/>
        <v>7.6819190804873055E-6</v>
      </c>
      <c r="U725" s="120">
        <f t="shared" ca="1" si="213"/>
        <v>1199.0695270312358</v>
      </c>
      <c r="V725" s="104">
        <f t="shared" ca="1" si="214"/>
        <v>3.4148596029762624E-3</v>
      </c>
      <c r="W725" s="133">
        <f t="shared" ca="1" si="215"/>
        <v>4638.2877688133131</v>
      </c>
      <c r="X725" s="104">
        <f t="shared" ca="1" si="216"/>
        <v>1.3209493838039032E-2</v>
      </c>
    </row>
    <row r="726" spans="1:24" x14ac:dyDescent="0.2">
      <c r="A726" s="98">
        <v>1</v>
      </c>
      <c r="B726" s="98">
        <v>1</v>
      </c>
      <c r="C726" s="98">
        <f t="shared" si="198"/>
        <v>6</v>
      </c>
      <c r="D726" s="98">
        <f t="shared" si="199"/>
        <v>5</v>
      </c>
      <c r="E726" s="98">
        <f t="shared" si="200"/>
        <v>1</v>
      </c>
      <c r="F726" s="118">
        <f t="shared" ca="1" si="201"/>
        <v>0.100979043984</v>
      </c>
      <c r="G726" s="98">
        <v>1</v>
      </c>
      <c r="H726" s="98">
        <v>0</v>
      </c>
      <c r="I726" s="98">
        <v>0</v>
      </c>
      <c r="J726" s="118">
        <f t="shared" ca="1" si="202"/>
        <v>2.9687500000000134E-7</v>
      </c>
      <c r="K726" s="118">
        <f t="shared" ca="1" si="203"/>
        <v>2.9978153682750137E-8</v>
      </c>
      <c r="L726" s="133">
        <f t="shared" ca="1" si="204"/>
        <v>168</v>
      </c>
      <c r="M726" s="130">
        <f t="shared" ca="1" si="205"/>
        <v>832</v>
      </c>
      <c r="N726" s="100">
        <f t="shared" ca="1" si="206"/>
        <v>4</v>
      </c>
      <c r="O726" s="136">
        <f t="shared" ca="1" si="207"/>
        <v>2.6973744602864622</v>
      </c>
      <c r="P726" s="136">
        <f t="shared" ca="1" si="208"/>
        <v>26.973744602864617</v>
      </c>
      <c r="Q726" s="136">
        <f t="shared" ca="1" si="209"/>
        <v>26.973744602864617</v>
      </c>
      <c r="R726" s="136">
        <f t="shared" ca="1" si="210"/>
        <v>2.6973744602864618</v>
      </c>
      <c r="S726" s="136">
        <f t="shared" ca="1" si="211"/>
        <v>2.6973744602864622</v>
      </c>
      <c r="T726" s="104">
        <f t="shared" ca="1" si="212"/>
        <v>8.086230611039277E-8</v>
      </c>
      <c r="U726" s="120">
        <f t="shared" ca="1" si="213"/>
        <v>1187.0695270312358</v>
      </c>
      <c r="V726" s="104">
        <f t="shared" ca="1" si="214"/>
        <v>3.5586152713451905E-5</v>
      </c>
      <c r="W726" s="133">
        <f t="shared" ca="1" si="215"/>
        <v>2460.6878773516637</v>
      </c>
      <c r="X726" s="104">
        <f t="shared" ca="1" si="216"/>
        <v>7.37668793525284E-5</v>
      </c>
    </row>
    <row r="727" spans="1:24" x14ac:dyDescent="0.2">
      <c r="A727" s="98">
        <v>1</v>
      </c>
      <c r="B727" s="98">
        <v>1</v>
      </c>
      <c r="C727" s="98">
        <f t="shared" si="198"/>
        <v>6</v>
      </c>
      <c r="D727" s="98">
        <f t="shared" si="199"/>
        <v>5</v>
      </c>
      <c r="E727" s="98">
        <f t="shared" si="200"/>
        <v>1</v>
      </c>
      <c r="F727" s="118">
        <f t="shared" ca="1" si="201"/>
        <v>0.100979043984</v>
      </c>
      <c r="G727" s="98">
        <v>0</v>
      </c>
      <c r="H727" s="98">
        <v>1</v>
      </c>
      <c r="I727" s="98">
        <v>7</v>
      </c>
      <c r="J727" s="118">
        <f t="shared" si="202"/>
        <v>0</v>
      </c>
      <c r="K727" s="118">
        <f t="shared" ca="1" si="203"/>
        <v>0</v>
      </c>
      <c r="L727" s="133">
        <f t="shared" ca="1" si="204"/>
        <v>252</v>
      </c>
      <c r="M727" s="130">
        <f t="shared" ca="1" si="205"/>
        <v>748</v>
      </c>
      <c r="N727" s="100">
        <f t="shared" ca="1" si="206"/>
        <v>4</v>
      </c>
      <c r="O727" s="136">
        <f t="shared" ca="1" si="207"/>
        <v>2.6973744602864622</v>
      </c>
      <c r="P727" s="136">
        <f t="shared" ca="1" si="208"/>
        <v>26.973744602864617</v>
      </c>
      <c r="Q727" s="136">
        <f t="shared" ca="1" si="209"/>
        <v>26.973744602864617</v>
      </c>
      <c r="R727" s="136">
        <f t="shared" ca="1" si="210"/>
        <v>2.6973744602864618</v>
      </c>
      <c r="S727" s="136">
        <f t="shared" ca="1" si="211"/>
        <v>2.6973744602864622</v>
      </c>
      <c r="T727" s="104">
        <f t="shared" ca="1" si="212"/>
        <v>0</v>
      </c>
      <c r="U727" s="120">
        <f t="shared" ca="1" si="213"/>
        <v>1271.0695270312358</v>
      </c>
      <c r="V727" s="104">
        <f t="shared" ca="1" si="214"/>
        <v>0</v>
      </c>
      <c r="W727" s="133">
        <f t="shared" ca="1" si="215"/>
        <v>17420.799131693195</v>
      </c>
      <c r="X727" s="104">
        <f t="shared" ca="1" si="216"/>
        <v>0</v>
      </c>
    </row>
    <row r="728" spans="1:24" x14ac:dyDescent="0.2">
      <c r="A728" s="98">
        <v>1</v>
      </c>
      <c r="B728" s="98">
        <v>1</v>
      </c>
      <c r="C728" s="98">
        <f t="shared" si="198"/>
        <v>6</v>
      </c>
      <c r="D728" s="98">
        <f t="shared" si="199"/>
        <v>5</v>
      </c>
      <c r="E728" s="98">
        <f t="shared" si="200"/>
        <v>1</v>
      </c>
      <c r="F728" s="118">
        <f t="shared" ca="1" si="201"/>
        <v>0.100979043984</v>
      </c>
      <c r="G728" s="98">
        <v>0</v>
      </c>
      <c r="H728" s="98">
        <v>1</v>
      </c>
      <c r="I728" s="98">
        <v>6</v>
      </c>
      <c r="J728" s="118">
        <f t="shared" si="202"/>
        <v>0</v>
      </c>
      <c r="K728" s="118">
        <f t="shared" ca="1" si="203"/>
        <v>0</v>
      </c>
      <c r="L728" s="133">
        <f t="shared" ca="1" si="204"/>
        <v>240</v>
      </c>
      <c r="M728" s="130">
        <f t="shared" ca="1" si="205"/>
        <v>760</v>
      </c>
      <c r="N728" s="100">
        <f t="shared" ca="1" si="206"/>
        <v>4</v>
      </c>
      <c r="O728" s="136">
        <f t="shared" ca="1" si="207"/>
        <v>2.6973744602864622</v>
      </c>
      <c r="P728" s="136">
        <f t="shared" ca="1" si="208"/>
        <v>26.973744602864617</v>
      </c>
      <c r="Q728" s="136">
        <f t="shared" ca="1" si="209"/>
        <v>26.973744602864617</v>
      </c>
      <c r="R728" s="136">
        <f t="shared" ca="1" si="210"/>
        <v>2.6973744602864618</v>
      </c>
      <c r="S728" s="136">
        <f t="shared" ca="1" si="211"/>
        <v>2.6973744602864622</v>
      </c>
      <c r="T728" s="104">
        <f t="shared" ca="1" si="212"/>
        <v>0</v>
      </c>
      <c r="U728" s="120">
        <f t="shared" ca="1" si="213"/>
        <v>1259.0695270312358</v>
      </c>
      <c r="V728" s="104">
        <f t="shared" ca="1" si="214"/>
        <v>0</v>
      </c>
      <c r="W728" s="133">
        <f t="shared" ca="1" si="215"/>
        <v>15243.199240231548</v>
      </c>
      <c r="X728" s="104">
        <f t="shared" ca="1" si="216"/>
        <v>0</v>
      </c>
    </row>
    <row r="729" spans="1:24" x14ac:dyDescent="0.2">
      <c r="A729" s="98">
        <v>1</v>
      </c>
      <c r="B729" s="98">
        <v>1</v>
      </c>
      <c r="C729" s="98">
        <f t="shared" si="198"/>
        <v>6</v>
      </c>
      <c r="D729" s="98">
        <f t="shared" si="199"/>
        <v>5</v>
      </c>
      <c r="E729" s="98">
        <f t="shared" si="200"/>
        <v>1</v>
      </c>
      <c r="F729" s="118">
        <f t="shared" ca="1" si="201"/>
        <v>0.100979043984</v>
      </c>
      <c r="G729" s="98">
        <v>0</v>
      </c>
      <c r="H729" s="98">
        <v>1</v>
      </c>
      <c r="I729" s="98">
        <v>5</v>
      </c>
      <c r="J729" s="118">
        <f t="shared" ca="1" si="202"/>
        <v>0</v>
      </c>
      <c r="K729" s="118">
        <f t="shared" ca="1" si="203"/>
        <v>0</v>
      </c>
      <c r="L729" s="133">
        <f t="shared" ca="1" si="204"/>
        <v>228</v>
      </c>
      <c r="M729" s="130">
        <f t="shared" ca="1" si="205"/>
        <v>772</v>
      </c>
      <c r="N729" s="100">
        <f t="shared" ca="1" si="206"/>
        <v>4</v>
      </c>
      <c r="O729" s="136">
        <f t="shared" ca="1" si="207"/>
        <v>2.6973744602864622</v>
      </c>
      <c r="P729" s="136">
        <f t="shared" ca="1" si="208"/>
        <v>26.973744602864617</v>
      </c>
      <c r="Q729" s="136">
        <f t="shared" ca="1" si="209"/>
        <v>26.973744602864617</v>
      </c>
      <c r="R729" s="136">
        <f t="shared" ca="1" si="210"/>
        <v>2.6973744602864618</v>
      </c>
      <c r="S729" s="136">
        <f t="shared" ca="1" si="211"/>
        <v>2.6973744602864622</v>
      </c>
      <c r="T729" s="104">
        <f t="shared" ca="1" si="212"/>
        <v>0</v>
      </c>
      <c r="U729" s="120">
        <f t="shared" ca="1" si="213"/>
        <v>1247.0695270312358</v>
      </c>
      <c r="V729" s="104">
        <f t="shared" ca="1" si="214"/>
        <v>0</v>
      </c>
      <c r="W729" s="133">
        <f t="shared" ca="1" si="215"/>
        <v>13065.599348769898</v>
      </c>
      <c r="X729" s="104">
        <f t="shared" ca="1" si="216"/>
        <v>0</v>
      </c>
    </row>
    <row r="730" spans="1:24" x14ac:dyDescent="0.2">
      <c r="A730" s="98">
        <v>1</v>
      </c>
      <c r="B730" s="98">
        <v>1</v>
      </c>
      <c r="C730" s="98">
        <f t="shared" si="198"/>
        <v>6</v>
      </c>
      <c r="D730" s="98">
        <f t="shared" si="199"/>
        <v>5</v>
      </c>
      <c r="E730" s="98">
        <f t="shared" si="200"/>
        <v>1</v>
      </c>
      <c r="F730" s="118">
        <f t="shared" ca="1" si="201"/>
        <v>0.100979043984</v>
      </c>
      <c r="G730" s="98">
        <v>0</v>
      </c>
      <c r="H730" s="98">
        <v>1</v>
      </c>
      <c r="I730" s="98">
        <v>4</v>
      </c>
      <c r="J730" s="118">
        <f t="shared" ca="1" si="202"/>
        <v>0</v>
      </c>
      <c r="K730" s="118">
        <f t="shared" ca="1" si="203"/>
        <v>0</v>
      </c>
      <c r="L730" s="133">
        <f t="shared" ca="1" si="204"/>
        <v>216</v>
      </c>
      <c r="M730" s="130">
        <f t="shared" ca="1" si="205"/>
        <v>784</v>
      </c>
      <c r="N730" s="100">
        <f t="shared" ca="1" si="206"/>
        <v>4</v>
      </c>
      <c r="O730" s="136">
        <f t="shared" ca="1" si="207"/>
        <v>2.6973744602864622</v>
      </c>
      <c r="P730" s="136">
        <f t="shared" ca="1" si="208"/>
        <v>26.973744602864617</v>
      </c>
      <c r="Q730" s="136">
        <f t="shared" ca="1" si="209"/>
        <v>26.973744602864617</v>
      </c>
      <c r="R730" s="136">
        <f t="shared" ca="1" si="210"/>
        <v>2.6973744602864618</v>
      </c>
      <c r="S730" s="136">
        <f t="shared" ca="1" si="211"/>
        <v>2.6973744602864622</v>
      </c>
      <c r="T730" s="104">
        <f t="shared" ca="1" si="212"/>
        <v>0</v>
      </c>
      <c r="U730" s="120">
        <f t="shared" ca="1" si="213"/>
        <v>1235.0695270312358</v>
      </c>
      <c r="V730" s="104">
        <f t="shared" ca="1" si="214"/>
        <v>0</v>
      </c>
      <c r="W730" s="133">
        <f t="shared" ca="1" si="215"/>
        <v>10887.999457308248</v>
      </c>
      <c r="X730" s="104">
        <f t="shared" ca="1" si="216"/>
        <v>0</v>
      </c>
    </row>
    <row r="731" spans="1:24" x14ac:dyDescent="0.2">
      <c r="A731" s="98">
        <v>1</v>
      </c>
      <c r="B731" s="98">
        <v>1</v>
      </c>
      <c r="C731" s="98">
        <f t="shared" si="198"/>
        <v>6</v>
      </c>
      <c r="D731" s="98">
        <f t="shared" si="199"/>
        <v>5</v>
      </c>
      <c r="E731" s="98">
        <f t="shared" si="200"/>
        <v>1</v>
      </c>
      <c r="F731" s="118">
        <f t="shared" ca="1" si="201"/>
        <v>0.100979043984</v>
      </c>
      <c r="G731" s="98">
        <v>0</v>
      </c>
      <c r="H731" s="98">
        <v>1</v>
      </c>
      <c r="I731" s="98">
        <v>3</v>
      </c>
      <c r="J731" s="118">
        <f t="shared" ca="1" si="202"/>
        <v>0</v>
      </c>
      <c r="K731" s="118">
        <f t="shared" ca="1" si="203"/>
        <v>0</v>
      </c>
      <c r="L731" s="133">
        <f t="shared" ca="1" si="204"/>
        <v>204</v>
      </c>
      <c r="M731" s="130">
        <f t="shared" ca="1" si="205"/>
        <v>796</v>
      </c>
      <c r="N731" s="100">
        <f t="shared" ca="1" si="206"/>
        <v>4</v>
      </c>
      <c r="O731" s="136">
        <f t="shared" ca="1" si="207"/>
        <v>2.6973744602864622</v>
      </c>
      <c r="P731" s="136">
        <f t="shared" ca="1" si="208"/>
        <v>26.973744602864617</v>
      </c>
      <c r="Q731" s="136">
        <f t="shared" ca="1" si="209"/>
        <v>26.973744602864617</v>
      </c>
      <c r="R731" s="136">
        <f t="shared" ca="1" si="210"/>
        <v>2.6973744602864618</v>
      </c>
      <c r="S731" s="136">
        <f t="shared" ca="1" si="211"/>
        <v>2.6973744602864622</v>
      </c>
      <c r="T731" s="104">
        <f t="shared" ca="1" si="212"/>
        <v>0</v>
      </c>
      <c r="U731" s="120">
        <f t="shared" ca="1" si="213"/>
        <v>1223.0695270312358</v>
      </c>
      <c r="V731" s="104">
        <f t="shared" ca="1" si="214"/>
        <v>0</v>
      </c>
      <c r="W731" s="133">
        <f t="shared" ca="1" si="215"/>
        <v>8710.3995658465974</v>
      </c>
      <c r="X731" s="104">
        <f t="shared" ca="1" si="216"/>
        <v>0</v>
      </c>
    </row>
    <row r="732" spans="1:24" x14ac:dyDescent="0.2">
      <c r="A732" s="98">
        <v>1</v>
      </c>
      <c r="B732" s="98">
        <v>1</v>
      </c>
      <c r="C732" s="98">
        <f t="shared" si="198"/>
        <v>6</v>
      </c>
      <c r="D732" s="98">
        <f t="shared" si="199"/>
        <v>5</v>
      </c>
      <c r="E732" s="98">
        <f t="shared" si="200"/>
        <v>1</v>
      </c>
      <c r="F732" s="118">
        <f t="shared" ca="1" si="201"/>
        <v>0.100979043984</v>
      </c>
      <c r="G732" s="98">
        <v>0</v>
      </c>
      <c r="H732" s="98">
        <v>1</v>
      </c>
      <c r="I732" s="98">
        <v>2</v>
      </c>
      <c r="J732" s="118">
        <f t="shared" ca="1" si="202"/>
        <v>0</v>
      </c>
      <c r="K732" s="118">
        <f t="shared" ca="1" si="203"/>
        <v>0</v>
      </c>
      <c r="L732" s="133">
        <f t="shared" ca="1" si="204"/>
        <v>192</v>
      </c>
      <c r="M732" s="130">
        <f t="shared" ca="1" si="205"/>
        <v>808</v>
      </c>
      <c r="N732" s="100">
        <f t="shared" ca="1" si="206"/>
        <v>4</v>
      </c>
      <c r="O732" s="136">
        <f t="shared" ca="1" si="207"/>
        <v>2.6973744602864622</v>
      </c>
      <c r="P732" s="136">
        <f t="shared" ca="1" si="208"/>
        <v>26.973744602864617</v>
      </c>
      <c r="Q732" s="136">
        <f t="shared" ca="1" si="209"/>
        <v>26.973744602864617</v>
      </c>
      <c r="R732" s="136">
        <f t="shared" ca="1" si="210"/>
        <v>2.6973744602864618</v>
      </c>
      <c r="S732" s="136">
        <f t="shared" ca="1" si="211"/>
        <v>2.6973744602864622</v>
      </c>
      <c r="T732" s="104">
        <f t="shared" ca="1" si="212"/>
        <v>0</v>
      </c>
      <c r="U732" s="120">
        <f t="shared" ca="1" si="213"/>
        <v>1211.0695270312358</v>
      </c>
      <c r="V732" s="104">
        <f t="shared" ca="1" si="214"/>
        <v>0</v>
      </c>
      <c r="W732" s="133">
        <f t="shared" ca="1" si="215"/>
        <v>6532.799674384948</v>
      </c>
      <c r="X732" s="104">
        <f t="shared" ca="1" si="216"/>
        <v>0</v>
      </c>
    </row>
    <row r="733" spans="1:24" x14ac:dyDescent="0.2">
      <c r="A733" s="98">
        <v>1</v>
      </c>
      <c r="B733" s="98">
        <v>1</v>
      </c>
      <c r="C733" s="98">
        <f t="shared" si="198"/>
        <v>6</v>
      </c>
      <c r="D733" s="98">
        <f t="shared" si="199"/>
        <v>5</v>
      </c>
      <c r="E733" s="98">
        <f t="shared" si="200"/>
        <v>1</v>
      </c>
      <c r="F733" s="118">
        <f t="shared" ca="1" si="201"/>
        <v>0.100979043984</v>
      </c>
      <c r="G733" s="98">
        <v>0</v>
      </c>
      <c r="H733" s="98">
        <v>1</v>
      </c>
      <c r="I733" s="98">
        <v>1</v>
      </c>
      <c r="J733" s="118">
        <f t="shared" ca="1" si="202"/>
        <v>0</v>
      </c>
      <c r="K733" s="118">
        <f t="shared" ca="1" si="203"/>
        <v>0</v>
      </c>
      <c r="L733" s="133">
        <f t="shared" ca="1" si="204"/>
        <v>180</v>
      </c>
      <c r="M733" s="130">
        <f t="shared" ca="1" si="205"/>
        <v>820</v>
      </c>
      <c r="N733" s="100">
        <f t="shared" ca="1" si="206"/>
        <v>4</v>
      </c>
      <c r="O733" s="136">
        <f t="shared" ca="1" si="207"/>
        <v>2.6973744602864622</v>
      </c>
      <c r="P733" s="136">
        <f t="shared" ca="1" si="208"/>
        <v>26.973744602864617</v>
      </c>
      <c r="Q733" s="136">
        <f t="shared" ca="1" si="209"/>
        <v>26.973744602864617</v>
      </c>
      <c r="R733" s="136">
        <f t="shared" ca="1" si="210"/>
        <v>2.6973744602864618</v>
      </c>
      <c r="S733" s="136">
        <f t="shared" ca="1" si="211"/>
        <v>2.6973744602864622</v>
      </c>
      <c r="T733" s="104">
        <f t="shared" ca="1" si="212"/>
        <v>0</v>
      </c>
      <c r="U733" s="120">
        <f t="shared" ca="1" si="213"/>
        <v>1199.0695270312358</v>
      </c>
      <c r="V733" s="104">
        <f t="shared" ca="1" si="214"/>
        <v>0</v>
      </c>
      <c r="W733" s="133">
        <f t="shared" ca="1" si="215"/>
        <v>4355.1997829232987</v>
      </c>
      <c r="X733" s="104">
        <f t="shared" ca="1" si="216"/>
        <v>0</v>
      </c>
    </row>
    <row r="734" spans="1:24" x14ac:dyDescent="0.2">
      <c r="A734" s="98">
        <v>1</v>
      </c>
      <c r="B734" s="98">
        <v>1</v>
      </c>
      <c r="C734" s="98">
        <f t="shared" si="198"/>
        <v>6</v>
      </c>
      <c r="D734" s="98">
        <f t="shared" si="199"/>
        <v>5</v>
      </c>
      <c r="E734" s="98">
        <f t="shared" si="200"/>
        <v>1</v>
      </c>
      <c r="F734" s="118">
        <f t="shared" ca="1" si="201"/>
        <v>0.100979043984</v>
      </c>
      <c r="G734" s="98">
        <v>0</v>
      </c>
      <c r="H734" s="98">
        <v>1</v>
      </c>
      <c r="I734" s="98">
        <v>0</v>
      </c>
      <c r="J734" s="118">
        <f t="shared" ca="1" si="202"/>
        <v>0</v>
      </c>
      <c r="K734" s="118">
        <f t="shared" ca="1" si="203"/>
        <v>0</v>
      </c>
      <c r="L734" s="133">
        <f t="shared" ca="1" si="204"/>
        <v>168</v>
      </c>
      <c r="M734" s="130">
        <f t="shared" ca="1" si="205"/>
        <v>832</v>
      </c>
      <c r="N734" s="100">
        <f t="shared" ca="1" si="206"/>
        <v>4</v>
      </c>
      <c r="O734" s="136">
        <f t="shared" ca="1" si="207"/>
        <v>2.6973744602864622</v>
      </c>
      <c r="P734" s="136">
        <f t="shared" ca="1" si="208"/>
        <v>26.973744602864617</v>
      </c>
      <c r="Q734" s="136">
        <f t="shared" ca="1" si="209"/>
        <v>26.973744602864617</v>
      </c>
      <c r="R734" s="136">
        <f t="shared" ca="1" si="210"/>
        <v>2.6973744602864618</v>
      </c>
      <c r="S734" s="136">
        <f t="shared" ca="1" si="211"/>
        <v>2.6973744602864622</v>
      </c>
      <c r="T734" s="104">
        <f t="shared" ca="1" si="212"/>
        <v>0</v>
      </c>
      <c r="U734" s="120">
        <f t="shared" ca="1" si="213"/>
        <v>1187.0695270312358</v>
      </c>
      <c r="V734" s="104">
        <f t="shared" ca="1" si="214"/>
        <v>0</v>
      </c>
      <c r="W734" s="133">
        <f t="shared" ca="1" si="215"/>
        <v>2177.5998914616493</v>
      </c>
      <c r="X734" s="104">
        <f t="shared" ca="1" si="216"/>
        <v>0</v>
      </c>
    </row>
    <row r="735" spans="1:24" x14ac:dyDescent="0.2">
      <c r="A735" s="98">
        <v>1</v>
      </c>
      <c r="B735" s="98">
        <v>1</v>
      </c>
      <c r="C735" s="98">
        <f t="shared" si="198"/>
        <v>6</v>
      </c>
      <c r="D735" s="98">
        <f t="shared" si="199"/>
        <v>5</v>
      </c>
      <c r="E735" s="98">
        <f t="shared" si="200"/>
        <v>1</v>
      </c>
      <c r="F735" s="118">
        <f t="shared" ca="1" si="201"/>
        <v>0.100979043984</v>
      </c>
      <c r="G735" s="98">
        <v>0</v>
      </c>
      <c r="H735" s="98">
        <v>0</v>
      </c>
      <c r="I735" s="98">
        <v>7</v>
      </c>
      <c r="J735" s="118">
        <f t="shared" si="202"/>
        <v>0</v>
      </c>
      <c r="K735" s="118">
        <f t="shared" ca="1" si="203"/>
        <v>0</v>
      </c>
      <c r="L735" s="133">
        <f t="shared" ca="1" si="204"/>
        <v>84</v>
      </c>
      <c r="M735" s="130">
        <f t="shared" ca="1" si="205"/>
        <v>916</v>
      </c>
      <c r="N735" s="100">
        <f t="shared" ca="1" si="206"/>
        <v>5</v>
      </c>
      <c r="O735" s="136">
        <f t="shared" ca="1" si="207"/>
        <v>3.301004590397413</v>
      </c>
      <c r="P735" s="136">
        <f t="shared" ca="1" si="208"/>
        <v>33.010045903974124</v>
      </c>
      <c r="Q735" s="136">
        <f t="shared" ca="1" si="209"/>
        <v>33.010045903974124</v>
      </c>
      <c r="R735" s="136">
        <f t="shared" ca="1" si="210"/>
        <v>3.3010045903974126</v>
      </c>
      <c r="S735" s="136">
        <f t="shared" ca="1" si="211"/>
        <v>3.3010045903974126</v>
      </c>
      <c r="T735" s="104">
        <f t="shared" ca="1" si="212"/>
        <v>0</v>
      </c>
      <c r="U735" s="120">
        <f t="shared" ca="1" si="213"/>
        <v>1323.3671890482913</v>
      </c>
      <c r="V735" s="104">
        <f t="shared" ca="1" si="214"/>
        <v>0</v>
      </c>
      <c r="W735" s="133">
        <f t="shared" ca="1" si="215"/>
        <v>15243.199240231546</v>
      </c>
      <c r="X735" s="104">
        <f t="shared" ca="1" si="216"/>
        <v>0</v>
      </c>
    </row>
    <row r="736" spans="1:24" x14ac:dyDescent="0.2">
      <c r="A736" s="98">
        <v>1</v>
      </c>
      <c r="B736" s="98">
        <v>1</v>
      </c>
      <c r="C736" s="98">
        <f t="shared" si="198"/>
        <v>6</v>
      </c>
      <c r="D736" s="98">
        <f t="shared" si="199"/>
        <v>5</v>
      </c>
      <c r="E736" s="98">
        <f t="shared" si="200"/>
        <v>1</v>
      </c>
      <c r="F736" s="118">
        <f t="shared" ca="1" si="201"/>
        <v>0.100979043984</v>
      </c>
      <c r="G736" s="98">
        <v>0</v>
      </c>
      <c r="H736" s="98">
        <v>0</v>
      </c>
      <c r="I736" s="98">
        <v>6</v>
      </c>
      <c r="J736" s="118">
        <f t="shared" si="202"/>
        <v>0</v>
      </c>
      <c r="K736" s="118">
        <f t="shared" ca="1" si="203"/>
        <v>0</v>
      </c>
      <c r="L736" s="133">
        <f t="shared" ca="1" si="204"/>
        <v>72</v>
      </c>
      <c r="M736" s="130">
        <f t="shared" ca="1" si="205"/>
        <v>928</v>
      </c>
      <c r="N736" s="100">
        <f t="shared" ca="1" si="206"/>
        <v>5</v>
      </c>
      <c r="O736" s="136">
        <f t="shared" ca="1" si="207"/>
        <v>3.301004590397413</v>
      </c>
      <c r="P736" s="136">
        <f t="shared" ca="1" si="208"/>
        <v>33.010045903974124</v>
      </c>
      <c r="Q736" s="136">
        <f t="shared" ca="1" si="209"/>
        <v>33.010045903974124</v>
      </c>
      <c r="R736" s="136">
        <f t="shared" ca="1" si="210"/>
        <v>3.3010045903974126</v>
      </c>
      <c r="S736" s="136">
        <f t="shared" ca="1" si="211"/>
        <v>3.3010045903974126</v>
      </c>
      <c r="T736" s="104">
        <f t="shared" ca="1" si="212"/>
        <v>0</v>
      </c>
      <c r="U736" s="120">
        <f t="shared" ca="1" si="213"/>
        <v>1311.3671890482913</v>
      </c>
      <c r="V736" s="104">
        <f t="shared" ca="1" si="214"/>
        <v>0</v>
      </c>
      <c r="W736" s="133">
        <f t="shared" ca="1" si="215"/>
        <v>13065.599348769898</v>
      </c>
      <c r="X736" s="104">
        <f t="shared" ca="1" si="216"/>
        <v>0</v>
      </c>
    </row>
    <row r="737" spans="1:24" x14ac:dyDescent="0.2">
      <c r="A737" s="98">
        <v>1</v>
      </c>
      <c r="B737" s="98">
        <v>1</v>
      </c>
      <c r="C737" s="98">
        <f t="shared" si="198"/>
        <v>6</v>
      </c>
      <c r="D737" s="98">
        <f t="shared" si="199"/>
        <v>5</v>
      </c>
      <c r="E737" s="98">
        <f t="shared" si="200"/>
        <v>1</v>
      </c>
      <c r="F737" s="118">
        <f t="shared" ca="1" si="201"/>
        <v>0.100979043984</v>
      </c>
      <c r="G737" s="98">
        <v>0</v>
      </c>
      <c r="H737" s="98">
        <v>0</v>
      </c>
      <c r="I737" s="98">
        <v>5</v>
      </c>
      <c r="J737" s="118">
        <f t="shared" ca="1" si="202"/>
        <v>3.8689046875000001E-2</v>
      </c>
      <c r="K737" s="118">
        <f t="shared" ca="1" si="203"/>
        <v>3.9067829660896624E-3</v>
      </c>
      <c r="L737" s="133">
        <f t="shared" ca="1" si="204"/>
        <v>60</v>
      </c>
      <c r="M737" s="130">
        <f t="shared" ca="1" si="205"/>
        <v>940</v>
      </c>
      <c r="N737" s="100">
        <f t="shared" ca="1" si="206"/>
        <v>5</v>
      </c>
      <c r="O737" s="136">
        <f t="shared" ca="1" si="207"/>
        <v>3.301004590397413</v>
      </c>
      <c r="P737" s="136">
        <f t="shared" ca="1" si="208"/>
        <v>33.010045903974124</v>
      </c>
      <c r="Q737" s="136">
        <f t="shared" ca="1" si="209"/>
        <v>33.010045903974124</v>
      </c>
      <c r="R737" s="136">
        <f t="shared" ca="1" si="210"/>
        <v>3.3010045903974126</v>
      </c>
      <c r="S737" s="136">
        <f t="shared" ca="1" si="211"/>
        <v>3.3010045903974126</v>
      </c>
      <c r="T737" s="104">
        <f t="shared" ca="1" si="212"/>
        <v>1.2896308504748395E-2</v>
      </c>
      <c r="U737" s="120">
        <f t="shared" ca="1" si="213"/>
        <v>1299.3671890482913</v>
      </c>
      <c r="V737" s="104">
        <f t="shared" ca="1" si="214"/>
        <v>5.0763456008696703</v>
      </c>
      <c r="W737" s="133">
        <f t="shared" ca="1" si="215"/>
        <v>10887.999457308248</v>
      </c>
      <c r="X737" s="104">
        <f t="shared" ca="1" si="216"/>
        <v>42.537050814605351</v>
      </c>
    </row>
    <row r="738" spans="1:24" x14ac:dyDescent="0.2">
      <c r="A738" s="98">
        <v>1</v>
      </c>
      <c r="B738" s="98">
        <v>1</v>
      </c>
      <c r="C738" s="98">
        <f t="shared" si="198"/>
        <v>6</v>
      </c>
      <c r="D738" s="98">
        <f t="shared" si="199"/>
        <v>5</v>
      </c>
      <c r="E738" s="98">
        <f t="shared" si="200"/>
        <v>1</v>
      </c>
      <c r="F738" s="118">
        <f t="shared" ca="1" si="201"/>
        <v>0.100979043984</v>
      </c>
      <c r="G738" s="98">
        <v>0</v>
      </c>
      <c r="H738" s="98">
        <v>0</v>
      </c>
      <c r="I738" s="98">
        <v>4</v>
      </c>
      <c r="J738" s="118">
        <f t="shared" ca="1" si="202"/>
        <v>1.0181328125000009E-2</v>
      </c>
      <c r="K738" s="118">
        <f t="shared" ca="1" si="203"/>
        <v>1.0281007805499121E-3</v>
      </c>
      <c r="L738" s="133">
        <f t="shared" ca="1" si="204"/>
        <v>48</v>
      </c>
      <c r="M738" s="130">
        <f t="shared" ca="1" si="205"/>
        <v>952</v>
      </c>
      <c r="N738" s="100">
        <f t="shared" ca="1" si="206"/>
        <v>5</v>
      </c>
      <c r="O738" s="136">
        <f t="shared" ca="1" si="207"/>
        <v>3.301004590397413</v>
      </c>
      <c r="P738" s="136">
        <f t="shared" ca="1" si="208"/>
        <v>33.010045903974124</v>
      </c>
      <c r="Q738" s="136">
        <f t="shared" ca="1" si="209"/>
        <v>33.010045903974124</v>
      </c>
      <c r="R738" s="136">
        <f t="shared" ca="1" si="210"/>
        <v>3.3010045903974126</v>
      </c>
      <c r="S738" s="136">
        <f t="shared" ca="1" si="211"/>
        <v>3.3010045903974126</v>
      </c>
      <c r="T738" s="104">
        <f t="shared" ca="1" si="212"/>
        <v>3.3937653959864229E-3</v>
      </c>
      <c r="U738" s="120">
        <f t="shared" ca="1" si="213"/>
        <v>1287.3671890482913</v>
      </c>
      <c r="V738" s="104">
        <f t="shared" ca="1" si="214"/>
        <v>1.3235432119148947</v>
      </c>
      <c r="W738" s="133">
        <f t="shared" ca="1" si="215"/>
        <v>8710.3995658465974</v>
      </c>
      <c r="X738" s="104">
        <f t="shared" ca="1" si="216"/>
        <v>8.9551685925485032</v>
      </c>
    </row>
    <row r="739" spans="1:24" x14ac:dyDescent="0.2">
      <c r="A739" s="98">
        <v>1</v>
      </c>
      <c r="B739" s="98">
        <v>1</v>
      </c>
      <c r="C739" s="98">
        <f t="shared" si="198"/>
        <v>6</v>
      </c>
      <c r="D739" s="98">
        <f t="shared" si="199"/>
        <v>5</v>
      </c>
      <c r="E739" s="98">
        <f t="shared" si="200"/>
        <v>1</v>
      </c>
      <c r="F739" s="118">
        <f t="shared" ca="1" si="201"/>
        <v>0.100979043984</v>
      </c>
      <c r="G739" s="98">
        <v>0</v>
      </c>
      <c r="H739" s="98">
        <v>0</v>
      </c>
      <c r="I739" s="98">
        <v>3</v>
      </c>
      <c r="J739" s="118">
        <f t="shared" ca="1" si="202"/>
        <v>1.0717187500000017E-3</v>
      </c>
      <c r="K739" s="118">
        <f t="shared" ca="1" si="203"/>
        <v>1.0822113479472767E-4</v>
      </c>
      <c r="L739" s="133">
        <f t="shared" ca="1" si="204"/>
        <v>36</v>
      </c>
      <c r="M739" s="130">
        <f t="shared" ca="1" si="205"/>
        <v>964</v>
      </c>
      <c r="N739" s="100">
        <f t="shared" ca="1" si="206"/>
        <v>5</v>
      </c>
      <c r="O739" s="136">
        <f t="shared" ca="1" si="207"/>
        <v>3.301004590397413</v>
      </c>
      <c r="P739" s="136">
        <f t="shared" ca="1" si="208"/>
        <v>33.010045903974124</v>
      </c>
      <c r="Q739" s="136">
        <f t="shared" ca="1" si="209"/>
        <v>33.010045903974124</v>
      </c>
      <c r="R739" s="136">
        <f t="shared" ca="1" si="210"/>
        <v>3.3010045903974126</v>
      </c>
      <c r="S739" s="136">
        <f t="shared" ca="1" si="211"/>
        <v>3.3010045903974126</v>
      </c>
      <c r="T739" s="104">
        <f t="shared" ca="1" si="212"/>
        <v>3.572384627354132E-4</v>
      </c>
      <c r="U739" s="120">
        <f t="shared" ca="1" si="213"/>
        <v>1275.3671890482913</v>
      </c>
      <c r="V739" s="104">
        <f t="shared" ca="1" si="214"/>
        <v>0.13802168447876806</v>
      </c>
      <c r="W739" s="133">
        <f t="shared" ca="1" si="215"/>
        <v>6532.799674384949</v>
      </c>
      <c r="X739" s="104">
        <f t="shared" ca="1" si="216"/>
        <v>0.70698699414856658</v>
      </c>
    </row>
    <row r="740" spans="1:24" x14ac:dyDescent="0.2">
      <c r="A740" s="98">
        <v>1</v>
      </c>
      <c r="B740" s="98">
        <v>1</v>
      </c>
      <c r="C740" s="98">
        <f t="shared" si="198"/>
        <v>6</v>
      </c>
      <c r="D740" s="98">
        <f t="shared" si="199"/>
        <v>5</v>
      </c>
      <c r="E740" s="98">
        <f t="shared" si="200"/>
        <v>1</v>
      </c>
      <c r="F740" s="118">
        <f t="shared" ca="1" si="201"/>
        <v>0.100979043984</v>
      </c>
      <c r="G740" s="98">
        <v>0</v>
      </c>
      <c r="H740" s="98">
        <v>0</v>
      </c>
      <c r="I740" s="98">
        <v>2</v>
      </c>
      <c r="J740" s="118">
        <f t="shared" ca="1" si="202"/>
        <v>5.6406250000000155E-5</v>
      </c>
      <c r="K740" s="118">
        <f t="shared" ca="1" si="203"/>
        <v>5.6958491997225157E-6</v>
      </c>
      <c r="L740" s="133">
        <f t="shared" ca="1" si="204"/>
        <v>24</v>
      </c>
      <c r="M740" s="130">
        <f t="shared" ca="1" si="205"/>
        <v>976</v>
      </c>
      <c r="N740" s="100">
        <f t="shared" ca="1" si="206"/>
        <v>5</v>
      </c>
      <c r="O740" s="136">
        <f t="shared" ca="1" si="207"/>
        <v>3.301004590397413</v>
      </c>
      <c r="P740" s="136">
        <f t="shared" ca="1" si="208"/>
        <v>33.010045903974124</v>
      </c>
      <c r="Q740" s="136">
        <f t="shared" ca="1" si="209"/>
        <v>33.010045903974124</v>
      </c>
      <c r="R740" s="136">
        <f t="shared" ca="1" si="210"/>
        <v>3.3010045903974126</v>
      </c>
      <c r="S740" s="136">
        <f t="shared" ca="1" si="211"/>
        <v>3.3010045903974126</v>
      </c>
      <c r="T740" s="104">
        <f t="shared" ca="1" si="212"/>
        <v>1.8802024354495455E-5</v>
      </c>
      <c r="U740" s="120">
        <f t="shared" ca="1" si="213"/>
        <v>1263.3671890482913</v>
      </c>
      <c r="V740" s="104">
        <f t="shared" ca="1" si="214"/>
        <v>7.1959489926963945E-3</v>
      </c>
      <c r="W740" s="133">
        <f t="shared" ca="1" si="215"/>
        <v>4355.1997829232987</v>
      </c>
      <c r="X740" s="104">
        <f t="shared" ca="1" si="216"/>
        <v>2.4806561198195347E-2</v>
      </c>
    </row>
    <row r="741" spans="1:24" x14ac:dyDescent="0.2">
      <c r="A741" s="98">
        <v>1</v>
      </c>
      <c r="B741" s="98">
        <v>1</v>
      </c>
      <c r="C741" s="98">
        <f t="shared" si="198"/>
        <v>6</v>
      </c>
      <c r="D741" s="98">
        <f t="shared" si="199"/>
        <v>5</v>
      </c>
      <c r="E741" s="98">
        <f t="shared" si="200"/>
        <v>1</v>
      </c>
      <c r="F741" s="118">
        <f t="shared" ca="1" si="201"/>
        <v>0.100979043984</v>
      </c>
      <c r="G741" s="98">
        <v>0</v>
      </c>
      <c r="H741" s="98">
        <v>0</v>
      </c>
      <c r="I741" s="98">
        <v>1</v>
      </c>
      <c r="J741" s="118">
        <f t="shared" ca="1" si="202"/>
        <v>1.4843750000000054E-6</v>
      </c>
      <c r="K741" s="118">
        <f t="shared" ca="1" si="203"/>
        <v>1.4989076841375054E-7</v>
      </c>
      <c r="L741" s="133">
        <f t="shared" ca="1" si="204"/>
        <v>12</v>
      </c>
      <c r="M741" s="130">
        <f t="shared" ca="1" si="205"/>
        <v>988</v>
      </c>
      <c r="N741" s="100">
        <f t="shared" ca="1" si="206"/>
        <v>5</v>
      </c>
      <c r="O741" s="136">
        <f t="shared" ca="1" si="207"/>
        <v>3.301004590397413</v>
      </c>
      <c r="P741" s="136">
        <f t="shared" ca="1" si="208"/>
        <v>33.010045903974124</v>
      </c>
      <c r="Q741" s="136">
        <f t="shared" ca="1" si="209"/>
        <v>33.010045903974124</v>
      </c>
      <c r="R741" s="136">
        <f t="shared" ca="1" si="210"/>
        <v>3.3010045903974126</v>
      </c>
      <c r="S741" s="136">
        <f t="shared" ca="1" si="211"/>
        <v>3.3010045903974126</v>
      </c>
      <c r="T741" s="104">
        <f t="shared" ca="1" si="212"/>
        <v>4.9479011459198597E-7</v>
      </c>
      <c r="U741" s="120">
        <f t="shared" ca="1" si="213"/>
        <v>1251.3671890482913</v>
      </c>
      <c r="V741" s="104">
        <f t="shared" ca="1" si="214"/>
        <v>1.8756838953420341E-4</v>
      </c>
      <c r="W741" s="133">
        <f t="shared" ca="1" si="215"/>
        <v>2177.5998914616493</v>
      </c>
      <c r="X741" s="104">
        <f t="shared" ca="1" si="216"/>
        <v>3.264021210288864E-4</v>
      </c>
    </row>
    <row r="742" spans="1:24" x14ac:dyDescent="0.2">
      <c r="A742" s="98">
        <v>1</v>
      </c>
      <c r="B742" s="98">
        <v>1</v>
      </c>
      <c r="C742" s="98">
        <f t="shared" si="198"/>
        <v>6</v>
      </c>
      <c r="D742" s="98">
        <f t="shared" si="199"/>
        <v>5</v>
      </c>
      <c r="E742" s="98">
        <f t="shared" si="200"/>
        <v>1</v>
      </c>
      <c r="F742" s="118">
        <f t="shared" ca="1" si="201"/>
        <v>0.100979043984</v>
      </c>
      <c r="G742" s="98">
        <v>0</v>
      </c>
      <c r="H742" s="98">
        <v>0</v>
      </c>
      <c r="I742" s="98">
        <v>0</v>
      </c>
      <c r="J742" s="118">
        <f t="shared" ca="1" si="202"/>
        <v>1.5625000000000072E-8</v>
      </c>
      <c r="K742" s="118">
        <f t="shared" ca="1" si="203"/>
        <v>1.5777975622500073E-9</v>
      </c>
      <c r="L742" s="133">
        <f t="shared" ca="1" si="204"/>
        <v>0</v>
      </c>
      <c r="M742" s="130">
        <f t="shared" ca="1" si="205"/>
        <v>1000</v>
      </c>
      <c r="N742" s="100">
        <f t="shared" ca="1" si="206"/>
        <v>5</v>
      </c>
      <c r="O742" s="136">
        <f t="shared" ca="1" si="207"/>
        <v>3.301004590397413</v>
      </c>
      <c r="P742" s="136">
        <f t="shared" ca="1" si="208"/>
        <v>33.010045903974124</v>
      </c>
      <c r="Q742" s="136">
        <f t="shared" ca="1" si="209"/>
        <v>33.010045903974124</v>
      </c>
      <c r="R742" s="136">
        <f t="shared" ca="1" si="210"/>
        <v>3.3010045903974126</v>
      </c>
      <c r="S742" s="136">
        <f t="shared" ca="1" si="211"/>
        <v>3.3010045903974126</v>
      </c>
      <c r="T742" s="104">
        <f t="shared" ca="1" si="212"/>
        <v>5.2083169957051214E-9</v>
      </c>
      <c r="U742" s="120">
        <f t="shared" ca="1" si="213"/>
        <v>1239.3671890482913</v>
      </c>
      <c r="V742" s="104">
        <f t="shared" ca="1" si="214"/>
        <v>1.9554705296130379E-6</v>
      </c>
      <c r="W742" s="133">
        <f t="shared" ca="1" si="215"/>
        <v>0</v>
      </c>
      <c r="X742" s="104">
        <f t="shared" ca="1" si="216"/>
        <v>0</v>
      </c>
    </row>
    <row r="743" spans="1:24" x14ac:dyDescent="0.2">
      <c r="A743" s="98">
        <v>1</v>
      </c>
      <c r="B743" s="98">
        <v>2</v>
      </c>
      <c r="C743" s="98">
        <f t="shared" ref="C743:C806" si="217">MIN(8, 1+$B$543+$B$542+A743+B743)</f>
        <v>7</v>
      </c>
      <c r="D743" s="98">
        <f t="shared" ref="D743:D806" si="218">C743-(1+$B$543)</f>
        <v>6</v>
      </c>
      <c r="E743" s="98">
        <f t="shared" ref="E743:E806" si="219">MIN(A743, C743-(1+$B$543+$B$542))</f>
        <v>1</v>
      </c>
      <c r="F743" s="118">
        <f t="shared" ref="F743:F806" ca="1" si="220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2.7741495599999996E-2</v>
      </c>
      <c r="G743" s="98">
        <v>1</v>
      </c>
      <c r="H743" s="98">
        <v>1</v>
      </c>
      <c r="I743" s="98">
        <v>7</v>
      </c>
      <c r="J743" s="118">
        <f t="shared" ref="J743:J806" si="221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18">
        <f t="shared" ref="K743:K806" ca="1" si="222">F743*J743</f>
        <v>0</v>
      </c>
      <c r="L743" s="133">
        <f t="shared" ref="L743:L806" ca="1" si="223">MAX((G743+H743)*Set2WSTP + I743*$B$539, Set2SaveTP)</f>
        <v>420</v>
      </c>
      <c r="M743" s="130">
        <f t="shared" ref="M743:M806" ca="1" si="224">MAX(Set2MinTP-(L743+Set2Regain), 0)</f>
        <v>580</v>
      </c>
      <c r="N743" s="100">
        <f t="shared" ref="N743:N806" ca="1" si="225">CEILING(M743/Set2MeleeTP, 1)</f>
        <v>3</v>
      </c>
      <c r="O743" s="136">
        <f t="shared" ref="O743:O806" ca="1" si="226">VLOOKUP(N743, AvgRoundsSet2, 2)</f>
        <v>2.1177215542739054</v>
      </c>
      <c r="P743" s="136">
        <f t="shared" ref="P743:P806" ca="1" si="227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21.177215542739059</v>
      </c>
      <c r="Q743" s="136">
        <f t="shared" ref="Q743:Q806" ca="1" si="228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21.177215542739059</v>
      </c>
      <c r="R743" s="136">
        <f t="shared" ref="R743:R806" ca="1" si="229">(P743+Q743)/20</f>
        <v>2.1177215542739058</v>
      </c>
      <c r="S743" s="136">
        <f t="shared" ref="S743:S806" ca="1" si="230">R743*Set2ConserveTP + O743*(1-Set2ConserveTP)</f>
        <v>2.1177215542739054</v>
      </c>
      <c r="T743" s="104">
        <f t="shared" ref="T743:T806" ca="1" si="231">K743*S743</f>
        <v>0</v>
      </c>
      <c r="U743" s="120">
        <f t="shared" ref="U743:U806" ca="1" si="232">MIN(L743+(S743+Set2OverTP)*AvgHitsPerRound2*Set2MeleeTP + Set2Regain + 105*Set2ConserveTP, 3000)</f>
        <v>1227.5224659982036</v>
      </c>
      <c r="V743" s="104">
        <f t="shared" ref="V743:V806" ca="1" si="233">U743*K743</f>
        <v>0</v>
      </c>
      <c r="W743" s="133">
        <f t="shared" ref="W743:W806" ca="1" si="234">G743*$K$543*((1-$L$543)*$L$547 + $L$543*$M$547*$M$543)*Set2WSDmg + H743*$K$546*((1-$L$546)*$L$547 + $L$546*$M$547*$M$544) + I743*$K$544*((1-$L$544)*$L$547 + $L$544*$M$547*$M$544) + E743*$K$545*$L$545*$M$543</f>
        <v>19881.48700904486</v>
      </c>
      <c r="X743" s="104">
        <f t="shared" ref="X743:X806" ca="1" si="235">K743*W743</f>
        <v>0</v>
      </c>
    </row>
    <row r="744" spans="1:24" x14ac:dyDescent="0.2">
      <c r="A744" s="98">
        <v>1</v>
      </c>
      <c r="B744" s="98">
        <v>2</v>
      </c>
      <c r="C744" s="98">
        <f t="shared" si="217"/>
        <v>7</v>
      </c>
      <c r="D744" s="98">
        <f t="shared" si="218"/>
        <v>6</v>
      </c>
      <c r="E744" s="98">
        <f t="shared" si="219"/>
        <v>1</v>
      </c>
      <c r="F744" s="118">
        <f t="shared" ca="1" si="220"/>
        <v>2.7741495599999996E-2</v>
      </c>
      <c r="G744" s="98">
        <v>1</v>
      </c>
      <c r="H744" s="98">
        <v>1</v>
      </c>
      <c r="I744" s="98">
        <v>6</v>
      </c>
      <c r="J744" s="118">
        <f t="shared" ca="1" si="221"/>
        <v>0</v>
      </c>
      <c r="K744" s="118">
        <f t="shared" ca="1" si="222"/>
        <v>0</v>
      </c>
      <c r="L744" s="133">
        <f t="shared" ca="1" si="223"/>
        <v>408</v>
      </c>
      <c r="M744" s="130">
        <f t="shared" ca="1" si="224"/>
        <v>592</v>
      </c>
      <c r="N744" s="100">
        <f t="shared" ca="1" si="225"/>
        <v>3</v>
      </c>
      <c r="O744" s="136">
        <f t="shared" ca="1" si="226"/>
        <v>2.1177215542739054</v>
      </c>
      <c r="P744" s="136">
        <f t="shared" ca="1" si="227"/>
        <v>21.177215542739059</v>
      </c>
      <c r="Q744" s="136">
        <f t="shared" ca="1" si="228"/>
        <v>21.177215542739059</v>
      </c>
      <c r="R744" s="136">
        <f t="shared" ca="1" si="229"/>
        <v>2.1177215542739058</v>
      </c>
      <c r="S744" s="136">
        <f t="shared" ca="1" si="230"/>
        <v>2.1177215542739054</v>
      </c>
      <c r="T744" s="104">
        <f t="shared" ca="1" si="231"/>
        <v>0</v>
      </c>
      <c r="U744" s="120">
        <f t="shared" ca="1" si="232"/>
        <v>1215.5224659982036</v>
      </c>
      <c r="V744" s="104">
        <f t="shared" ca="1" si="233"/>
        <v>0</v>
      </c>
      <c r="W744" s="133">
        <f t="shared" ca="1" si="234"/>
        <v>17703.88711758321</v>
      </c>
      <c r="X744" s="104">
        <f t="shared" ca="1" si="235"/>
        <v>0</v>
      </c>
    </row>
    <row r="745" spans="1:24" x14ac:dyDescent="0.2">
      <c r="A745" s="98">
        <v>1</v>
      </c>
      <c r="B745" s="98">
        <v>2</v>
      </c>
      <c r="C745" s="98">
        <f t="shared" si="217"/>
        <v>7</v>
      </c>
      <c r="D745" s="98">
        <f t="shared" si="218"/>
        <v>6</v>
      </c>
      <c r="E745" s="98">
        <f t="shared" si="219"/>
        <v>1</v>
      </c>
      <c r="F745" s="118">
        <f t="shared" ca="1" si="220"/>
        <v>2.7741495599999996E-2</v>
      </c>
      <c r="G745" s="98">
        <v>1</v>
      </c>
      <c r="H745" s="98">
        <v>1</v>
      </c>
      <c r="I745" s="98">
        <v>5</v>
      </c>
      <c r="J745" s="118">
        <f t="shared" ca="1" si="221"/>
        <v>0</v>
      </c>
      <c r="K745" s="118">
        <f t="shared" ca="1" si="222"/>
        <v>0</v>
      </c>
      <c r="L745" s="133">
        <f t="shared" ca="1" si="223"/>
        <v>396</v>
      </c>
      <c r="M745" s="130">
        <f t="shared" ca="1" si="224"/>
        <v>604</v>
      </c>
      <c r="N745" s="100">
        <f t="shared" ca="1" si="225"/>
        <v>3</v>
      </c>
      <c r="O745" s="136">
        <f t="shared" ca="1" si="226"/>
        <v>2.1177215542739054</v>
      </c>
      <c r="P745" s="136">
        <f t="shared" ca="1" si="227"/>
        <v>21.177215542739059</v>
      </c>
      <c r="Q745" s="136">
        <f t="shared" ca="1" si="228"/>
        <v>21.177215542739059</v>
      </c>
      <c r="R745" s="136">
        <f t="shared" ca="1" si="229"/>
        <v>2.1177215542739058</v>
      </c>
      <c r="S745" s="136">
        <f t="shared" ca="1" si="230"/>
        <v>2.1177215542739054</v>
      </c>
      <c r="T745" s="104">
        <f t="shared" ca="1" si="231"/>
        <v>0</v>
      </c>
      <c r="U745" s="120">
        <f t="shared" ca="1" si="232"/>
        <v>1203.5224659982036</v>
      </c>
      <c r="V745" s="104">
        <f t="shared" ca="1" si="233"/>
        <v>0</v>
      </c>
      <c r="W745" s="133">
        <f t="shared" ca="1" si="234"/>
        <v>15526.28722612156</v>
      </c>
      <c r="X745" s="104">
        <f t="shared" ca="1" si="235"/>
        <v>0</v>
      </c>
    </row>
    <row r="746" spans="1:24" x14ac:dyDescent="0.2">
      <c r="A746" s="98">
        <v>1</v>
      </c>
      <c r="B746" s="98">
        <v>2</v>
      </c>
      <c r="C746" s="98">
        <f t="shared" si="217"/>
        <v>7</v>
      </c>
      <c r="D746" s="98">
        <f t="shared" si="218"/>
        <v>6</v>
      </c>
      <c r="E746" s="98">
        <f t="shared" si="219"/>
        <v>1</v>
      </c>
      <c r="F746" s="118">
        <f t="shared" ca="1" si="220"/>
        <v>2.7741495599999996E-2</v>
      </c>
      <c r="G746" s="98">
        <v>1</v>
      </c>
      <c r="H746" s="98">
        <v>1</v>
      </c>
      <c r="I746" s="98">
        <v>4</v>
      </c>
      <c r="J746" s="118">
        <f t="shared" ca="1" si="221"/>
        <v>0</v>
      </c>
      <c r="K746" s="118">
        <f t="shared" ca="1" si="222"/>
        <v>0</v>
      </c>
      <c r="L746" s="133">
        <f t="shared" ca="1" si="223"/>
        <v>384</v>
      </c>
      <c r="M746" s="130">
        <f t="shared" ca="1" si="224"/>
        <v>616</v>
      </c>
      <c r="N746" s="100">
        <f t="shared" ca="1" si="225"/>
        <v>3</v>
      </c>
      <c r="O746" s="136">
        <f t="shared" ca="1" si="226"/>
        <v>2.1177215542739054</v>
      </c>
      <c r="P746" s="136">
        <f t="shared" ca="1" si="227"/>
        <v>21.177215542739059</v>
      </c>
      <c r="Q746" s="136">
        <f t="shared" ca="1" si="228"/>
        <v>21.177215542739059</v>
      </c>
      <c r="R746" s="136">
        <f t="shared" ca="1" si="229"/>
        <v>2.1177215542739058</v>
      </c>
      <c r="S746" s="136">
        <f t="shared" ca="1" si="230"/>
        <v>2.1177215542739054</v>
      </c>
      <c r="T746" s="104">
        <f t="shared" ca="1" si="231"/>
        <v>0</v>
      </c>
      <c r="U746" s="120">
        <f t="shared" ca="1" si="232"/>
        <v>1191.5224659982036</v>
      </c>
      <c r="V746" s="104">
        <f t="shared" ca="1" si="233"/>
        <v>0</v>
      </c>
      <c r="W746" s="133">
        <f t="shared" ca="1" si="234"/>
        <v>13348.68733465991</v>
      </c>
      <c r="X746" s="104">
        <f t="shared" ca="1" si="235"/>
        <v>0</v>
      </c>
    </row>
    <row r="747" spans="1:24" x14ac:dyDescent="0.2">
      <c r="A747" s="98">
        <v>1</v>
      </c>
      <c r="B747" s="98">
        <v>2</v>
      </c>
      <c r="C747" s="98">
        <f t="shared" si="217"/>
        <v>7</v>
      </c>
      <c r="D747" s="98">
        <f t="shared" si="218"/>
        <v>6</v>
      </c>
      <c r="E747" s="98">
        <f t="shared" si="219"/>
        <v>1</v>
      </c>
      <c r="F747" s="118">
        <f t="shared" ca="1" si="220"/>
        <v>2.7741495599999996E-2</v>
      </c>
      <c r="G747" s="98">
        <v>1</v>
      </c>
      <c r="H747" s="98">
        <v>1</v>
      </c>
      <c r="I747" s="98">
        <v>3</v>
      </c>
      <c r="J747" s="118">
        <f t="shared" ca="1" si="221"/>
        <v>0</v>
      </c>
      <c r="K747" s="118">
        <f t="shared" ca="1" si="222"/>
        <v>0</v>
      </c>
      <c r="L747" s="133">
        <f t="shared" ca="1" si="223"/>
        <v>372</v>
      </c>
      <c r="M747" s="130">
        <f t="shared" ca="1" si="224"/>
        <v>628</v>
      </c>
      <c r="N747" s="100">
        <f t="shared" ca="1" si="225"/>
        <v>3</v>
      </c>
      <c r="O747" s="136">
        <f t="shared" ca="1" si="226"/>
        <v>2.1177215542739054</v>
      </c>
      <c r="P747" s="136">
        <f t="shared" ca="1" si="227"/>
        <v>21.177215542739059</v>
      </c>
      <c r="Q747" s="136">
        <f t="shared" ca="1" si="228"/>
        <v>21.177215542739059</v>
      </c>
      <c r="R747" s="136">
        <f t="shared" ca="1" si="229"/>
        <v>2.1177215542739058</v>
      </c>
      <c r="S747" s="136">
        <f t="shared" ca="1" si="230"/>
        <v>2.1177215542739054</v>
      </c>
      <c r="T747" s="104">
        <f t="shared" ca="1" si="231"/>
        <v>0</v>
      </c>
      <c r="U747" s="120">
        <f t="shared" ca="1" si="232"/>
        <v>1179.5224659982036</v>
      </c>
      <c r="V747" s="104">
        <f t="shared" ca="1" si="233"/>
        <v>0</v>
      </c>
      <c r="W747" s="133">
        <f t="shared" ca="1" si="234"/>
        <v>11171.087443198263</v>
      </c>
      <c r="X747" s="104">
        <f t="shared" ca="1" si="235"/>
        <v>0</v>
      </c>
    </row>
    <row r="748" spans="1:24" x14ac:dyDescent="0.2">
      <c r="A748" s="98">
        <v>1</v>
      </c>
      <c r="B748" s="98">
        <v>2</v>
      </c>
      <c r="C748" s="98">
        <f t="shared" si="217"/>
        <v>7</v>
      </c>
      <c r="D748" s="98">
        <f t="shared" si="218"/>
        <v>6</v>
      </c>
      <c r="E748" s="98">
        <f t="shared" si="219"/>
        <v>1</v>
      </c>
      <c r="F748" s="118">
        <f t="shared" ca="1" si="220"/>
        <v>2.7741495599999996E-2</v>
      </c>
      <c r="G748" s="98">
        <v>1</v>
      </c>
      <c r="H748" s="98">
        <v>1</v>
      </c>
      <c r="I748" s="98">
        <v>2</v>
      </c>
      <c r="J748" s="118">
        <f t="shared" ca="1" si="221"/>
        <v>0</v>
      </c>
      <c r="K748" s="118">
        <f t="shared" ca="1" si="222"/>
        <v>0</v>
      </c>
      <c r="L748" s="133">
        <f t="shared" ca="1" si="223"/>
        <v>360</v>
      </c>
      <c r="M748" s="130">
        <f t="shared" ca="1" si="224"/>
        <v>640</v>
      </c>
      <c r="N748" s="100">
        <f t="shared" ca="1" si="225"/>
        <v>3</v>
      </c>
      <c r="O748" s="136">
        <f t="shared" ca="1" si="226"/>
        <v>2.1177215542739054</v>
      </c>
      <c r="P748" s="136">
        <f t="shared" ca="1" si="227"/>
        <v>21.177215542739059</v>
      </c>
      <c r="Q748" s="136">
        <f t="shared" ca="1" si="228"/>
        <v>21.177215542739059</v>
      </c>
      <c r="R748" s="136">
        <f t="shared" ca="1" si="229"/>
        <v>2.1177215542739058</v>
      </c>
      <c r="S748" s="136">
        <f t="shared" ca="1" si="230"/>
        <v>2.1177215542739054</v>
      </c>
      <c r="T748" s="104">
        <f t="shared" ca="1" si="231"/>
        <v>0</v>
      </c>
      <c r="U748" s="120">
        <f t="shared" ca="1" si="232"/>
        <v>1167.5224659982036</v>
      </c>
      <c r="V748" s="104">
        <f t="shared" ca="1" si="233"/>
        <v>0</v>
      </c>
      <c r="W748" s="133">
        <f t="shared" ca="1" si="234"/>
        <v>8993.4875517366127</v>
      </c>
      <c r="X748" s="104">
        <f t="shared" ca="1" si="235"/>
        <v>0</v>
      </c>
    </row>
    <row r="749" spans="1:24" x14ac:dyDescent="0.2">
      <c r="A749" s="98">
        <v>1</v>
      </c>
      <c r="B749" s="98">
        <v>2</v>
      </c>
      <c r="C749" s="98">
        <f t="shared" si="217"/>
        <v>7</v>
      </c>
      <c r="D749" s="98">
        <f t="shared" si="218"/>
        <v>6</v>
      </c>
      <c r="E749" s="98">
        <f t="shared" si="219"/>
        <v>1</v>
      </c>
      <c r="F749" s="118">
        <f t="shared" ca="1" si="220"/>
        <v>2.7741495599999996E-2</v>
      </c>
      <c r="G749" s="98">
        <v>1</v>
      </c>
      <c r="H749" s="98">
        <v>1</v>
      </c>
      <c r="I749" s="98">
        <v>1</v>
      </c>
      <c r="J749" s="118">
        <f t="shared" ca="1" si="221"/>
        <v>0</v>
      </c>
      <c r="K749" s="118">
        <f t="shared" ca="1" si="222"/>
        <v>0</v>
      </c>
      <c r="L749" s="133">
        <f t="shared" ca="1" si="223"/>
        <v>348</v>
      </c>
      <c r="M749" s="130">
        <f t="shared" ca="1" si="224"/>
        <v>652</v>
      </c>
      <c r="N749" s="100">
        <f t="shared" ca="1" si="225"/>
        <v>4</v>
      </c>
      <c r="O749" s="136">
        <f t="shared" ca="1" si="226"/>
        <v>2.6973744602864622</v>
      </c>
      <c r="P749" s="136">
        <f t="shared" ca="1" si="227"/>
        <v>21.177215542739059</v>
      </c>
      <c r="Q749" s="136">
        <f t="shared" ca="1" si="228"/>
        <v>21.177215542739059</v>
      </c>
      <c r="R749" s="136">
        <f t="shared" ca="1" si="229"/>
        <v>2.1177215542739058</v>
      </c>
      <c r="S749" s="136">
        <f t="shared" ca="1" si="230"/>
        <v>2.5060890013023185</v>
      </c>
      <c r="T749" s="104">
        <f t="shared" ca="1" si="231"/>
        <v>0</v>
      </c>
      <c r="U749" s="120">
        <f t="shared" ca="1" si="232"/>
        <v>1297.2589968903351</v>
      </c>
      <c r="V749" s="104">
        <f t="shared" ca="1" si="233"/>
        <v>0</v>
      </c>
      <c r="W749" s="133">
        <f t="shared" ca="1" si="234"/>
        <v>6815.8876602749624</v>
      </c>
      <c r="X749" s="104">
        <f t="shared" ca="1" si="235"/>
        <v>0</v>
      </c>
    </row>
    <row r="750" spans="1:24" x14ac:dyDescent="0.2">
      <c r="A750" s="98">
        <v>1</v>
      </c>
      <c r="B750" s="98">
        <v>2</v>
      </c>
      <c r="C750" s="98">
        <f t="shared" si="217"/>
        <v>7</v>
      </c>
      <c r="D750" s="98">
        <f t="shared" si="218"/>
        <v>6</v>
      </c>
      <c r="E750" s="98">
        <f t="shared" si="219"/>
        <v>1</v>
      </c>
      <c r="F750" s="118">
        <f t="shared" ca="1" si="220"/>
        <v>2.7741495599999996E-2</v>
      </c>
      <c r="G750" s="98">
        <v>1</v>
      </c>
      <c r="H750" s="98">
        <v>1</v>
      </c>
      <c r="I750" s="98">
        <v>0</v>
      </c>
      <c r="J750" s="118">
        <f t="shared" ca="1" si="221"/>
        <v>0</v>
      </c>
      <c r="K750" s="118">
        <f t="shared" ca="1" si="222"/>
        <v>0</v>
      </c>
      <c r="L750" s="133">
        <f t="shared" ca="1" si="223"/>
        <v>336</v>
      </c>
      <c r="M750" s="130">
        <f t="shared" ca="1" si="224"/>
        <v>664</v>
      </c>
      <c r="N750" s="100">
        <f t="shared" ca="1" si="225"/>
        <v>4</v>
      </c>
      <c r="O750" s="136">
        <f t="shared" ca="1" si="226"/>
        <v>2.6973744602864622</v>
      </c>
      <c r="P750" s="136">
        <f t="shared" ca="1" si="227"/>
        <v>26.973744602864617</v>
      </c>
      <c r="Q750" s="136">
        <f t="shared" ca="1" si="228"/>
        <v>22.336521354764173</v>
      </c>
      <c r="R750" s="136">
        <f t="shared" ca="1" si="229"/>
        <v>2.4655132978814391</v>
      </c>
      <c r="S750" s="136">
        <f t="shared" ca="1" si="230"/>
        <v>2.6208602766928046</v>
      </c>
      <c r="T750" s="104">
        <f t="shared" ca="1" si="231"/>
        <v>0</v>
      </c>
      <c r="U750" s="120">
        <f t="shared" ca="1" si="232"/>
        <v>1327.1453149748754</v>
      </c>
      <c r="V750" s="104">
        <f t="shared" ca="1" si="233"/>
        <v>0</v>
      </c>
      <c r="W750" s="133">
        <f t="shared" ca="1" si="234"/>
        <v>4638.2877688133131</v>
      </c>
      <c r="X750" s="104">
        <f t="shared" ca="1" si="235"/>
        <v>0</v>
      </c>
    </row>
    <row r="751" spans="1:24" x14ac:dyDescent="0.2">
      <c r="A751" s="98">
        <v>1</v>
      </c>
      <c r="B751" s="98">
        <v>2</v>
      </c>
      <c r="C751" s="98">
        <f t="shared" si="217"/>
        <v>7</v>
      </c>
      <c r="D751" s="98">
        <f t="shared" si="218"/>
        <v>6</v>
      </c>
      <c r="E751" s="98">
        <f t="shared" si="219"/>
        <v>1</v>
      </c>
      <c r="F751" s="118">
        <f t="shared" ca="1" si="220"/>
        <v>2.7741495599999996E-2</v>
      </c>
      <c r="G751" s="98">
        <v>1</v>
      </c>
      <c r="H751" s="98">
        <v>0</v>
      </c>
      <c r="I751" s="98">
        <v>7</v>
      </c>
      <c r="J751" s="118">
        <f t="shared" si="221"/>
        <v>0</v>
      </c>
      <c r="K751" s="118">
        <f t="shared" ca="1" si="222"/>
        <v>0</v>
      </c>
      <c r="L751" s="133">
        <f t="shared" ca="1" si="223"/>
        <v>252</v>
      </c>
      <c r="M751" s="130">
        <f t="shared" ca="1" si="224"/>
        <v>748</v>
      </c>
      <c r="N751" s="100">
        <f t="shared" ca="1" si="225"/>
        <v>4</v>
      </c>
      <c r="O751" s="136">
        <f t="shared" ca="1" si="226"/>
        <v>2.6973744602864622</v>
      </c>
      <c r="P751" s="136">
        <f t="shared" ca="1" si="227"/>
        <v>26.973744602864617</v>
      </c>
      <c r="Q751" s="136">
        <f t="shared" ca="1" si="228"/>
        <v>26.973744602864617</v>
      </c>
      <c r="R751" s="136">
        <f t="shared" ca="1" si="229"/>
        <v>2.6973744602864618</v>
      </c>
      <c r="S751" s="136">
        <f t="shared" ca="1" si="230"/>
        <v>2.6973744602864622</v>
      </c>
      <c r="T751" s="104">
        <f t="shared" ca="1" si="231"/>
        <v>0</v>
      </c>
      <c r="U751" s="120">
        <f t="shared" ca="1" si="232"/>
        <v>1271.0695270312358</v>
      </c>
      <c r="V751" s="104">
        <f t="shared" ca="1" si="233"/>
        <v>0</v>
      </c>
      <c r="W751" s="133">
        <f t="shared" ca="1" si="234"/>
        <v>17703.88711758321</v>
      </c>
      <c r="X751" s="104">
        <f t="shared" ca="1" si="235"/>
        <v>0</v>
      </c>
    </row>
    <row r="752" spans="1:24" x14ac:dyDescent="0.2">
      <c r="A752" s="98">
        <v>1</v>
      </c>
      <c r="B752" s="98">
        <v>2</v>
      </c>
      <c r="C752" s="98">
        <f t="shared" si="217"/>
        <v>7</v>
      </c>
      <c r="D752" s="98">
        <f t="shared" si="218"/>
        <v>6</v>
      </c>
      <c r="E752" s="98">
        <f t="shared" si="219"/>
        <v>1</v>
      </c>
      <c r="F752" s="118">
        <f t="shared" ca="1" si="220"/>
        <v>2.7741495599999996E-2</v>
      </c>
      <c r="G752" s="98">
        <v>1</v>
      </c>
      <c r="H752" s="98">
        <v>0</v>
      </c>
      <c r="I752" s="98">
        <v>6</v>
      </c>
      <c r="J752" s="118">
        <f t="shared" ca="1" si="221"/>
        <v>0.69833729609374984</v>
      </c>
      <c r="K752" s="118">
        <f t="shared" ca="1" si="222"/>
        <v>1.9372921026900657E-2</v>
      </c>
      <c r="L752" s="133">
        <f t="shared" ca="1" si="223"/>
        <v>240</v>
      </c>
      <c r="M752" s="130">
        <f t="shared" ca="1" si="224"/>
        <v>760</v>
      </c>
      <c r="N752" s="100">
        <f t="shared" ca="1" si="225"/>
        <v>4</v>
      </c>
      <c r="O752" s="136">
        <f t="shared" ca="1" si="226"/>
        <v>2.6973744602864622</v>
      </c>
      <c r="P752" s="136">
        <f t="shared" ca="1" si="227"/>
        <v>26.973744602864617</v>
      </c>
      <c r="Q752" s="136">
        <f t="shared" ca="1" si="228"/>
        <v>26.973744602864617</v>
      </c>
      <c r="R752" s="136">
        <f t="shared" ca="1" si="229"/>
        <v>2.6973744602864618</v>
      </c>
      <c r="S752" s="136">
        <f t="shared" ca="1" si="230"/>
        <v>2.6973744602864622</v>
      </c>
      <c r="T752" s="104">
        <f t="shared" ca="1" si="231"/>
        <v>5.2256022399108412E-2</v>
      </c>
      <c r="U752" s="120">
        <f t="shared" ca="1" si="232"/>
        <v>1259.0695270312358</v>
      </c>
      <c r="V752" s="104">
        <f t="shared" ca="1" si="233"/>
        <v>24.391854514553291</v>
      </c>
      <c r="W752" s="133">
        <f t="shared" ca="1" si="234"/>
        <v>15526.287226121562</v>
      </c>
      <c r="X752" s="104">
        <f t="shared" ca="1" si="235"/>
        <v>300.78953627262945</v>
      </c>
    </row>
    <row r="753" spans="1:24" x14ac:dyDescent="0.2">
      <c r="A753" s="98">
        <v>1</v>
      </c>
      <c r="B753" s="98">
        <v>2</v>
      </c>
      <c r="C753" s="98">
        <f t="shared" si="217"/>
        <v>7</v>
      </c>
      <c r="D753" s="98">
        <f t="shared" si="218"/>
        <v>6</v>
      </c>
      <c r="E753" s="98">
        <f t="shared" si="219"/>
        <v>1</v>
      </c>
      <c r="F753" s="118">
        <f t="shared" ca="1" si="220"/>
        <v>2.7741495599999996E-2</v>
      </c>
      <c r="G753" s="98">
        <v>1</v>
      </c>
      <c r="H753" s="98">
        <v>0</v>
      </c>
      <c r="I753" s="98">
        <v>5</v>
      </c>
      <c r="J753" s="118">
        <f t="shared" ca="1" si="221"/>
        <v>0.22052756718750019</v>
      </c>
      <c r="K753" s="118">
        <f t="shared" ca="1" si="222"/>
        <v>6.1177645348107403E-3</v>
      </c>
      <c r="L753" s="133">
        <f t="shared" ca="1" si="223"/>
        <v>228</v>
      </c>
      <c r="M753" s="130">
        <f t="shared" ca="1" si="224"/>
        <v>772</v>
      </c>
      <c r="N753" s="100">
        <f t="shared" ca="1" si="225"/>
        <v>4</v>
      </c>
      <c r="O753" s="136">
        <f t="shared" ca="1" si="226"/>
        <v>2.6973744602864622</v>
      </c>
      <c r="P753" s="136">
        <f t="shared" ca="1" si="227"/>
        <v>26.973744602864617</v>
      </c>
      <c r="Q753" s="136">
        <f t="shared" ca="1" si="228"/>
        <v>26.973744602864617</v>
      </c>
      <c r="R753" s="136">
        <f t="shared" ca="1" si="229"/>
        <v>2.6973744602864618</v>
      </c>
      <c r="S753" s="136">
        <f t="shared" ca="1" si="230"/>
        <v>2.6973744602864622</v>
      </c>
      <c r="T753" s="104">
        <f t="shared" ca="1" si="231"/>
        <v>1.650190181024478E-2</v>
      </c>
      <c r="U753" s="120">
        <f t="shared" ca="1" si="232"/>
        <v>1247.0695270312358</v>
      </c>
      <c r="V753" s="104">
        <f t="shared" ca="1" si="233"/>
        <v>7.629277724914898</v>
      </c>
      <c r="W753" s="133">
        <f t="shared" ca="1" si="234"/>
        <v>13348.687334659911</v>
      </c>
      <c r="X753" s="104">
        <f t="shared" ca="1" si="235"/>
        <v>81.664125962259718</v>
      </c>
    </row>
    <row r="754" spans="1:24" x14ac:dyDescent="0.2">
      <c r="A754" s="98">
        <v>1</v>
      </c>
      <c r="B754" s="98">
        <v>2</v>
      </c>
      <c r="C754" s="98">
        <f t="shared" si="217"/>
        <v>7</v>
      </c>
      <c r="D754" s="98">
        <f t="shared" si="218"/>
        <v>6</v>
      </c>
      <c r="E754" s="98">
        <f t="shared" si="219"/>
        <v>1</v>
      </c>
      <c r="F754" s="118">
        <f t="shared" ca="1" si="220"/>
        <v>2.7741495599999996E-2</v>
      </c>
      <c r="G754" s="98">
        <v>1</v>
      </c>
      <c r="H754" s="98">
        <v>0</v>
      </c>
      <c r="I754" s="98">
        <v>4</v>
      </c>
      <c r="J754" s="118">
        <f t="shared" ca="1" si="221"/>
        <v>2.9016785156250047E-2</v>
      </c>
      <c r="K754" s="118">
        <f t="shared" ca="1" si="222"/>
        <v>8.0496901773825585E-4</v>
      </c>
      <c r="L754" s="133">
        <f t="shared" ca="1" si="223"/>
        <v>216</v>
      </c>
      <c r="M754" s="130">
        <f t="shared" ca="1" si="224"/>
        <v>784</v>
      </c>
      <c r="N754" s="100">
        <f t="shared" ca="1" si="225"/>
        <v>4</v>
      </c>
      <c r="O754" s="136">
        <f t="shared" ca="1" si="226"/>
        <v>2.6973744602864622</v>
      </c>
      <c r="P754" s="136">
        <f t="shared" ca="1" si="227"/>
        <v>26.973744602864617</v>
      </c>
      <c r="Q754" s="136">
        <f t="shared" ca="1" si="228"/>
        <v>26.973744602864617</v>
      </c>
      <c r="R754" s="136">
        <f t="shared" ca="1" si="229"/>
        <v>2.6973744602864618</v>
      </c>
      <c r="S754" s="136">
        <f t="shared" ca="1" si="230"/>
        <v>2.6973744602864622</v>
      </c>
      <c r="T754" s="104">
        <f t="shared" ca="1" si="231"/>
        <v>2.1713028697690514E-3</v>
      </c>
      <c r="U754" s="120">
        <f t="shared" ca="1" si="232"/>
        <v>1235.0695270312358</v>
      </c>
      <c r="V754" s="104">
        <f t="shared" ca="1" si="233"/>
        <v>0.99419270401278614</v>
      </c>
      <c r="W754" s="133">
        <f t="shared" ca="1" si="234"/>
        <v>11171.087443198261</v>
      </c>
      <c r="X754" s="104">
        <f t="shared" ca="1" si="235"/>
        <v>8.9923792862194674</v>
      </c>
    </row>
    <row r="755" spans="1:24" x14ac:dyDescent="0.2">
      <c r="A755" s="98">
        <v>1</v>
      </c>
      <c r="B755" s="98">
        <v>2</v>
      </c>
      <c r="C755" s="98">
        <f t="shared" si="217"/>
        <v>7</v>
      </c>
      <c r="D755" s="98">
        <f t="shared" si="218"/>
        <v>6</v>
      </c>
      <c r="E755" s="98">
        <f t="shared" si="219"/>
        <v>1</v>
      </c>
      <c r="F755" s="118">
        <f t="shared" ca="1" si="220"/>
        <v>2.7741495599999996E-2</v>
      </c>
      <c r="G755" s="98">
        <v>1</v>
      </c>
      <c r="H755" s="98">
        <v>0</v>
      </c>
      <c r="I755" s="98">
        <v>3</v>
      </c>
      <c r="J755" s="118">
        <f t="shared" ca="1" si="221"/>
        <v>2.0362656250000047E-3</v>
      </c>
      <c r="K755" s="118">
        <f t="shared" ca="1" si="222"/>
        <v>5.6489053876368869E-5</v>
      </c>
      <c r="L755" s="133">
        <f t="shared" ca="1" si="223"/>
        <v>204</v>
      </c>
      <c r="M755" s="130">
        <f t="shared" ca="1" si="224"/>
        <v>796</v>
      </c>
      <c r="N755" s="100">
        <f t="shared" ca="1" si="225"/>
        <v>4</v>
      </c>
      <c r="O755" s="136">
        <f t="shared" ca="1" si="226"/>
        <v>2.6973744602864622</v>
      </c>
      <c r="P755" s="136">
        <f t="shared" ca="1" si="227"/>
        <v>26.973744602864617</v>
      </c>
      <c r="Q755" s="136">
        <f t="shared" ca="1" si="228"/>
        <v>26.973744602864617</v>
      </c>
      <c r="R755" s="136">
        <f t="shared" ca="1" si="229"/>
        <v>2.6973744602864618</v>
      </c>
      <c r="S755" s="136">
        <f t="shared" ca="1" si="230"/>
        <v>2.6973744602864622</v>
      </c>
      <c r="T755" s="104">
        <f t="shared" ca="1" si="231"/>
        <v>1.5237213121186335E-4</v>
      </c>
      <c r="U755" s="120">
        <f t="shared" ca="1" si="232"/>
        <v>1223.0695270312358</v>
      </c>
      <c r="V755" s="104">
        <f t="shared" ca="1" si="233"/>
        <v>6.9090040407012471E-2</v>
      </c>
      <c r="W755" s="133">
        <f t="shared" ca="1" si="234"/>
        <v>8993.4875517366127</v>
      </c>
      <c r="X755" s="104">
        <f t="shared" ca="1" si="235"/>
        <v>0.50803360284650223</v>
      </c>
    </row>
    <row r="756" spans="1:24" x14ac:dyDescent="0.2">
      <c r="A756" s="98">
        <v>1</v>
      </c>
      <c r="B756" s="98">
        <v>2</v>
      </c>
      <c r="C756" s="98">
        <f t="shared" si="217"/>
        <v>7</v>
      </c>
      <c r="D756" s="98">
        <f t="shared" si="218"/>
        <v>6</v>
      </c>
      <c r="E756" s="98">
        <f t="shared" si="219"/>
        <v>1</v>
      </c>
      <c r="F756" s="118">
        <f t="shared" ca="1" si="220"/>
        <v>2.7741495599999996E-2</v>
      </c>
      <c r="G756" s="98">
        <v>1</v>
      </c>
      <c r="H756" s="98">
        <v>0</v>
      </c>
      <c r="I756" s="98">
        <v>2</v>
      </c>
      <c r="J756" s="118">
        <f t="shared" ca="1" si="221"/>
        <v>8.0378906250000291E-5</v>
      </c>
      <c r="K756" s="118">
        <f t="shared" ca="1" si="222"/>
        <v>2.2298310740671952E-6</v>
      </c>
      <c r="L756" s="133">
        <f t="shared" ca="1" si="223"/>
        <v>192</v>
      </c>
      <c r="M756" s="130">
        <f t="shared" ca="1" si="224"/>
        <v>808</v>
      </c>
      <c r="N756" s="100">
        <f t="shared" ca="1" si="225"/>
        <v>4</v>
      </c>
      <c r="O756" s="136">
        <f t="shared" ca="1" si="226"/>
        <v>2.6973744602864622</v>
      </c>
      <c r="P756" s="136">
        <f t="shared" ca="1" si="227"/>
        <v>26.973744602864617</v>
      </c>
      <c r="Q756" s="136">
        <f t="shared" ca="1" si="228"/>
        <v>26.973744602864617</v>
      </c>
      <c r="R756" s="136">
        <f t="shared" ca="1" si="229"/>
        <v>2.6973744602864618</v>
      </c>
      <c r="S756" s="136">
        <f t="shared" ca="1" si="230"/>
        <v>2.6973744602864622</v>
      </c>
      <c r="T756" s="104">
        <f t="shared" ca="1" si="231"/>
        <v>6.0146893899419834E-6</v>
      </c>
      <c r="U756" s="120">
        <f t="shared" ca="1" si="232"/>
        <v>1211.0695270312358</v>
      </c>
      <c r="V756" s="104">
        <f t="shared" ca="1" si="233"/>
        <v>2.7004804642301104E-3</v>
      </c>
      <c r="W756" s="133">
        <f t="shared" ca="1" si="234"/>
        <v>6815.8876602749624</v>
      </c>
      <c r="X756" s="104">
        <f t="shared" ca="1" si="235"/>
        <v>1.5198278102232262E-2</v>
      </c>
    </row>
    <row r="757" spans="1:24" x14ac:dyDescent="0.2">
      <c r="A757" s="98">
        <v>1</v>
      </c>
      <c r="B757" s="98">
        <v>2</v>
      </c>
      <c r="C757" s="98">
        <f t="shared" si="217"/>
        <v>7</v>
      </c>
      <c r="D757" s="98">
        <f t="shared" si="218"/>
        <v>6</v>
      </c>
      <c r="E757" s="98">
        <f t="shared" si="219"/>
        <v>1</v>
      </c>
      <c r="F757" s="118">
        <f t="shared" ca="1" si="220"/>
        <v>2.7741495599999996E-2</v>
      </c>
      <c r="G757" s="98">
        <v>1</v>
      </c>
      <c r="H757" s="98">
        <v>0</v>
      </c>
      <c r="I757" s="98">
        <v>1</v>
      </c>
      <c r="J757" s="118">
        <f t="shared" ca="1" si="221"/>
        <v>1.6921875000000077E-6</v>
      </c>
      <c r="K757" s="118">
        <f t="shared" ca="1" si="222"/>
        <v>4.6943812085625204E-8</v>
      </c>
      <c r="L757" s="133">
        <f t="shared" ca="1" si="223"/>
        <v>180</v>
      </c>
      <c r="M757" s="130">
        <f t="shared" ca="1" si="224"/>
        <v>820</v>
      </c>
      <c r="N757" s="100">
        <f t="shared" ca="1" si="225"/>
        <v>4</v>
      </c>
      <c r="O757" s="136">
        <f t="shared" ca="1" si="226"/>
        <v>2.6973744602864622</v>
      </c>
      <c r="P757" s="136">
        <f t="shared" ca="1" si="227"/>
        <v>26.973744602864617</v>
      </c>
      <c r="Q757" s="136">
        <f t="shared" ca="1" si="228"/>
        <v>26.973744602864617</v>
      </c>
      <c r="R757" s="136">
        <f t="shared" ca="1" si="229"/>
        <v>2.6973744602864618</v>
      </c>
      <c r="S757" s="136">
        <f t="shared" ca="1" si="230"/>
        <v>2.6973744602864622</v>
      </c>
      <c r="T757" s="104">
        <f t="shared" ca="1" si="231"/>
        <v>1.2662503978825237E-7</v>
      </c>
      <c r="U757" s="120">
        <f t="shared" ca="1" si="232"/>
        <v>1199.0695270312358</v>
      </c>
      <c r="V757" s="104">
        <f t="shared" ca="1" si="233"/>
        <v>5.6288894554553825E-5</v>
      </c>
      <c r="W757" s="133">
        <f t="shared" ca="1" si="234"/>
        <v>4638.2877688133131</v>
      </c>
      <c r="X757" s="104">
        <f t="shared" ca="1" si="235"/>
        <v>2.1773890941822595E-4</v>
      </c>
    </row>
    <row r="758" spans="1:24" x14ac:dyDescent="0.2">
      <c r="A758" s="98">
        <v>1</v>
      </c>
      <c r="B758" s="98">
        <v>2</v>
      </c>
      <c r="C758" s="98">
        <f t="shared" si="217"/>
        <v>7</v>
      </c>
      <c r="D758" s="98">
        <f t="shared" si="218"/>
        <v>6</v>
      </c>
      <c r="E758" s="98">
        <f t="shared" si="219"/>
        <v>1</v>
      </c>
      <c r="F758" s="118">
        <f t="shared" ca="1" si="220"/>
        <v>2.7741495599999996E-2</v>
      </c>
      <c r="G758" s="98">
        <v>1</v>
      </c>
      <c r="H758" s="98">
        <v>0</v>
      </c>
      <c r="I758" s="98">
        <v>0</v>
      </c>
      <c r="J758" s="118">
        <f t="shared" ca="1" si="221"/>
        <v>1.4843750000000078E-8</v>
      </c>
      <c r="K758" s="118">
        <f t="shared" ca="1" si="222"/>
        <v>4.1178782531250207E-10</v>
      </c>
      <c r="L758" s="133">
        <f t="shared" ca="1" si="223"/>
        <v>168</v>
      </c>
      <c r="M758" s="130">
        <f t="shared" ca="1" si="224"/>
        <v>832</v>
      </c>
      <c r="N758" s="100">
        <f t="shared" ca="1" si="225"/>
        <v>4</v>
      </c>
      <c r="O758" s="136">
        <f t="shared" ca="1" si="226"/>
        <v>2.6973744602864622</v>
      </c>
      <c r="P758" s="136">
        <f t="shared" ca="1" si="227"/>
        <v>26.973744602864617</v>
      </c>
      <c r="Q758" s="136">
        <f t="shared" ca="1" si="228"/>
        <v>26.973744602864617</v>
      </c>
      <c r="R758" s="136">
        <f t="shared" ca="1" si="229"/>
        <v>2.6973744602864618</v>
      </c>
      <c r="S758" s="136">
        <f t="shared" ca="1" si="230"/>
        <v>2.6973744602864622</v>
      </c>
      <c r="T758" s="104">
        <f t="shared" ca="1" si="231"/>
        <v>1.1107459630548464E-9</v>
      </c>
      <c r="U758" s="120">
        <f t="shared" ca="1" si="232"/>
        <v>1187.0695270312358</v>
      </c>
      <c r="V758" s="104">
        <f t="shared" ca="1" si="233"/>
        <v>4.8882077903093298E-7</v>
      </c>
      <c r="W758" s="133">
        <f t="shared" ca="1" si="234"/>
        <v>2460.6878773516637</v>
      </c>
      <c r="X758" s="104">
        <f t="shared" ca="1" si="235"/>
        <v>1.0132813097874784E-6</v>
      </c>
    </row>
    <row r="759" spans="1:24" x14ac:dyDescent="0.2">
      <c r="A759" s="98">
        <v>1</v>
      </c>
      <c r="B759" s="98">
        <v>2</v>
      </c>
      <c r="C759" s="98">
        <f t="shared" si="217"/>
        <v>7</v>
      </c>
      <c r="D759" s="98">
        <f t="shared" si="218"/>
        <v>6</v>
      </c>
      <c r="E759" s="98">
        <f t="shared" si="219"/>
        <v>1</v>
      </c>
      <c r="F759" s="118">
        <f t="shared" ca="1" si="220"/>
        <v>2.7741495599999996E-2</v>
      </c>
      <c r="G759" s="98">
        <v>0</v>
      </c>
      <c r="H759" s="98">
        <v>1</v>
      </c>
      <c r="I759" s="98">
        <v>7</v>
      </c>
      <c r="J759" s="118">
        <f t="shared" si="221"/>
        <v>0</v>
      </c>
      <c r="K759" s="118">
        <f t="shared" ca="1" si="222"/>
        <v>0</v>
      </c>
      <c r="L759" s="133">
        <f t="shared" ca="1" si="223"/>
        <v>252</v>
      </c>
      <c r="M759" s="130">
        <f t="shared" ca="1" si="224"/>
        <v>748</v>
      </c>
      <c r="N759" s="100">
        <f t="shared" ca="1" si="225"/>
        <v>4</v>
      </c>
      <c r="O759" s="136">
        <f t="shared" ca="1" si="226"/>
        <v>2.6973744602864622</v>
      </c>
      <c r="P759" s="136">
        <f t="shared" ca="1" si="227"/>
        <v>26.973744602864617</v>
      </c>
      <c r="Q759" s="136">
        <f t="shared" ca="1" si="228"/>
        <v>26.973744602864617</v>
      </c>
      <c r="R759" s="136">
        <f t="shared" ca="1" si="229"/>
        <v>2.6973744602864618</v>
      </c>
      <c r="S759" s="136">
        <f t="shared" ca="1" si="230"/>
        <v>2.6973744602864622</v>
      </c>
      <c r="T759" s="104">
        <f t="shared" ca="1" si="231"/>
        <v>0</v>
      </c>
      <c r="U759" s="120">
        <f t="shared" ca="1" si="232"/>
        <v>1271.0695270312358</v>
      </c>
      <c r="V759" s="104">
        <f t="shared" ca="1" si="233"/>
        <v>0</v>
      </c>
      <c r="W759" s="133">
        <f t="shared" ca="1" si="234"/>
        <v>17420.799131693195</v>
      </c>
      <c r="X759" s="104">
        <f t="shared" ca="1" si="235"/>
        <v>0</v>
      </c>
    </row>
    <row r="760" spans="1:24" x14ac:dyDescent="0.2">
      <c r="A760" s="98">
        <v>1</v>
      </c>
      <c r="B760" s="98">
        <v>2</v>
      </c>
      <c r="C760" s="98">
        <f t="shared" si="217"/>
        <v>7</v>
      </c>
      <c r="D760" s="98">
        <f t="shared" si="218"/>
        <v>6</v>
      </c>
      <c r="E760" s="98">
        <f t="shared" si="219"/>
        <v>1</v>
      </c>
      <c r="F760" s="118">
        <f t="shared" ca="1" si="220"/>
        <v>2.7741495599999996E-2</v>
      </c>
      <c r="G760" s="98">
        <v>0</v>
      </c>
      <c r="H760" s="98">
        <v>1</v>
      </c>
      <c r="I760" s="98">
        <v>6</v>
      </c>
      <c r="J760" s="118">
        <f t="shared" ca="1" si="221"/>
        <v>0</v>
      </c>
      <c r="K760" s="118">
        <f t="shared" ca="1" si="222"/>
        <v>0</v>
      </c>
      <c r="L760" s="133">
        <f t="shared" ca="1" si="223"/>
        <v>240</v>
      </c>
      <c r="M760" s="130">
        <f t="shared" ca="1" si="224"/>
        <v>760</v>
      </c>
      <c r="N760" s="100">
        <f t="shared" ca="1" si="225"/>
        <v>4</v>
      </c>
      <c r="O760" s="136">
        <f t="shared" ca="1" si="226"/>
        <v>2.6973744602864622</v>
      </c>
      <c r="P760" s="136">
        <f t="shared" ca="1" si="227"/>
        <v>26.973744602864617</v>
      </c>
      <c r="Q760" s="136">
        <f t="shared" ca="1" si="228"/>
        <v>26.973744602864617</v>
      </c>
      <c r="R760" s="136">
        <f t="shared" ca="1" si="229"/>
        <v>2.6973744602864618</v>
      </c>
      <c r="S760" s="136">
        <f t="shared" ca="1" si="230"/>
        <v>2.6973744602864622</v>
      </c>
      <c r="T760" s="104">
        <f t="shared" ca="1" si="231"/>
        <v>0</v>
      </c>
      <c r="U760" s="120">
        <f t="shared" ca="1" si="232"/>
        <v>1259.0695270312358</v>
      </c>
      <c r="V760" s="104">
        <f t="shared" ca="1" si="233"/>
        <v>0</v>
      </c>
      <c r="W760" s="133">
        <f t="shared" ca="1" si="234"/>
        <v>15243.199240231548</v>
      </c>
      <c r="X760" s="104">
        <f t="shared" ca="1" si="235"/>
        <v>0</v>
      </c>
    </row>
    <row r="761" spans="1:24" x14ac:dyDescent="0.2">
      <c r="A761" s="98">
        <v>1</v>
      </c>
      <c r="B761" s="98">
        <v>2</v>
      </c>
      <c r="C761" s="98">
        <f t="shared" si="217"/>
        <v>7</v>
      </c>
      <c r="D761" s="98">
        <f t="shared" si="218"/>
        <v>6</v>
      </c>
      <c r="E761" s="98">
        <f t="shared" si="219"/>
        <v>1</v>
      </c>
      <c r="F761" s="118">
        <f t="shared" ca="1" si="220"/>
        <v>2.7741495599999996E-2</v>
      </c>
      <c r="G761" s="98">
        <v>0</v>
      </c>
      <c r="H761" s="98">
        <v>1</v>
      </c>
      <c r="I761" s="98">
        <v>5</v>
      </c>
      <c r="J761" s="118">
        <f t="shared" ca="1" si="221"/>
        <v>0</v>
      </c>
      <c r="K761" s="118">
        <f t="shared" ca="1" si="222"/>
        <v>0</v>
      </c>
      <c r="L761" s="133">
        <f t="shared" ca="1" si="223"/>
        <v>228</v>
      </c>
      <c r="M761" s="130">
        <f t="shared" ca="1" si="224"/>
        <v>772</v>
      </c>
      <c r="N761" s="100">
        <f t="shared" ca="1" si="225"/>
        <v>4</v>
      </c>
      <c r="O761" s="136">
        <f t="shared" ca="1" si="226"/>
        <v>2.6973744602864622</v>
      </c>
      <c r="P761" s="136">
        <f t="shared" ca="1" si="227"/>
        <v>26.973744602864617</v>
      </c>
      <c r="Q761" s="136">
        <f t="shared" ca="1" si="228"/>
        <v>26.973744602864617</v>
      </c>
      <c r="R761" s="136">
        <f t="shared" ca="1" si="229"/>
        <v>2.6973744602864618</v>
      </c>
      <c r="S761" s="136">
        <f t="shared" ca="1" si="230"/>
        <v>2.6973744602864622</v>
      </c>
      <c r="T761" s="104">
        <f t="shared" ca="1" si="231"/>
        <v>0</v>
      </c>
      <c r="U761" s="120">
        <f t="shared" ca="1" si="232"/>
        <v>1247.0695270312358</v>
      </c>
      <c r="V761" s="104">
        <f t="shared" ca="1" si="233"/>
        <v>0</v>
      </c>
      <c r="W761" s="133">
        <f t="shared" ca="1" si="234"/>
        <v>13065.599348769898</v>
      </c>
      <c r="X761" s="104">
        <f t="shared" ca="1" si="235"/>
        <v>0</v>
      </c>
    </row>
    <row r="762" spans="1:24" x14ac:dyDescent="0.2">
      <c r="A762" s="98">
        <v>1</v>
      </c>
      <c r="B762" s="98">
        <v>2</v>
      </c>
      <c r="C762" s="98">
        <f t="shared" si="217"/>
        <v>7</v>
      </c>
      <c r="D762" s="98">
        <f t="shared" si="218"/>
        <v>6</v>
      </c>
      <c r="E762" s="98">
        <f t="shared" si="219"/>
        <v>1</v>
      </c>
      <c r="F762" s="118">
        <f t="shared" ca="1" si="220"/>
        <v>2.7741495599999996E-2</v>
      </c>
      <c r="G762" s="98">
        <v>0</v>
      </c>
      <c r="H762" s="98">
        <v>1</v>
      </c>
      <c r="I762" s="98">
        <v>4</v>
      </c>
      <c r="J762" s="118">
        <f t="shared" ca="1" si="221"/>
        <v>0</v>
      </c>
      <c r="K762" s="118">
        <f t="shared" ca="1" si="222"/>
        <v>0</v>
      </c>
      <c r="L762" s="133">
        <f t="shared" ca="1" si="223"/>
        <v>216</v>
      </c>
      <c r="M762" s="130">
        <f t="shared" ca="1" si="224"/>
        <v>784</v>
      </c>
      <c r="N762" s="100">
        <f t="shared" ca="1" si="225"/>
        <v>4</v>
      </c>
      <c r="O762" s="136">
        <f t="shared" ca="1" si="226"/>
        <v>2.6973744602864622</v>
      </c>
      <c r="P762" s="136">
        <f t="shared" ca="1" si="227"/>
        <v>26.973744602864617</v>
      </c>
      <c r="Q762" s="136">
        <f t="shared" ca="1" si="228"/>
        <v>26.973744602864617</v>
      </c>
      <c r="R762" s="136">
        <f t="shared" ca="1" si="229"/>
        <v>2.6973744602864618</v>
      </c>
      <c r="S762" s="136">
        <f t="shared" ca="1" si="230"/>
        <v>2.6973744602864622</v>
      </c>
      <c r="T762" s="104">
        <f t="shared" ca="1" si="231"/>
        <v>0</v>
      </c>
      <c r="U762" s="120">
        <f t="shared" ca="1" si="232"/>
        <v>1235.0695270312358</v>
      </c>
      <c r="V762" s="104">
        <f t="shared" ca="1" si="233"/>
        <v>0</v>
      </c>
      <c r="W762" s="133">
        <f t="shared" ca="1" si="234"/>
        <v>10887.999457308248</v>
      </c>
      <c r="X762" s="104">
        <f t="shared" ca="1" si="235"/>
        <v>0</v>
      </c>
    </row>
    <row r="763" spans="1:24" x14ac:dyDescent="0.2">
      <c r="A763" s="98">
        <v>1</v>
      </c>
      <c r="B763" s="98">
        <v>2</v>
      </c>
      <c r="C763" s="98">
        <f t="shared" si="217"/>
        <v>7</v>
      </c>
      <c r="D763" s="98">
        <f t="shared" si="218"/>
        <v>6</v>
      </c>
      <c r="E763" s="98">
        <f t="shared" si="219"/>
        <v>1</v>
      </c>
      <c r="F763" s="118">
        <f t="shared" ca="1" si="220"/>
        <v>2.7741495599999996E-2</v>
      </c>
      <c r="G763" s="98">
        <v>0</v>
      </c>
      <c r="H763" s="98">
        <v>1</v>
      </c>
      <c r="I763" s="98">
        <v>3</v>
      </c>
      <c r="J763" s="118">
        <f t="shared" ca="1" si="221"/>
        <v>0</v>
      </c>
      <c r="K763" s="118">
        <f t="shared" ca="1" si="222"/>
        <v>0</v>
      </c>
      <c r="L763" s="133">
        <f t="shared" ca="1" si="223"/>
        <v>204</v>
      </c>
      <c r="M763" s="130">
        <f t="shared" ca="1" si="224"/>
        <v>796</v>
      </c>
      <c r="N763" s="100">
        <f t="shared" ca="1" si="225"/>
        <v>4</v>
      </c>
      <c r="O763" s="136">
        <f t="shared" ca="1" si="226"/>
        <v>2.6973744602864622</v>
      </c>
      <c r="P763" s="136">
        <f t="shared" ca="1" si="227"/>
        <v>26.973744602864617</v>
      </c>
      <c r="Q763" s="136">
        <f t="shared" ca="1" si="228"/>
        <v>26.973744602864617</v>
      </c>
      <c r="R763" s="136">
        <f t="shared" ca="1" si="229"/>
        <v>2.6973744602864618</v>
      </c>
      <c r="S763" s="136">
        <f t="shared" ca="1" si="230"/>
        <v>2.6973744602864622</v>
      </c>
      <c r="T763" s="104">
        <f t="shared" ca="1" si="231"/>
        <v>0</v>
      </c>
      <c r="U763" s="120">
        <f t="shared" ca="1" si="232"/>
        <v>1223.0695270312358</v>
      </c>
      <c r="V763" s="104">
        <f t="shared" ca="1" si="233"/>
        <v>0</v>
      </c>
      <c r="W763" s="133">
        <f t="shared" ca="1" si="234"/>
        <v>8710.3995658465974</v>
      </c>
      <c r="X763" s="104">
        <f t="shared" ca="1" si="235"/>
        <v>0</v>
      </c>
    </row>
    <row r="764" spans="1:24" x14ac:dyDescent="0.2">
      <c r="A764" s="98">
        <v>1</v>
      </c>
      <c r="B764" s="98">
        <v>2</v>
      </c>
      <c r="C764" s="98">
        <f t="shared" si="217"/>
        <v>7</v>
      </c>
      <c r="D764" s="98">
        <f t="shared" si="218"/>
        <v>6</v>
      </c>
      <c r="E764" s="98">
        <f t="shared" si="219"/>
        <v>1</v>
      </c>
      <c r="F764" s="118">
        <f t="shared" ca="1" si="220"/>
        <v>2.7741495599999996E-2</v>
      </c>
      <c r="G764" s="98">
        <v>0</v>
      </c>
      <c r="H764" s="98">
        <v>1</v>
      </c>
      <c r="I764" s="98">
        <v>2</v>
      </c>
      <c r="J764" s="118">
        <f t="shared" ca="1" si="221"/>
        <v>0</v>
      </c>
      <c r="K764" s="118">
        <f t="shared" ca="1" si="222"/>
        <v>0</v>
      </c>
      <c r="L764" s="133">
        <f t="shared" ca="1" si="223"/>
        <v>192</v>
      </c>
      <c r="M764" s="130">
        <f t="shared" ca="1" si="224"/>
        <v>808</v>
      </c>
      <c r="N764" s="100">
        <f t="shared" ca="1" si="225"/>
        <v>4</v>
      </c>
      <c r="O764" s="136">
        <f t="shared" ca="1" si="226"/>
        <v>2.6973744602864622</v>
      </c>
      <c r="P764" s="136">
        <f t="shared" ca="1" si="227"/>
        <v>26.973744602864617</v>
      </c>
      <c r="Q764" s="136">
        <f t="shared" ca="1" si="228"/>
        <v>26.973744602864617</v>
      </c>
      <c r="R764" s="136">
        <f t="shared" ca="1" si="229"/>
        <v>2.6973744602864618</v>
      </c>
      <c r="S764" s="136">
        <f t="shared" ca="1" si="230"/>
        <v>2.6973744602864622</v>
      </c>
      <c r="T764" s="104">
        <f t="shared" ca="1" si="231"/>
        <v>0</v>
      </c>
      <c r="U764" s="120">
        <f t="shared" ca="1" si="232"/>
        <v>1211.0695270312358</v>
      </c>
      <c r="V764" s="104">
        <f t="shared" ca="1" si="233"/>
        <v>0</v>
      </c>
      <c r="W764" s="133">
        <f t="shared" ca="1" si="234"/>
        <v>6532.799674384948</v>
      </c>
      <c r="X764" s="104">
        <f t="shared" ca="1" si="235"/>
        <v>0</v>
      </c>
    </row>
    <row r="765" spans="1:24" x14ac:dyDescent="0.2">
      <c r="A765" s="98">
        <v>1</v>
      </c>
      <c r="B765" s="98">
        <v>2</v>
      </c>
      <c r="C765" s="98">
        <f t="shared" si="217"/>
        <v>7</v>
      </c>
      <c r="D765" s="98">
        <f t="shared" si="218"/>
        <v>6</v>
      </c>
      <c r="E765" s="98">
        <f t="shared" si="219"/>
        <v>1</v>
      </c>
      <c r="F765" s="118">
        <f t="shared" ca="1" si="220"/>
        <v>2.7741495599999996E-2</v>
      </c>
      <c r="G765" s="98">
        <v>0</v>
      </c>
      <c r="H765" s="98">
        <v>1</v>
      </c>
      <c r="I765" s="98">
        <v>1</v>
      </c>
      <c r="J765" s="118">
        <f t="shared" ca="1" si="221"/>
        <v>0</v>
      </c>
      <c r="K765" s="118">
        <f t="shared" ca="1" si="222"/>
        <v>0</v>
      </c>
      <c r="L765" s="133">
        <f t="shared" ca="1" si="223"/>
        <v>180</v>
      </c>
      <c r="M765" s="130">
        <f t="shared" ca="1" si="224"/>
        <v>820</v>
      </c>
      <c r="N765" s="100">
        <f t="shared" ca="1" si="225"/>
        <v>4</v>
      </c>
      <c r="O765" s="136">
        <f t="shared" ca="1" si="226"/>
        <v>2.6973744602864622</v>
      </c>
      <c r="P765" s="136">
        <f t="shared" ca="1" si="227"/>
        <v>26.973744602864617</v>
      </c>
      <c r="Q765" s="136">
        <f t="shared" ca="1" si="228"/>
        <v>26.973744602864617</v>
      </c>
      <c r="R765" s="136">
        <f t="shared" ca="1" si="229"/>
        <v>2.6973744602864618</v>
      </c>
      <c r="S765" s="136">
        <f t="shared" ca="1" si="230"/>
        <v>2.6973744602864622</v>
      </c>
      <c r="T765" s="104">
        <f t="shared" ca="1" si="231"/>
        <v>0</v>
      </c>
      <c r="U765" s="120">
        <f t="shared" ca="1" si="232"/>
        <v>1199.0695270312358</v>
      </c>
      <c r="V765" s="104">
        <f t="shared" ca="1" si="233"/>
        <v>0</v>
      </c>
      <c r="W765" s="133">
        <f t="shared" ca="1" si="234"/>
        <v>4355.1997829232987</v>
      </c>
      <c r="X765" s="104">
        <f t="shared" ca="1" si="235"/>
        <v>0</v>
      </c>
    </row>
    <row r="766" spans="1:24" x14ac:dyDescent="0.2">
      <c r="A766" s="98">
        <v>1</v>
      </c>
      <c r="B766" s="98">
        <v>2</v>
      </c>
      <c r="C766" s="98">
        <f t="shared" si="217"/>
        <v>7</v>
      </c>
      <c r="D766" s="98">
        <f t="shared" si="218"/>
        <v>6</v>
      </c>
      <c r="E766" s="98">
        <f t="shared" si="219"/>
        <v>1</v>
      </c>
      <c r="F766" s="118">
        <f t="shared" ca="1" si="220"/>
        <v>2.7741495599999996E-2</v>
      </c>
      <c r="G766" s="98">
        <v>0</v>
      </c>
      <c r="H766" s="98">
        <v>1</v>
      </c>
      <c r="I766" s="98">
        <v>0</v>
      </c>
      <c r="J766" s="118">
        <f t="shared" ca="1" si="221"/>
        <v>0</v>
      </c>
      <c r="K766" s="118">
        <f t="shared" ca="1" si="222"/>
        <v>0</v>
      </c>
      <c r="L766" s="133">
        <f t="shared" ca="1" si="223"/>
        <v>168</v>
      </c>
      <c r="M766" s="130">
        <f t="shared" ca="1" si="224"/>
        <v>832</v>
      </c>
      <c r="N766" s="100">
        <f t="shared" ca="1" si="225"/>
        <v>4</v>
      </c>
      <c r="O766" s="136">
        <f t="shared" ca="1" si="226"/>
        <v>2.6973744602864622</v>
      </c>
      <c r="P766" s="136">
        <f t="shared" ca="1" si="227"/>
        <v>26.973744602864617</v>
      </c>
      <c r="Q766" s="136">
        <f t="shared" ca="1" si="228"/>
        <v>26.973744602864617</v>
      </c>
      <c r="R766" s="136">
        <f t="shared" ca="1" si="229"/>
        <v>2.6973744602864618</v>
      </c>
      <c r="S766" s="136">
        <f t="shared" ca="1" si="230"/>
        <v>2.6973744602864622</v>
      </c>
      <c r="T766" s="104">
        <f t="shared" ca="1" si="231"/>
        <v>0</v>
      </c>
      <c r="U766" s="120">
        <f t="shared" ca="1" si="232"/>
        <v>1187.0695270312358</v>
      </c>
      <c r="V766" s="104">
        <f t="shared" ca="1" si="233"/>
        <v>0</v>
      </c>
      <c r="W766" s="133">
        <f t="shared" ca="1" si="234"/>
        <v>2177.5998914616493</v>
      </c>
      <c r="X766" s="104">
        <f t="shared" ca="1" si="235"/>
        <v>0</v>
      </c>
    </row>
    <row r="767" spans="1:24" x14ac:dyDescent="0.2">
      <c r="A767" s="98">
        <v>1</v>
      </c>
      <c r="B767" s="98">
        <v>2</v>
      </c>
      <c r="C767" s="98">
        <f t="shared" si="217"/>
        <v>7</v>
      </c>
      <c r="D767" s="98">
        <f t="shared" si="218"/>
        <v>6</v>
      </c>
      <c r="E767" s="98">
        <f t="shared" si="219"/>
        <v>1</v>
      </c>
      <c r="F767" s="118">
        <f t="shared" ca="1" si="220"/>
        <v>2.7741495599999996E-2</v>
      </c>
      <c r="G767" s="98">
        <v>0</v>
      </c>
      <c r="H767" s="98">
        <v>0</v>
      </c>
      <c r="I767" s="98">
        <v>7</v>
      </c>
      <c r="J767" s="118">
        <f t="shared" si="221"/>
        <v>0</v>
      </c>
      <c r="K767" s="118">
        <f t="shared" ca="1" si="222"/>
        <v>0</v>
      </c>
      <c r="L767" s="133">
        <f t="shared" ca="1" si="223"/>
        <v>84</v>
      </c>
      <c r="M767" s="130">
        <f t="shared" ca="1" si="224"/>
        <v>916</v>
      </c>
      <c r="N767" s="100">
        <f t="shared" ca="1" si="225"/>
        <v>5</v>
      </c>
      <c r="O767" s="136">
        <f t="shared" ca="1" si="226"/>
        <v>3.301004590397413</v>
      </c>
      <c r="P767" s="136">
        <f t="shared" ca="1" si="227"/>
        <v>33.010045903974124</v>
      </c>
      <c r="Q767" s="136">
        <f t="shared" ca="1" si="228"/>
        <v>33.010045903974124</v>
      </c>
      <c r="R767" s="136">
        <f t="shared" ca="1" si="229"/>
        <v>3.3010045903974126</v>
      </c>
      <c r="S767" s="136">
        <f t="shared" ca="1" si="230"/>
        <v>3.3010045903974126</v>
      </c>
      <c r="T767" s="104">
        <f t="shared" ca="1" si="231"/>
        <v>0</v>
      </c>
      <c r="U767" s="120">
        <f t="shared" ca="1" si="232"/>
        <v>1323.3671890482913</v>
      </c>
      <c r="V767" s="104">
        <f t="shared" ca="1" si="233"/>
        <v>0</v>
      </c>
      <c r="W767" s="133">
        <f t="shared" ca="1" si="234"/>
        <v>15243.199240231546</v>
      </c>
      <c r="X767" s="104">
        <f t="shared" ca="1" si="235"/>
        <v>0</v>
      </c>
    </row>
    <row r="768" spans="1:24" x14ac:dyDescent="0.2">
      <c r="A768" s="98">
        <v>1</v>
      </c>
      <c r="B768" s="98">
        <v>2</v>
      </c>
      <c r="C768" s="98">
        <f t="shared" si="217"/>
        <v>7</v>
      </c>
      <c r="D768" s="98">
        <f t="shared" si="218"/>
        <v>6</v>
      </c>
      <c r="E768" s="98">
        <f t="shared" si="219"/>
        <v>1</v>
      </c>
      <c r="F768" s="118">
        <f t="shared" ca="1" si="220"/>
        <v>2.7741495599999996E-2</v>
      </c>
      <c r="G768" s="98">
        <v>0</v>
      </c>
      <c r="H768" s="98">
        <v>0</v>
      </c>
      <c r="I768" s="98">
        <v>6</v>
      </c>
      <c r="J768" s="118">
        <f t="shared" ca="1" si="221"/>
        <v>3.6754594531249997E-2</v>
      </c>
      <c r="K768" s="118">
        <f t="shared" ca="1" si="222"/>
        <v>1.0196274224684558E-3</v>
      </c>
      <c r="L768" s="133">
        <f t="shared" ca="1" si="223"/>
        <v>72</v>
      </c>
      <c r="M768" s="130">
        <f t="shared" ca="1" si="224"/>
        <v>928</v>
      </c>
      <c r="N768" s="100">
        <f t="shared" ca="1" si="225"/>
        <v>5</v>
      </c>
      <c r="O768" s="136">
        <f t="shared" ca="1" si="226"/>
        <v>3.301004590397413</v>
      </c>
      <c r="P768" s="136">
        <f t="shared" ca="1" si="227"/>
        <v>33.010045903974124</v>
      </c>
      <c r="Q768" s="136">
        <f t="shared" ca="1" si="228"/>
        <v>33.010045903974124</v>
      </c>
      <c r="R768" s="136">
        <f t="shared" ca="1" si="229"/>
        <v>3.3010045903974126</v>
      </c>
      <c r="S768" s="136">
        <f t="shared" ca="1" si="230"/>
        <v>3.3010045903974126</v>
      </c>
      <c r="T768" s="104">
        <f t="shared" ca="1" si="231"/>
        <v>3.3657948020634544E-3</v>
      </c>
      <c r="U768" s="120">
        <f t="shared" ca="1" si="232"/>
        <v>1311.3671890482913</v>
      </c>
      <c r="V768" s="104">
        <f t="shared" ca="1" si="233"/>
        <v>1.3371059468790134</v>
      </c>
      <c r="W768" s="133">
        <f t="shared" ca="1" si="234"/>
        <v>13065.599348769898</v>
      </c>
      <c r="X768" s="104">
        <f t="shared" ca="1" si="235"/>
        <v>13.322043386991785</v>
      </c>
    </row>
    <row r="769" spans="1:24" x14ac:dyDescent="0.2">
      <c r="A769" s="98">
        <v>1</v>
      </c>
      <c r="B769" s="98">
        <v>2</v>
      </c>
      <c r="C769" s="98">
        <f t="shared" si="217"/>
        <v>7</v>
      </c>
      <c r="D769" s="98">
        <f t="shared" si="218"/>
        <v>6</v>
      </c>
      <c r="E769" s="98">
        <f t="shared" si="219"/>
        <v>1</v>
      </c>
      <c r="F769" s="118">
        <f t="shared" ca="1" si="220"/>
        <v>2.7741495599999996E-2</v>
      </c>
      <c r="G769" s="98">
        <v>0</v>
      </c>
      <c r="H769" s="98">
        <v>0</v>
      </c>
      <c r="I769" s="98">
        <v>5</v>
      </c>
      <c r="J769" s="118">
        <f t="shared" ca="1" si="221"/>
        <v>1.1606714062500011E-2</v>
      </c>
      <c r="K769" s="118">
        <f t="shared" ca="1" si="222"/>
        <v>3.2198760709530212E-4</v>
      </c>
      <c r="L769" s="133">
        <f t="shared" ca="1" si="223"/>
        <v>60</v>
      </c>
      <c r="M769" s="130">
        <f t="shared" ca="1" si="224"/>
        <v>940</v>
      </c>
      <c r="N769" s="100">
        <f t="shared" ca="1" si="225"/>
        <v>5</v>
      </c>
      <c r="O769" s="136">
        <f t="shared" ca="1" si="226"/>
        <v>3.301004590397413</v>
      </c>
      <c r="P769" s="136">
        <f t="shared" ca="1" si="227"/>
        <v>33.010045903974124</v>
      </c>
      <c r="Q769" s="136">
        <f t="shared" ca="1" si="228"/>
        <v>33.010045903974124</v>
      </c>
      <c r="R769" s="136">
        <f t="shared" ca="1" si="229"/>
        <v>3.3010045903974126</v>
      </c>
      <c r="S769" s="136">
        <f t="shared" ca="1" si="230"/>
        <v>3.3010045903974126</v>
      </c>
      <c r="T769" s="104">
        <f t="shared" ca="1" si="231"/>
        <v>1.0628825690726707E-3</v>
      </c>
      <c r="U769" s="120">
        <f t="shared" ca="1" si="232"/>
        <v>1299.3671890482913</v>
      </c>
      <c r="V769" s="104">
        <f t="shared" ca="1" si="233"/>
        <v>0.41838013193980839</v>
      </c>
      <c r="W769" s="133">
        <f t="shared" ca="1" si="234"/>
        <v>10887.999457308248</v>
      </c>
      <c r="X769" s="104">
        <f t="shared" ca="1" si="235"/>
        <v>3.5058008913136307</v>
      </c>
    </row>
    <row r="770" spans="1:24" x14ac:dyDescent="0.2">
      <c r="A770" s="98">
        <v>1</v>
      </c>
      <c r="B770" s="98">
        <v>2</v>
      </c>
      <c r="C770" s="98">
        <f t="shared" si="217"/>
        <v>7</v>
      </c>
      <c r="D770" s="98">
        <f t="shared" si="218"/>
        <v>6</v>
      </c>
      <c r="E770" s="98">
        <f t="shared" si="219"/>
        <v>1</v>
      </c>
      <c r="F770" s="118">
        <f t="shared" ca="1" si="220"/>
        <v>2.7741495599999996E-2</v>
      </c>
      <c r="G770" s="98">
        <v>0</v>
      </c>
      <c r="H770" s="98">
        <v>0</v>
      </c>
      <c r="I770" s="98">
        <v>4</v>
      </c>
      <c r="J770" s="118">
        <f t="shared" ca="1" si="221"/>
        <v>1.5271992187500026E-3</v>
      </c>
      <c r="K770" s="118">
        <f t="shared" ca="1" si="222"/>
        <v>4.2366790407276631E-5</v>
      </c>
      <c r="L770" s="133">
        <f t="shared" ca="1" si="223"/>
        <v>48</v>
      </c>
      <c r="M770" s="130">
        <f t="shared" ca="1" si="224"/>
        <v>952</v>
      </c>
      <c r="N770" s="100">
        <f t="shared" ca="1" si="225"/>
        <v>5</v>
      </c>
      <c r="O770" s="136">
        <f t="shared" ca="1" si="226"/>
        <v>3.301004590397413</v>
      </c>
      <c r="P770" s="136">
        <f t="shared" ca="1" si="227"/>
        <v>33.010045903974124</v>
      </c>
      <c r="Q770" s="136">
        <f t="shared" ca="1" si="228"/>
        <v>33.010045903974124</v>
      </c>
      <c r="R770" s="136">
        <f t="shared" ca="1" si="229"/>
        <v>3.3010045903974126</v>
      </c>
      <c r="S770" s="136">
        <f t="shared" ca="1" si="230"/>
        <v>3.3010045903974126</v>
      </c>
      <c r="T770" s="104">
        <f t="shared" ca="1" si="231"/>
        <v>1.3985296961482521E-4</v>
      </c>
      <c r="U770" s="120">
        <f t="shared" ca="1" si="232"/>
        <v>1287.3671890482913</v>
      </c>
      <c r="V770" s="104">
        <f t="shared" ca="1" si="233"/>
        <v>5.4541615875613826E-2</v>
      </c>
      <c r="W770" s="133">
        <f t="shared" ca="1" si="234"/>
        <v>8710.3995658465974</v>
      </c>
      <c r="X770" s="104">
        <f t="shared" ca="1" si="235"/>
        <v>0.36903167276985616</v>
      </c>
    </row>
    <row r="771" spans="1:24" x14ac:dyDescent="0.2">
      <c r="A771" s="98">
        <v>1</v>
      </c>
      <c r="B771" s="98">
        <v>2</v>
      </c>
      <c r="C771" s="98">
        <f t="shared" si="217"/>
        <v>7</v>
      </c>
      <c r="D771" s="98">
        <f t="shared" si="218"/>
        <v>6</v>
      </c>
      <c r="E771" s="98">
        <f t="shared" si="219"/>
        <v>1</v>
      </c>
      <c r="F771" s="118">
        <f t="shared" ca="1" si="220"/>
        <v>2.7741495599999996E-2</v>
      </c>
      <c r="G771" s="98">
        <v>0</v>
      </c>
      <c r="H771" s="98">
        <v>0</v>
      </c>
      <c r="I771" s="98">
        <v>3</v>
      </c>
      <c r="J771" s="118">
        <f t="shared" ca="1" si="221"/>
        <v>1.0717187500000027E-4</v>
      </c>
      <c r="K771" s="118">
        <f t="shared" ca="1" si="222"/>
        <v>2.9731080987562568E-6</v>
      </c>
      <c r="L771" s="133">
        <f t="shared" ca="1" si="223"/>
        <v>36</v>
      </c>
      <c r="M771" s="130">
        <f t="shared" ca="1" si="224"/>
        <v>964</v>
      </c>
      <c r="N771" s="100">
        <f t="shared" ca="1" si="225"/>
        <v>5</v>
      </c>
      <c r="O771" s="136">
        <f t="shared" ca="1" si="226"/>
        <v>3.301004590397413</v>
      </c>
      <c r="P771" s="136">
        <f t="shared" ca="1" si="227"/>
        <v>33.010045903974124</v>
      </c>
      <c r="Q771" s="136">
        <f t="shared" ca="1" si="228"/>
        <v>33.010045903974124</v>
      </c>
      <c r="R771" s="136">
        <f t="shared" ca="1" si="229"/>
        <v>3.3010045903974126</v>
      </c>
      <c r="S771" s="136">
        <f t="shared" ca="1" si="230"/>
        <v>3.3010045903974126</v>
      </c>
      <c r="T771" s="104">
        <f t="shared" ca="1" si="231"/>
        <v>9.8142434817421276E-6</v>
      </c>
      <c r="U771" s="120">
        <f t="shared" ca="1" si="232"/>
        <v>1275.3671890482913</v>
      </c>
      <c r="V771" s="104">
        <f t="shared" ca="1" si="233"/>
        <v>3.7918045186474767E-3</v>
      </c>
      <c r="W771" s="133">
        <f t="shared" ca="1" si="234"/>
        <v>6532.799674384949</v>
      </c>
      <c r="X771" s="104">
        <f t="shared" ca="1" si="235"/>
        <v>1.9422719619466129E-2</v>
      </c>
    </row>
    <row r="772" spans="1:24" x14ac:dyDescent="0.2">
      <c r="A772" s="98">
        <v>1</v>
      </c>
      <c r="B772" s="98">
        <v>2</v>
      </c>
      <c r="C772" s="98">
        <f t="shared" si="217"/>
        <v>7</v>
      </c>
      <c r="D772" s="98">
        <f t="shared" si="218"/>
        <v>6</v>
      </c>
      <c r="E772" s="98">
        <f t="shared" si="219"/>
        <v>1</v>
      </c>
      <c r="F772" s="118">
        <f t="shared" ca="1" si="220"/>
        <v>2.7741495599999996E-2</v>
      </c>
      <c r="G772" s="98">
        <v>0</v>
      </c>
      <c r="H772" s="98">
        <v>0</v>
      </c>
      <c r="I772" s="98">
        <v>2</v>
      </c>
      <c r="J772" s="118">
        <f t="shared" ca="1" si="221"/>
        <v>4.2304687500000152E-6</v>
      </c>
      <c r="K772" s="118">
        <f t="shared" ca="1" si="222"/>
        <v>1.173595302140629E-7</v>
      </c>
      <c r="L772" s="133">
        <f t="shared" ca="1" si="223"/>
        <v>24</v>
      </c>
      <c r="M772" s="130">
        <f t="shared" ca="1" si="224"/>
        <v>976</v>
      </c>
      <c r="N772" s="100">
        <f t="shared" ca="1" si="225"/>
        <v>5</v>
      </c>
      <c r="O772" s="136">
        <f t="shared" ca="1" si="226"/>
        <v>3.301004590397413</v>
      </c>
      <c r="P772" s="136">
        <f t="shared" ca="1" si="227"/>
        <v>33.010045903974124</v>
      </c>
      <c r="Q772" s="136">
        <f t="shared" ca="1" si="228"/>
        <v>33.010045903974124</v>
      </c>
      <c r="R772" s="136">
        <f t="shared" ca="1" si="229"/>
        <v>3.3010045903974126</v>
      </c>
      <c r="S772" s="136">
        <f t="shared" ca="1" si="230"/>
        <v>3.3010045903974126</v>
      </c>
      <c r="T772" s="104">
        <f t="shared" ca="1" si="231"/>
        <v>3.8740434796350546E-7</v>
      </c>
      <c r="U772" s="120">
        <f t="shared" ca="1" si="232"/>
        <v>1263.3671890482913</v>
      </c>
      <c r="V772" s="104">
        <f t="shared" ca="1" si="233"/>
        <v>1.4826817979456865E-4</v>
      </c>
      <c r="W772" s="133">
        <f t="shared" ca="1" si="234"/>
        <v>4355.1997829232987</v>
      </c>
      <c r="X772" s="104">
        <f t="shared" ca="1" si="235"/>
        <v>5.1112420051226701E-4</v>
      </c>
    </row>
    <row r="773" spans="1:24" x14ac:dyDescent="0.2">
      <c r="A773" s="98">
        <v>1</v>
      </c>
      <c r="B773" s="98">
        <v>2</v>
      </c>
      <c r="C773" s="98">
        <f t="shared" si="217"/>
        <v>7</v>
      </c>
      <c r="D773" s="98">
        <f t="shared" si="218"/>
        <v>6</v>
      </c>
      <c r="E773" s="98">
        <f t="shared" si="219"/>
        <v>1</v>
      </c>
      <c r="F773" s="118">
        <f t="shared" ca="1" si="220"/>
        <v>2.7741495599999996E-2</v>
      </c>
      <c r="G773" s="98">
        <v>0</v>
      </c>
      <c r="H773" s="98">
        <v>0</v>
      </c>
      <c r="I773" s="98">
        <v>1</v>
      </c>
      <c r="J773" s="118">
        <f t="shared" ca="1" si="221"/>
        <v>8.9062500000000418E-8</v>
      </c>
      <c r="K773" s="118">
        <f t="shared" ca="1" si="222"/>
        <v>2.4707269518750113E-9</v>
      </c>
      <c r="L773" s="133">
        <f t="shared" ca="1" si="223"/>
        <v>12</v>
      </c>
      <c r="M773" s="130">
        <f t="shared" ca="1" si="224"/>
        <v>988</v>
      </c>
      <c r="N773" s="100">
        <f t="shared" ca="1" si="225"/>
        <v>5</v>
      </c>
      <c r="O773" s="136">
        <f t="shared" ca="1" si="226"/>
        <v>3.301004590397413</v>
      </c>
      <c r="P773" s="136">
        <f t="shared" ca="1" si="227"/>
        <v>33.010045903974124</v>
      </c>
      <c r="Q773" s="136">
        <f t="shared" ca="1" si="228"/>
        <v>33.010045903974124</v>
      </c>
      <c r="R773" s="136">
        <f t="shared" ca="1" si="229"/>
        <v>3.3010045903974126</v>
      </c>
      <c r="S773" s="136">
        <f t="shared" ca="1" si="230"/>
        <v>3.3010045903974126</v>
      </c>
      <c r="T773" s="104">
        <f t="shared" ca="1" si="231"/>
        <v>8.1558810097580186E-9</v>
      </c>
      <c r="U773" s="120">
        <f t="shared" ca="1" si="232"/>
        <v>1251.3671890482913</v>
      </c>
      <c r="V773" s="104">
        <f t="shared" ca="1" si="233"/>
        <v>3.0917866406736856E-6</v>
      </c>
      <c r="W773" s="133">
        <f t="shared" ca="1" si="234"/>
        <v>2177.5998914616493</v>
      </c>
      <c r="X773" s="104">
        <f t="shared" ca="1" si="235"/>
        <v>5.3802547422343964E-6</v>
      </c>
    </row>
    <row r="774" spans="1:24" x14ac:dyDescent="0.2">
      <c r="A774" s="98">
        <v>1</v>
      </c>
      <c r="B774" s="98">
        <v>2</v>
      </c>
      <c r="C774" s="98">
        <f t="shared" si="217"/>
        <v>7</v>
      </c>
      <c r="D774" s="98">
        <f t="shared" si="218"/>
        <v>6</v>
      </c>
      <c r="E774" s="98">
        <f t="shared" si="219"/>
        <v>1</v>
      </c>
      <c r="F774" s="118">
        <f t="shared" ca="1" si="220"/>
        <v>2.7741495599999996E-2</v>
      </c>
      <c r="G774" s="98">
        <v>0</v>
      </c>
      <c r="H774" s="98">
        <v>0</v>
      </c>
      <c r="I774" s="98">
        <v>0</v>
      </c>
      <c r="J774" s="118">
        <f t="shared" ca="1" si="221"/>
        <v>7.812500000000041E-10</v>
      </c>
      <c r="K774" s="118">
        <f t="shared" ca="1" si="222"/>
        <v>2.1673043437500111E-11</v>
      </c>
      <c r="L774" s="133">
        <f t="shared" ca="1" si="223"/>
        <v>0</v>
      </c>
      <c r="M774" s="130">
        <f t="shared" ca="1" si="224"/>
        <v>1000</v>
      </c>
      <c r="N774" s="100">
        <f t="shared" ca="1" si="225"/>
        <v>5</v>
      </c>
      <c r="O774" s="136">
        <f t="shared" ca="1" si="226"/>
        <v>3.301004590397413</v>
      </c>
      <c r="P774" s="136">
        <f t="shared" ca="1" si="227"/>
        <v>33.010045903974124</v>
      </c>
      <c r="Q774" s="136">
        <f t="shared" ca="1" si="228"/>
        <v>33.010045903974124</v>
      </c>
      <c r="R774" s="136">
        <f t="shared" ca="1" si="229"/>
        <v>3.3010045903974126</v>
      </c>
      <c r="S774" s="136">
        <f t="shared" ca="1" si="230"/>
        <v>3.3010045903974126</v>
      </c>
      <c r="T774" s="104">
        <f t="shared" ca="1" si="231"/>
        <v>7.1542815875070385E-11</v>
      </c>
      <c r="U774" s="120">
        <f t="shared" ca="1" si="232"/>
        <v>1239.3671890482913</v>
      </c>
      <c r="V774" s="104">
        <f t="shared" ca="1" si="233"/>
        <v>2.6860858923256029E-8</v>
      </c>
      <c r="W774" s="133">
        <f t="shared" ca="1" si="234"/>
        <v>0</v>
      </c>
      <c r="X774" s="104">
        <f t="shared" ca="1" si="235"/>
        <v>0</v>
      </c>
    </row>
    <row r="775" spans="1:24" x14ac:dyDescent="0.2">
      <c r="A775" s="98">
        <v>1</v>
      </c>
      <c r="B775" s="98">
        <v>3</v>
      </c>
      <c r="C775" s="98">
        <f t="shared" si="217"/>
        <v>8</v>
      </c>
      <c r="D775" s="98">
        <f t="shared" si="218"/>
        <v>7</v>
      </c>
      <c r="E775" s="98">
        <f t="shared" si="219"/>
        <v>1</v>
      </c>
      <c r="F775" s="118">
        <f t="shared" ca="1" si="220"/>
        <v>9.5331599999999989E-3</v>
      </c>
      <c r="G775" s="98">
        <v>1</v>
      </c>
      <c r="H775" s="98">
        <v>1</v>
      </c>
      <c r="I775" s="98">
        <v>7</v>
      </c>
      <c r="J775" s="118">
        <f t="shared" ca="1" si="221"/>
        <v>0</v>
      </c>
      <c r="K775" s="118">
        <f t="shared" ca="1" si="222"/>
        <v>0</v>
      </c>
      <c r="L775" s="133">
        <f t="shared" ca="1" si="223"/>
        <v>420</v>
      </c>
      <c r="M775" s="130">
        <f t="shared" ca="1" si="224"/>
        <v>580</v>
      </c>
      <c r="N775" s="100">
        <f t="shared" ca="1" si="225"/>
        <v>3</v>
      </c>
      <c r="O775" s="136">
        <f t="shared" ca="1" si="226"/>
        <v>2.1177215542739054</v>
      </c>
      <c r="P775" s="136">
        <f t="shared" ca="1" si="227"/>
        <v>21.177215542739059</v>
      </c>
      <c r="Q775" s="136">
        <f t="shared" ca="1" si="228"/>
        <v>21.177215542739059</v>
      </c>
      <c r="R775" s="136">
        <f t="shared" ca="1" si="229"/>
        <v>2.1177215542739058</v>
      </c>
      <c r="S775" s="136">
        <f t="shared" ca="1" si="230"/>
        <v>2.1177215542739054</v>
      </c>
      <c r="T775" s="104">
        <f t="shared" ca="1" si="231"/>
        <v>0</v>
      </c>
      <c r="U775" s="120">
        <f t="shared" ca="1" si="232"/>
        <v>1227.5224659982036</v>
      </c>
      <c r="V775" s="104">
        <f t="shared" ca="1" si="233"/>
        <v>0</v>
      </c>
      <c r="W775" s="133">
        <f t="shared" ca="1" si="234"/>
        <v>19881.48700904486</v>
      </c>
      <c r="X775" s="104">
        <f t="shared" ca="1" si="235"/>
        <v>0</v>
      </c>
    </row>
    <row r="776" spans="1:24" x14ac:dyDescent="0.2">
      <c r="A776" s="98">
        <v>1</v>
      </c>
      <c r="B776" s="98">
        <v>3</v>
      </c>
      <c r="C776" s="98">
        <f t="shared" si="217"/>
        <v>8</v>
      </c>
      <c r="D776" s="98">
        <f t="shared" si="218"/>
        <v>7</v>
      </c>
      <c r="E776" s="98">
        <f t="shared" si="219"/>
        <v>1</v>
      </c>
      <c r="F776" s="118">
        <f t="shared" ca="1" si="220"/>
        <v>9.5331599999999989E-3</v>
      </c>
      <c r="G776" s="98">
        <v>1</v>
      </c>
      <c r="H776" s="98">
        <v>1</v>
      </c>
      <c r="I776" s="98">
        <v>6</v>
      </c>
      <c r="J776" s="118">
        <f t="shared" ca="1" si="221"/>
        <v>0</v>
      </c>
      <c r="K776" s="118">
        <f t="shared" ca="1" si="222"/>
        <v>0</v>
      </c>
      <c r="L776" s="133">
        <f t="shared" ca="1" si="223"/>
        <v>408</v>
      </c>
      <c r="M776" s="130">
        <f t="shared" ca="1" si="224"/>
        <v>592</v>
      </c>
      <c r="N776" s="100">
        <f t="shared" ca="1" si="225"/>
        <v>3</v>
      </c>
      <c r="O776" s="136">
        <f t="shared" ca="1" si="226"/>
        <v>2.1177215542739054</v>
      </c>
      <c r="P776" s="136">
        <f t="shared" ca="1" si="227"/>
        <v>21.177215542739059</v>
      </c>
      <c r="Q776" s="136">
        <f t="shared" ca="1" si="228"/>
        <v>21.177215542739059</v>
      </c>
      <c r="R776" s="136">
        <f t="shared" ca="1" si="229"/>
        <v>2.1177215542739058</v>
      </c>
      <c r="S776" s="136">
        <f t="shared" ca="1" si="230"/>
        <v>2.1177215542739054</v>
      </c>
      <c r="T776" s="104">
        <f t="shared" ca="1" si="231"/>
        <v>0</v>
      </c>
      <c r="U776" s="120">
        <f t="shared" ca="1" si="232"/>
        <v>1215.5224659982036</v>
      </c>
      <c r="V776" s="104">
        <f t="shared" ca="1" si="233"/>
        <v>0</v>
      </c>
      <c r="W776" s="133">
        <f t="shared" ca="1" si="234"/>
        <v>17703.88711758321</v>
      </c>
      <c r="X776" s="104">
        <f t="shared" ca="1" si="235"/>
        <v>0</v>
      </c>
    </row>
    <row r="777" spans="1:24" x14ac:dyDescent="0.2">
      <c r="A777" s="98">
        <v>1</v>
      </c>
      <c r="B777" s="98">
        <v>3</v>
      </c>
      <c r="C777" s="98">
        <f t="shared" si="217"/>
        <v>8</v>
      </c>
      <c r="D777" s="98">
        <f t="shared" si="218"/>
        <v>7</v>
      </c>
      <c r="E777" s="98">
        <f t="shared" si="219"/>
        <v>1</v>
      </c>
      <c r="F777" s="118">
        <f t="shared" ca="1" si="220"/>
        <v>9.5331599999999989E-3</v>
      </c>
      <c r="G777" s="98">
        <v>1</v>
      </c>
      <c r="H777" s="98">
        <v>1</v>
      </c>
      <c r="I777" s="98">
        <v>5</v>
      </c>
      <c r="J777" s="118">
        <f t="shared" ca="1" si="221"/>
        <v>0</v>
      </c>
      <c r="K777" s="118">
        <f t="shared" ca="1" si="222"/>
        <v>0</v>
      </c>
      <c r="L777" s="133">
        <f t="shared" ca="1" si="223"/>
        <v>396</v>
      </c>
      <c r="M777" s="130">
        <f t="shared" ca="1" si="224"/>
        <v>604</v>
      </c>
      <c r="N777" s="100">
        <f t="shared" ca="1" si="225"/>
        <v>3</v>
      </c>
      <c r="O777" s="136">
        <f t="shared" ca="1" si="226"/>
        <v>2.1177215542739054</v>
      </c>
      <c r="P777" s="136">
        <f t="shared" ca="1" si="227"/>
        <v>21.177215542739059</v>
      </c>
      <c r="Q777" s="136">
        <f t="shared" ca="1" si="228"/>
        <v>21.177215542739059</v>
      </c>
      <c r="R777" s="136">
        <f t="shared" ca="1" si="229"/>
        <v>2.1177215542739058</v>
      </c>
      <c r="S777" s="136">
        <f t="shared" ca="1" si="230"/>
        <v>2.1177215542739054</v>
      </c>
      <c r="T777" s="104">
        <f t="shared" ca="1" si="231"/>
        <v>0</v>
      </c>
      <c r="U777" s="120">
        <f t="shared" ca="1" si="232"/>
        <v>1203.5224659982036</v>
      </c>
      <c r="V777" s="104">
        <f t="shared" ca="1" si="233"/>
        <v>0</v>
      </c>
      <c r="W777" s="133">
        <f t="shared" ca="1" si="234"/>
        <v>15526.28722612156</v>
      </c>
      <c r="X777" s="104">
        <f t="shared" ca="1" si="235"/>
        <v>0</v>
      </c>
    </row>
    <row r="778" spans="1:24" x14ac:dyDescent="0.2">
      <c r="A778" s="98">
        <v>1</v>
      </c>
      <c r="B778" s="98">
        <v>3</v>
      </c>
      <c r="C778" s="98">
        <f t="shared" si="217"/>
        <v>8</v>
      </c>
      <c r="D778" s="98">
        <f t="shared" si="218"/>
        <v>7</v>
      </c>
      <c r="E778" s="98">
        <f t="shared" si="219"/>
        <v>1</v>
      </c>
      <c r="F778" s="118">
        <f t="shared" ca="1" si="220"/>
        <v>9.5331599999999989E-3</v>
      </c>
      <c r="G778" s="98">
        <v>1</v>
      </c>
      <c r="H778" s="98">
        <v>1</v>
      </c>
      <c r="I778" s="98">
        <v>4</v>
      </c>
      <c r="J778" s="118">
        <f t="shared" ca="1" si="221"/>
        <v>0</v>
      </c>
      <c r="K778" s="118">
        <f t="shared" ca="1" si="222"/>
        <v>0</v>
      </c>
      <c r="L778" s="133">
        <f t="shared" ca="1" si="223"/>
        <v>384</v>
      </c>
      <c r="M778" s="130">
        <f t="shared" ca="1" si="224"/>
        <v>616</v>
      </c>
      <c r="N778" s="100">
        <f t="shared" ca="1" si="225"/>
        <v>3</v>
      </c>
      <c r="O778" s="136">
        <f t="shared" ca="1" si="226"/>
        <v>2.1177215542739054</v>
      </c>
      <c r="P778" s="136">
        <f t="shared" ca="1" si="227"/>
        <v>21.177215542739059</v>
      </c>
      <c r="Q778" s="136">
        <f t="shared" ca="1" si="228"/>
        <v>21.177215542739059</v>
      </c>
      <c r="R778" s="136">
        <f t="shared" ca="1" si="229"/>
        <v>2.1177215542739058</v>
      </c>
      <c r="S778" s="136">
        <f t="shared" ca="1" si="230"/>
        <v>2.1177215542739054</v>
      </c>
      <c r="T778" s="104">
        <f t="shared" ca="1" si="231"/>
        <v>0</v>
      </c>
      <c r="U778" s="120">
        <f t="shared" ca="1" si="232"/>
        <v>1191.5224659982036</v>
      </c>
      <c r="V778" s="104">
        <f t="shared" ca="1" si="233"/>
        <v>0</v>
      </c>
      <c r="W778" s="133">
        <f t="shared" ca="1" si="234"/>
        <v>13348.68733465991</v>
      </c>
      <c r="X778" s="104">
        <f t="shared" ca="1" si="235"/>
        <v>0</v>
      </c>
    </row>
    <row r="779" spans="1:24" x14ac:dyDescent="0.2">
      <c r="A779" s="98">
        <v>1</v>
      </c>
      <c r="B779" s="98">
        <v>3</v>
      </c>
      <c r="C779" s="98">
        <f t="shared" si="217"/>
        <v>8</v>
      </c>
      <c r="D779" s="98">
        <f t="shared" si="218"/>
        <v>7</v>
      </c>
      <c r="E779" s="98">
        <f t="shared" si="219"/>
        <v>1</v>
      </c>
      <c r="F779" s="118">
        <f t="shared" ca="1" si="220"/>
        <v>9.5331599999999989E-3</v>
      </c>
      <c r="G779" s="98">
        <v>1</v>
      </c>
      <c r="H779" s="98">
        <v>1</v>
      </c>
      <c r="I779" s="98">
        <v>3</v>
      </c>
      <c r="J779" s="118">
        <f t="shared" ca="1" si="221"/>
        <v>0</v>
      </c>
      <c r="K779" s="118">
        <f t="shared" ca="1" si="222"/>
        <v>0</v>
      </c>
      <c r="L779" s="133">
        <f t="shared" ca="1" si="223"/>
        <v>372</v>
      </c>
      <c r="M779" s="130">
        <f t="shared" ca="1" si="224"/>
        <v>628</v>
      </c>
      <c r="N779" s="100">
        <f t="shared" ca="1" si="225"/>
        <v>3</v>
      </c>
      <c r="O779" s="136">
        <f t="shared" ca="1" si="226"/>
        <v>2.1177215542739054</v>
      </c>
      <c r="P779" s="136">
        <f t="shared" ca="1" si="227"/>
        <v>21.177215542739059</v>
      </c>
      <c r="Q779" s="136">
        <f t="shared" ca="1" si="228"/>
        <v>21.177215542739059</v>
      </c>
      <c r="R779" s="136">
        <f t="shared" ca="1" si="229"/>
        <v>2.1177215542739058</v>
      </c>
      <c r="S779" s="136">
        <f t="shared" ca="1" si="230"/>
        <v>2.1177215542739054</v>
      </c>
      <c r="T779" s="104">
        <f t="shared" ca="1" si="231"/>
        <v>0</v>
      </c>
      <c r="U779" s="120">
        <f t="shared" ca="1" si="232"/>
        <v>1179.5224659982036</v>
      </c>
      <c r="V779" s="104">
        <f t="shared" ca="1" si="233"/>
        <v>0</v>
      </c>
      <c r="W779" s="133">
        <f t="shared" ca="1" si="234"/>
        <v>11171.087443198263</v>
      </c>
      <c r="X779" s="104">
        <f t="shared" ca="1" si="235"/>
        <v>0</v>
      </c>
    </row>
    <row r="780" spans="1:24" x14ac:dyDescent="0.2">
      <c r="A780" s="98">
        <v>1</v>
      </c>
      <c r="B780" s="98">
        <v>3</v>
      </c>
      <c r="C780" s="98">
        <f t="shared" si="217"/>
        <v>8</v>
      </c>
      <c r="D780" s="98">
        <f t="shared" si="218"/>
        <v>7</v>
      </c>
      <c r="E780" s="98">
        <f t="shared" si="219"/>
        <v>1</v>
      </c>
      <c r="F780" s="118">
        <f t="shared" ca="1" si="220"/>
        <v>9.5331599999999989E-3</v>
      </c>
      <c r="G780" s="98">
        <v>1</v>
      </c>
      <c r="H780" s="98">
        <v>1</v>
      </c>
      <c r="I780" s="98">
        <v>2</v>
      </c>
      <c r="J780" s="118">
        <f t="shared" ca="1" si="221"/>
        <v>0</v>
      </c>
      <c r="K780" s="118">
        <f t="shared" ca="1" si="222"/>
        <v>0</v>
      </c>
      <c r="L780" s="133">
        <f t="shared" ca="1" si="223"/>
        <v>360</v>
      </c>
      <c r="M780" s="130">
        <f t="shared" ca="1" si="224"/>
        <v>640</v>
      </c>
      <c r="N780" s="100">
        <f t="shared" ca="1" si="225"/>
        <v>3</v>
      </c>
      <c r="O780" s="136">
        <f t="shared" ca="1" si="226"/>
        <v>2.1177215542739054</v>
      </c>
      <c r="P780" s="136">
        <f t="shared" ca="1" si="227"/>
        <v>21.177215542739059</v>
      </c>
      <c r="Q780" s="136">
        <f t="shared" ca="1" si="228"/>
        <v>21.177215542739059</v>
      </c>
      <c r="R780" s="136">
        <f t="shared" ca="1" si="229"/>
        <v>2.1177215542739058</v>
      </c>
      <c r="S780" s="136">
        <f t="shared" ca="1" si="230"/>
        <v>2.1177215542739054</v>
      </c>
      <c r="T780" s="104">
        <f t="shared" ca="1" si="231"/>
        <v>0</v>
      </c>
      <c r="U780" s="120">
        <f t="shared" ca="1" si="232"/>
        <v>1167.5224659982036</v>
      </c>
      <c r="V780" s="104">
        <f t="shared" ca="1" si="233"/>
        <v>0</v>
      </c>
      <c r="W780" s="133">
        <f t="shared" ca="1" si="234"/>
        <v>8993.4875517366127</v>
      </c>
      <c r="X780" s="104">
        <f t="shared" ca="1" si="235"/>
        <v>0</v>
      </c>
    </row>
    <row r="781" spans="1:24" x14ac:dyDescent="0.2">
      <c r="A781" s="98">
        <v>1</v>
      </c>
      <c r="B781" s="98">
        <v>3</v>
      </c>
      <c r="C781" s="98">
        <f t="shared" si="217"/>
        <v>8</v>
      </c>
      <c r="D781" s="98">
        <f t="shared" si="218"/>
        <v>7</v>
      </c>
      <c r="E781" s="98">
        <f t="shared" si="219"/>
        <v>1</v>
      </c>
      <c r="F781" s="118">
        <f t="shared" ca="1" si="220"/>
        <v>9.5331599999999989E-3</v>
      </c>
      <c r="G781" s="98">
        <v>1</v>
      </c>
      <c r="H781" s="98">
        <v>1</v>
      </c>
      <c r="I781" s="98">
        <v>1</v>
      </c>
      <c r="J781" s="118">
        <f t="shared" ca="1" si="221"/>
        <v>0</v>
      </c>
      <c r="K781" s="118">
        <f t="shared" ca="1" si="222"/>
        <v>0</v>
      </c>
      <c r="L781" s="133">
        <f t="shared" ca="1" si="223"/>
        <v>348</v>
      </c>
      <c r="M781" s="130">
        <f t="shared" ca="1" si="224"/>
        <v>652</v>
      </c>
      <c r="N781" s="100">
        <f t="shared" ca="1" si="225"/>
        <v>4</v>
      </c>
      <c r="O781" s="136">
        <f t="shared" ca="1" si="226"/>
        <v>2.6973744602864622</v>
      </c>
      <c r="P781" s="136">
        <f t="shared" ca="1" si="227"/>
        <v>21.177215542739059</v>
      </c>
      <c r="Q781" s="136">
        <f t="shared" ca="1" si="228"/>
        <v>21.177215542739059</v>
      </c>
      <c r="R781" s="136">
        <f t="shared" ca="1" si="229"/>
        <v>2.1177215542739058</v>
      </c>
      <c r="S781" s="136">
        <f t="shared" ca="1" si="230"/>
        <v>2.5060890013023185</v>
      </c>
      <c r="T781" s="104">
        <f t="shared" ca="1" si="231"/>
        <v>0</v>
      </c>
      <c r="U781" s="120">
        <f t="shared" ca="1" si="232"/>
        <v>1297.2589968903351</v>
      </c>
      <c r="V781" s="104">
        <f t="shared" ca="1" si="233"/>
        <v>0</v>
      </c>
      <c r="W781" s="133">
        <f t="shared" ca="1" si="234"/>
        <v>6815.8876602749624</v>
      </c>
      <c r="X781" s="104">
        <f t="shared" ca="1" si="235"/>
        <v>0</v>
      </c>
    </row>
    <row r="782" spans="1:24" x14ac:dyDescent="0.2">
      <c r="A782" s="98">
        <v>1</v>
      </c>
      <c r="B782" s="98">
        <v>3</v>
      </c>
      <c r="C782" s="98">
        <f t="shared" si="217"/>
        <v>8</v>
      </c>
      <c r="D782" s="98">
        <f t="shared" si="218"/>
        <v>7</v>
      </c>
      <c r="E782" s="98">
        <f t="shared" si="219"/>
        <v>1</v>
      </c>
      <c r="F782" s="118">
        <f t="shared" ca="1" si="220"/>
        <v>9.5331599999999989E-3</v>
      </c>
      <c r="G782" s="98">
        <v>1</v>
      </c>
      <c r="H782" s="98">
        <v>1</v>
      </c>
      <c r="I782" s="98">
        <v>0</v>
      </c>
      <c r="J782" s="118">
        <f t="shared" ca="1" si="221"/>
        <v>0</v>
      </c>
      <c r="K782" s="118">
        <f t="shared" ca="1" si="222"/>
        <v>0</v>
      </c>
      <c r="L782" s="133">
        <f t="shared" ca="1" si="223"/>
        <v>336</v>
      </c>
      <c r="M782" s="130">
        <f t="shared" ca="1" si="224"/>
        <v>664</v>
      </c>
      <c r="N782" s="100">
        <f t="shared" ca="1" si="225"/>
        <v>4</v>
      </c>
      <c r="O782" s="136">
        <f t="shared" ca="1" si="226"/>
        <v>2.6973744602864622</v>
      </c>
      <c r="P782" s="136">
        <f t="shared" ca="1" si="227"/>
        <v>26.973744602864617</v>
      </c>
      <c r="Q782" s="136">
        <f t="shared" ca="1" si="228"/>
        <v>22.336521354764173</v>
      </c>
      <c r="R782" s="136">
        <f t="shared" ca="1" si="229"/>
        <v>2.4655132978814391</v>
      </c>
      <c r="S782" s="136">
        <f t="shared" ca="1" si="230"/>
        <v>2.6208602766928046</v>
      </c>
      <c r="T782" s="104">
        <f t="shared" ca="1" si="231"/>
        <v>0</v>
      </c>
      <c r="U782" s="120">
        <f t="shared" ca="1" si="232"/>
        <v>1327.1453149748754</v>
      </c>
      <c r="V782" s="104">
        <f t="shared" ca="1" si="233"/>
        <v>0</v>
      </c>
      <c r="W782" s="133">
        <f t="shared" ca="1" si="234"/>
        <v>4638.2877688133131</v>
      </c>
      <c r="X782" s="104">
        <f t="shared" ca="1" si="235"/>
        <v>0</v>
      </c>
    </row>
    <row r="783" spans="1:24" x14ac:dyDescent="0.2">
      <c r="A783" s="98">
        <v>1</v>
      </c>
      <c r="B783" s="98">
        <v>3</v>
      </c>
      <c r="C783" s="98">
        <f t="shared" si="217"/>
        <v>8</v>
      </c>
      <c r="D783" s="98">
        <f t="shared" si="218"/>
        <v>7</v>
      </c>
      <c r="E783" s="98">
        <f t="shared" si="219"/>
        <v>1</v>
      </c>
      <c r="F783" s="118">
        <f t="shared" ca="1" si="220"/>
        <v>9.5331599999999989E-3</v>
      </c>
      <c r="G783" s="98">
        <v>1</v>
      </c>
      <c r="H783" s="98">
        <v>0</v>
      </c>
      <c r="I783" s="98">
        <v>7</v>
      </c>
      <c r="J783" s="118">
        <f t="shared" ca="1" si="221"/>
        <v>0.66342043128906247</v>
      </c>
      <c r="K783" s="118">
        <f t="shared" ca="1" si="222"/>
        <v>6.3244931187476381E-3</v>
      </c>
      <c r="L783" s="133">
        <f t="shared" ca="1" si="223"/>
        <v>252</v>
      </c>
      <c r="M783" s="130">
        <f t="shared" ca="1" si="224"/>
        <v>748</v>
      </c>
      <c r="N783" s="100">
        <f t="shared" ca="1" si="225"/>
        <v>4</v>
      </c>
      <c r="O783" s="136">
        <f t="shared" ca="1" si="226"/>
        <v>2.6973744602864622</v>
      </c>
      <c r="P783" s="136">
        <f t="shared" ca="1" si="227"/>
        <v>26.973744602864617</v>
      </c>
      <c r="Q783" s="136">
        <f t="shared" ca="1" si="228"/>
        <v>26.973744602864617</v>
      </c>
      <c r="R783" s="136">
        <f t="shared" ca="1" si="229"/>
        <v>2.6973744602864618</v>
      </c>
      <c r="S783" s="136">
        <f t="shared" ca="1" si="230"/>
        <v>2.6973744602864622</v>
      </c>
      <c r="T783" s="104">
        <f t="shared" ca="1" si="231"/>
        <v>1.7059526212767354E-2</v>
      </c>
      <c r="U783" s="120">
        <f t="shared" ca="1" si="232"/>
        <v>1271.0695270312358</v>
      </c>
      <c r="V783" s="104">
        <f t="shared" ca="1" si="233"/>
        <v>8.0388704771588664</v>
      </c>
      <c r="W783" s="133">
        <f t="shared" ca="1" si="234"/>
        <v>17703.88711758321</v>
      </c>
      <c r="X783" s="104">
        <f t="shared" ca="1" si="235"/>
        <v>111.96811225023997</v>
      </c>
    </row>
    <row r="784" spans="1:24" x14ac:dyDescent="0.2">
      <c r="A784" s="98">
        <v>1</v>
      </c>
      <c r="B784" s="98">
        <v>3</v>
      </c>
      <c r="C784" s="98">
        <f t="shared" si="217"/>
        <v>8</v>
      </c>
      <c r="D784" s="98">
        <f t="shared" si="218"/>
        <v>7</v>
      </c>
      <c r="E784" s="98">
        <f t="shared" si="219"/>
        <v>1</v>
      </c>
      <c r="F784" s="118">
        <f t="shared" ca="1" si="220"/>
        <v>9.5331599999999989E-3</v>
      </c>
      <c r="G784" s="98">
        <v>1</v>
      </c>
      <c r="H784" s="98">
        <v>0</v>
      </c>
      <c r="I784" s="98">
        <v>6</v>
      </c>
      <c r="J784" s="118">
        <f t="shared" ca="1" si="221"/>
        <v>0.24441805363281272</v>
      </c>
      <c r="K784" s="118">
        <f t="shared" ca="1" si="222"/>
        <v>2.3300764121701846E-3</v>
      </c>
      <c r="L784" s="133">
        <f t="shared" ca="1" si="223"/>
        <v>240</v>
      </c>
      <c r="M784" s="130">
        <f t="shared" ca="1" si="224"/>
        <v>760</v>
      </c>
      <c r="N784" s="100">
        <f t="shared" ca="1" si="225"/>
        <v>4</v>
      </c>
      <c r="O784" s="136">
        <f t="shared" ca="1" si="226"/>
        <v>2.6973744602864622</v>
      </c>
      <c r="P784" s="136">
        <f t="shared" ca="1" si="227"/>
        <v>26.973744602864617</v>
      </c>
      <c r="Q784" s="136">
        <f t="shared" ca="1" si="228"/>
        <v>26.973744602864617</v>
      </c>
      <c r="R784" s="136">
        <f t="shared" ca="1" si="229"/>
        <v>2.6973744602864618</v>
      </c>
      <c r="S784" s="136">
        <f t="shared" ca="1" si="230"/>
        <v>2.6973744602864622</v>
      </c>
      <c r="T784" s="104">
        <f t="shared" ca="1" si="231"/>
        <v>6.2850886047037683E-3</v>
      </c>
      <c r="U784" s="120">
        <f t="shared" ca="1" si="232"/>
        <v>1259.0695270312358</v>
      </c>
      <c r="V784" s="104">
        <f t="shared" ca="1" si="233"/>
        <v>2.933728206217753</v>
      </c>
      <c r="W784" s="133">
        <f t="shared" ca="1" si="234"/>
        <v>15526.287226121562</v>
      </c>
      <c r="X784" s="104">
        <f t="shared" ca="1" si="235"/>
        <v>36.1774356341651</v>
      </c>
    </row>
    <row r="785" spans="1:24" x14ac:dyDescent="0.2">
      <c r="A785" s="98">
        <v>1</v>
      </c>
      <c r="B785" s="98">
        <v>3</v>
      </c>
      <c r="C785" s="98">
        <f t="shared" si="217"/>
        <v>8</v>
      </c>
      <c r="D785" s="98">
        <f t="shared" si="218"/>
        <v>7</v>
      </c>
      <c r="E785" s="98">
        <f t="shared" si="219"/>
        <v>1</v>
      </c>
      <c r="F785" s="118">
        <f t="shared" ca="1" si="220"/>
        <v>9.5331599999999989E-3</v>
      </c>
      <c r="G785" s="98">
        <v>1</v>
      </c>
      <c r="H785" s="98">
        <v>0</v>
      </c>
      <c r="I785" s="98">
        <v>5</v>
      </c>
      <c r="J785" s="118">
        <f t="shared" ca="1" si="221"/>
        <v>3.8592324257812567E-2</v>
      </c>
      <c r="K785" s="118">
        <f t="shared" ca="1" si="222"/>
        <v>3.6790680192160842E-4</v>
      </c>
      <c r="L785" s="133">
        <f t="shared" ca="1" si="223"/>
        <v>228</v>
      </c>
      <c r="M785" s="130">
        <f t="shared" ca="1" si="224"/>
        <v>772</v>
      </c>
      <c r="N785" s="100">
        <f t="shared" ca="1" si="225"/>
        <v>4</v>
      </c>
      <c r="O785" s="136">
        <f t="shared" ca="1" si="226"/>
        <v>2.6973744602864622</v>
      </c>
      <c r="P785" s="136">
        <f t="shared" ca="1" si="227"/>
        <v>26.973744602864617</v>
      </c>
      <c r="Q785" s="136">
        <f t="shared" ca="1" si="228"/>
        <v>26.973744602864617</v>
      </c>
      <c r="R785" s="136">
        <f t="shared" ca="1" si="229"/>
        <v>2.6973744602864618</v>
      </c>
      <c r="S785" s="136">
        <f t="shared" ca="1" si="230"/>
        <v>2.6973744602864622</v>
      </c>
      <c r="T785" s="104">
        <f t="shared" ca="1" si="231"/>
        <v>9.9238241126901688E-4</v>
      </c>
      <c r="U785" s="120">
        <f t="shared" ca="1" si="232"/>
        <v>1247.0695270312358</v>
      </c>
      <c r="V785" s="104">
        <f t="shared" ca="1" si="233"/>
        <v>0.45880536146395479</v>
      </c>
      <c r="W785" s="133">
        <f t="shared" ca="1" si="234"/>
        <v>13348.687334659911</v>
      </c>
      <c r="X785" s="104">
        <f t="shared" ca="1" si="235"/>
        <v>4.9110728671462072</v>
      </c>
    </row>
    <row r="786" spans="1:24" x14ac:dyDescent="0.2">
      <c r="A786" s="98">
        <v>1</v>
      </c>
      <c r="B786" s="98">
        <v>3</v>
      </c>
      <c r="C786" s="98">
        <f t="shared" si="217"/>
        <v>8</v>
      </c>
      <c r="D786" s="98">
        <f t="shared" si="218"/>
        <v>7</v>
      </c>
      <c r="E786" s="98">
        <f t="shared" si="219"/>
        <v>1</v>
      </c>
      <c r="F786" s="118">
        <f t="shared" ca="1" si="220"/>
        <v>9.5331599999999989E-3</v>
      </c>
      <c r="G786" s="98">
        <v>1</v>
      </c>
      <c r="H786" s="98">
        <v>0</v>
      </c>
      <c r="I786" s="98">
        <v>4</v>
      </c>
      <c r="J786" s="118">
        <f t="shared" ca="1" si="221"/>
        <v>3.3852916015625085E-3</v>
      </c>
      <c r="K786" s="118">
        <f t="shared" ca="1" si="222"/>
        <v>3.2272526484351638E-5</v>
      </c>
      <c r="L786" s="133">
        <f t="shared" ca="1" si="223"/>
        <v>216</v>
      </c>
      <c r="M786" s="130">
        <f t="shared" ca="1" si="224"/>
        <v>784</v>
      </c>
      <c r="N786" s="100">
        <f t="shared" ca="1" si="225"/>
        <v>4</v>
      </c>
      <c r="O786" s="136">
        <f t="shared" ca="1" si="226"/>
        <v>2.6973744602864622</v>
      </c>
      <c r="P786" s="136">
        <f t="shared" ca="1" si="227"/>
        <v>26.973744602864617</v>
      </c>
      <c r="Q786" s="136">
        <f t="shared" ca="1" si="228"/>
        <v>26.973744602864617</v>
      </c>
      <c r="R786" s="136">
        <f t="shared" ca="1" si="229"/>
        <v>2.6973744602864618</v>
      </c>
      <c r="S786" s="136">
        <f t="shared" ca="1" si="230"/>
        <v>2.6973744602864622</v>
      </c>
      <c r="T786" s="104">
        <f t="shared" ca="1" si="231"/>
        <v>8.7051088707808559E-5</v>
      </c>
      <c r="U786" s="120">
        <f t="shared" ca="1" si="232"/>
        <v>1235.0695270312358</v>
      </c>
      <c r="V786" s="104">
        <f t="shared" ca="1" si="233"/>
        <v>3.9858814021131207E-2</v>
      </c>
      <c r="W786" s="133">
        <f t="shared" ca="1" si="234"/>
        <v>11171.087443198261</v>
      </c>
      <c r="X786" s="104">
        <f t="shared" ca="1" si="235"/>
        <v>0.36051921536962389</v>
      </c>
    </row>
    <row r="787" spans="1:24" x14ac:dyDescent="0.2">
      <c r="A787" s="98">
        <v>1</v>
      </c>
      <c r="B787" s="98">
        <v>3</v>
      </c>
      <c r="C787" s="98">
        <f t="shared" si="217"/>
        <v>8</v>
      </c>
      <c r="D787" s="98">
        <f t="shared" si="218"/>
        <v>7</v>
      </c>
      <c r="E787" s="98">
        <f t="shared" si="219"/>
        <v>1</v>
      </c>
      <c r="F787" s="118">
        <f t="shared" ca="1" si="220"/>
        <v>9.5331599999999989E-3</v>
      </c>
      <c r="G787" s="98">
        <v>1</v>
      </c>
      <c r="H787" s="98">
        <v>0</v>
      </c>
      <c r="I787" s="98">
        <v>3</v>
      </c>
      <c r="J787" s="118">
        <f t="shared" ca="1" si="221"/>
        <v>1.7817324218750058E-4</v>
      </c>
      <c r="K787" s="118">
        <f t="shared" ca="1" si="222"/>
        <v>1.6985540254921928E-6</v>
      </c>
      <c r="L787" s="133">
        <f t="shared" ca="1" si="223"/>
        <v>204</v>
      </c>
      <c r="M787" s="130">
        <f t="shared" ca="1" si="224"/>
        <v>796</v>
      </c>
      <c r="N787" s="100">
        <f t="shared" ca="1" si="225"/>
        <v>4</v>
      </c>
      <c r="O787" s="136">
        <f t="shared" ca="1" si="226"/>
        <v>2.6973744602864622</v>
      </c>
      <c r="P787" s="136">
        <f t="shared" ca="1" si="227"/>
        <v>26.973744602864617</v>
      </c>
      <c r="Q787" s="136">
        <f t="shared" ca="1" si="228"/>
        <v>26.973744602864617</v>
      </c>
      <c r="R787" s="136">
        <f t="shared" ca="1" si="229"/>
        <v>2.6973744602864618</v>
      </c>
      <c r="S787" s="136">
        <f t="shared" ca="1" si="230"/>
        <v>2.6973744602864622</v>
      </c>
      <c r="T787" s="104">
        <f t="shared" ca="1" si="231"/>
        <v>4.5816362477794009E-6</v>
      </c>
      <c r="U787" s="120">
        <f t="shared" ca="1" si="232"/>
        <v>1223.0695270312358</v>
      </c>
      <c r="V787" s="104">
        <f t="shared" ca="1" si="233"/>
        <v>2.0774496685957377E-3</v>
      </c>
      <c r="W787" s="133">
        <f t="shared" ca="1" si="234"/>
        <v>8993.4875517366127</v>
      </c>
      <c r="X787" s="104">
        <f t="shared" ca="1" si="235"/>
        <v>1.5275924484216148E-2</v>
      </c>
    </row>
    <row r="788" spans="1:24" x14ac:dyDescent="0.2">
      <c r="A788" s="98">
        <v>1</v>
      </c>
      <c r="B788" s="98">
        <v>3</v>
      </c>
      <c r="C788" s="98">
        <f t="shared" si="217"/>
        <v>8</v>
      </c>
      <c r="D788" s="98">
        <f t="shared" si="218"/>
        <v>7</v>
      </c>
      <c r="E788" s="98">
        <f t="shared" si="219"/>
        <v>1</v>
      </c>
      <c r="F788" s="118">
        <f t="shared" ca="1" si="220"/>
        <v>9.5331599999999989E-3</v>
      </c>
      <c r="G788" s="98">
        <v>1</v>
      </c>
      <c r="H788" s="98">
        <v>0</v>
      </c>
      <c r="I788" s="98">
        <v>2</v>
      </c>
      <c r="J788" s="118">
        <f t="shared" ca="1" si="221"/>
        <v>5.6265234375000243E-6</v>
      </c>
      <c r="K788" s="118">
        <f t="shared" ca="1" si="222"/>
        <v>5.3638548173437728E-8</v>
      </c>
      <c r="L788" s="133">
        <f t="shared" ca="1" si="223"/>
        <v>192</v>
      </c>
      <c r="M788" s="130">
        <f t="shared" ca="1" si="224"/>
        <v>808</v>
      </c>
      <c r="N788" s="100">
        <f t="shared" ca="1" si="225"/>
        <v>4</v>
      </c>
      <c r="O788" s="136">
        <f t="shared" ca="1" si="226"/>
        <v>2.6973744602864622</v>
      </c>
      <c r="P788" s="136">
        <f t="shared" ca="1" si="227"/>
        <v>26.973744602864617</v>
      </c>
      <c r="Q788" s="136">
        <f t="shared" ca="1" si="228"/>
        <v>26.973744602864617</v>
      </c>
      <c r="R788" s="136">
        <f t="shared" ca="1" si="229"/>
        <v>2.6973744602864618</v>
      </c>
      <c r="S788" s="136">
        <f t="shared" ca="1" si="230"/>
        <v>2.6973744602864622</v>
      </c>
      <c r="T788" s="104">
        <f t="shared" ca="1" si="231"/>
        <v>1.44683249929876E-7</v>
      </c>
      <c r="U788" s="120">
        <f t="shared" ca="1" si="232"/>
        <v>1211.0695270312358</v>
      </c>
      <c r="V788" s="104">
        <f t="shared" ca="1" si="233"/>
        <v>6.4960011167047391E-5</v>
      </c>
      <c r="W788" s="133">
        <f t="shared" ca="1" si="234"/>
        <v>6815.8876602749624</v>
      </c>
      <c r="X788" s="104">
        <f t="shared" ca="1" si="235"/>
        <v>3.6559431861039833E-4</v>
      </c>
    </row>
    <row r="789" spans="1:24" x14ac:dyDescent="0.2">
      <c r="A789" s="98">
        <v>1</v>
      </c>
      <c r="B789" s="98">
        <v>3</v>
      </c>
      <c r="C789" s="98">
        <f t="shared" si="217"/>
        <v>8</v>
      </c>
      <c r="D789" s="98">
        <f t="shared" si="218"/>
        <v>7</v>
      </c>
      <c r="E789" s="98">
        <f t="shared" si="219"/>
        <v>1</v>
      </c>
      <c r="F789" s="118">
        <f t="shared" ca="1" si="220"/>
        <v>9.5331599999999989E-3</v>
      </c>
      <c r="G789" s="98">
        <v>1</v>
      </c>
      <c r="H789" s="98">
        <v>0</v>
      </c>
      <c r="I789" s="98">
        <v>1</v>
      </c>
      <c r="J789" s="118">
        <f t="shared" ca="1" si="221"/>
        <v>9.8710937500000504E-8</v>
      </c>
      <c r="K789" s="118">
        <f t="shared" ca="1" si="222"/>
        <v>9.4102716093750476E-10</v>
      </c>
      <c r="L789" s="133">
        <f t="shared" ca="1" si="223"/>
        <v>180</v>
      </c>
      <c r="M789" s="130">
        <f t="shared" ca="1" si="224"/>
        <v>820</v>
      </c>
      <c r="N789" s="100">
        <f t="shared" ca="1" si="225"/>
        <v>4</v>
      </c>
      <c r="O789" s="136">
        <f t="shared" ca="1" si="226"/>
        <v>2.6973744602864622</v>
      </c>
      <c r="P789" s="136">
        <f t="shared" ca="1" si="227"/>
        <v>26.973744602864617</v>
      </c>
      <c r="Q789" s="136">
        <f t="shared" ca="1" si="228"/>
        <v>26.973744602864617</v>
      </c>
      <c r="R789" s="136">
        <f t="shared" ca="1" si="229"/>
        <v>2.6973744602864618</v>
      </c>
      <c r="S789" s="136">
        <f t="shared" ca="1" si="230"/>
        <v>2.6973744602864622</v>
      </c>
      <c r="T789" s="104">
        <f t="shared" ca="1" si="231"/>
        <v>2.5383026303487039E-9</v>
      </c>
      <c r="U789" s="120">
        <f t="shared" ca="1" si="232"/>
        <v>1199.0695270312358</v>
      </c>
      <c r="V789" s="104">
        <f t="shared" ca="1" si="233"/>
        <v>1.1283569927888805E-6</v>
      </c>
      <c r="W789" s="133">
        <f t="shared" ca="1" si="234"/>
        <v>4638.2877688133131</v>
      </c>
      <c r="X789" s="104">
        <f t="shared" ca="1" si="235"/>
        <v>4.3647547706975453E-6</v>
      </c>
    </row>
    <row r="790" spans="1:24" x14ac:dyDescent="0.2">
      <c r="A790" s="98">
        <v>1</v>
      </c>
      <c r="B790" s="98">
        <v>3</v>
      </c>
      <c r="C790" s="98">
        <f t="shared" si="217"/>
        <v>8</v>
      </c>
      <c r="D790" s="98">
        <f t="shared" si="218"/>
        <v>7</v>
      </c>
      <c r="E790" s="98">
        <f t="shared" si="219"/>
        <v>1</v>
      </c>
      <c r="F790" s="118">
        <f t="shared" ca="1" si="220"/>
        <v>9.5331599999999989E-3</v>
      </c>
      <c r="G790" s="98">
        <v>1</v>
      </c>
      <c r="H790" s="98">
        <v>0</v>
      </c>
      <c r="I790" s="98">
        <v>0</v>
      </c>
      <c r="J790" s="118">
        <f t="shared" ca="1" si="221"/>
        <v>7.4218750000000458E-10</v>
      </c>
      <c r="K790" s="118">
        <f t="shared" ca="1" si="222"/>
        <v>7.0753921875000431E-12</v>
      </c>
      <c r="L790" s="133">
        <f t="shared" ca="1" si="223"/>
        <v>168</v>
      </c>
      <c r="M790" s="130">
        <f t="shared" ca="1" si="224"/>
        <v>832</v>
      </c>
      <c r="N790" s="100">
        <f t="shared" ca="1" si="225"/>
        <v>4</v>
      </c>
      <c r="O790" s="136">
        <f t="shared" ca="1" si="226"/>
        <v>2.6973744602864622</v>
      </c>
      <c r="P790" s="136">
        <f t="shared" ca="1" si="227"/>
        <v>26.973744602864617</v>
      </c>
      <c r="Q790" s="136">
        <f t="shared" ca="1" si="228"/>
        <v>26.973744602864617</v>
      </c>
      <c r="R790" s="136">
        <f t="shared" ca="1" si="229"/>
        <v>2.6973744602864618</v>
      </c>
      <c r="S790" s="136">
        <f t="shared" ca="1" si="230"/>
        <v>2.6973744602864622</v>
      </c>
      <c r="T790" s="104">
        <f t="shared" ca="1" si="231"/>
        <v>1.908498218307298E-11</v>
      </c>
      <c r="U790" s="120">
        <f t="shared" ca="1" si="232"/>
        <v>1187.0695270312358</v>
      </c>
      <c r="V790" s="104">
        <f t="shared" ca="1" si="233"/>
        <v>8.3989824575761768E-9</v>
      </c>
      <c r="W790" s="133">
        <f t="shared" ca="1" si="234"/>
        <v>2460.6878773516637</v>
      </c>
      <c r="X790" s="104">
        <f t="shared" ca="1" si="235"/>
        <v>1.7410331783290027E-8</v>
      </c>
    </row>
    <row r="791" spans="1:24" x14ac:dyDescent="0.2">
      <c r="A791" s="98">
        <v>1</v>
      </c>
      <c r="B791" s="98">
        <v>3</v>
      </c>
      <c r="C791" s="98">
        <f t="shared" si="217"/>
        <v>8</v>
      </c>
      <c r="D791" s="98">
        <f t="shared" si="218"/>
        <v>7</v>
      </c>
      <c r="E791" s="98">
        <f t="shared" si="219"/>
        <v>1</v>
      </c>
      <c r="F791" s="118">
        <f t="shared" ca="1" si="220"/>
        <v>9.5331599999999989E-3</v>
      </c>
      <c r="G791" s="98">
        <v>0</v>
      </c>
      <c r="H791" s="98">
        <v>1</v>
      </c>
      <c r="I791" s="98">
        <v>7</v>
      </c>
      <c r="J791" s="118">
        <f t="shared" ca="1" si="221"/>
        <v>0</v>
      </c>
      <c r="K791" s="118">
        <f t="shared" ca="1" si="222"/>
        <v>0</v>
      </c>
      <c r="L791" s="133">
        <f t="shared" ca="1" si="223"/>
        <v>252</v>
      </c>
      <c r="M791" s="130">
        <f t="shared" ca="1" si="224"/>
        <v>748</v>
      </c>
      <c r="N791" s="100">
        <f t="shared" ca="1" si="225"/>
        <v>4</v>
      </c>
      <c r="O791" s="136">
        <f t="shared" ca="1" si="226"/>
        <v>2.6973744602864622</v>
      </c>
      <c r="P791" s="136">
        <f t="shared" ca="1" si="227"/>
        <v>26.973744602864617</v>
      </c>
      <c r="Q791" s="136">
        <f t="shared" ca="1" si="228"/>
        <v>26.973744602864617</v>
      </c>
      <c r="R791" s="136">
        <f t="shared" ca="1" si="229"/>
        <v>2.6973744602864618</v>
      </c>
      <c r="S791" s="136">
        <f t="shared" ca="1" si="230"/>
        <v>2.6973744602864622</v>
      </c>
      <c r="T791" s="104">
        <f t="shared" ca="1" si="231"/>
        <v>0</v>
      </c>
      <c r="U791" s="120">
        <f t="shared" ca="1" si="232"/>
        <v>1271.0695270312358</v>
      </c>
      <c r="V791" s="104">
        <f t="shared" ca="1" si="233"/>
        <v>0</v>
      </c>
      <c r="W791" s="133">
        <f t="shared" ca="1" si="234"/>
        <v>17420.799131693195</v>
      </c>
      <c r="X791" s="104">
        <f t="shared" ca="1" si="235"/>
        <v>0</v>
      </c>
    </row>
    <row r="792" spans="1:24" x14ac:dyDescent="0.2">
      <c r="A792" s="98">
        <v>1</v>
      </c>
      <c r="B792" s="98">
        <v>3</v>
      </c>
      <c r="C792" s="98">
        <f t="shared" si="217"/>
        <v>8</v>
      </c>
      <c r="D792" s="98">
        <f t="shared" si="218"/>
        <v>7</v>
      </c>
      <c r="E792" s="98">
        <f t="shared" si="219"/>
        <v>1</v>
      </c>
      <c r="F792" s="118">
        <f t="shared" ca="1" si="220"/>
        <v>9.5331599999999989E-3</v>
      </c>
      <c r="G792" s="98">
        <v>0</v>
      </c>
      <c r="H792" s="98">
        <v>1</v>
      </c>
      <c r="I792" s="98">
        <v>6</v>
      </c>
      <c r="J792" s="118">
        <f t="shared" ca="1" si="221"/>
        <v>0</v>
      </c>
      <c r="K792" s="118">
        <f t="shared" ca="1" si="222"/>
        <v>0</v>
      </c>
      <c r="L792" s="133">
        <f t="shared" ca="1" si="223"/>
        <v>240</v>
      </c>
      <c r="M792" s="130">
        <f t="shared" ca="1" si="224"/>
        <v>760</v>
      </c>
      <c r="N792" s="100">
        <f t="shared" ca="1" si="225"/>
        <v>4</v>
      </c>
      <c r="O792" s="136">
        <f t="shared" ca="1" si="226"/>
        <v>2.6973744602864622</v>
      </c>
      <c r="P792" s="136">
        <f t="shared" ca="1" si="227"/>
        <v>26.973744602864617</v>
      </c>
      <c r="Q792" s="136">
        <f t="shared" ca="1" si="228"/>
        <v>26.973744602864617</v>
      </c>
      <c r="R792" s="136">
        <f t="shared" ca="1" si="229"/>
        <v>2.6973744602864618</v>
      </c>
      <c r="S792" s="136">
        <f t="shared" ca="1" si="230"/>
        <v>2.6973744602864622</v>
      </c>
      <c r="T792" s="104">
        <f t="shared" ca="1" si="231"/>
        <v>0</v>
      </c>
      <c r="U792" s="120">
        <f t="shared" ca="1" si="232"/>
        <v>1259.0695270312358</v>
      </c>
      <c r="V792" s="104">
        <f t="shared" ca="1" si="233"/>
        <v>0</v>
      </c>
      <c r="W792" s="133">
        <f t="shared" ca="1" si="234"/>
        <v>15243.199240231548</v>
      </c>
      <c r="X792" s="104">
        <f t="shared" ca="1" si="235"/>
        <v>0</v>
      </c>
    </row>
    <row r="793" spans="1:24" x14ac:dyDescent="0.2">
      <c r="A793" s="98">
        <v>1</v>
      </c>
      <c r="B793" s="98">
        <v>3</v>
      </c>
      <c r="C793" s="98">
        <f t="shared" si="217"/>
        <v>8</v>
      </c>
      <c r="D793" s="98">
        <f t="shared" si="218"/>
        <v>7</v>
      </c>
      <c r="E793" s="98">
        <f t="shared" si="219"/>
        <v>1</v>
      </c>
      <c r="F793" s="118">
        <f t="shared" ca="1" si="220"/>
        <v>9.5331599999999989E-3</v>
      </c>
      <c r="G793" s="98">
        <v>0</v>
      </c>
      <c r="H793" s="98">
        <v>1</v>
      </c>
      <c r="I793" s="98">
        <v>5</v>
      </c>
      <c r="J793" s="118">
        <f t="shared" ca="1" si="221"/>
        <v>0</v>
      </c>
      <c r="K793" s="118">
        <f t="shared" ca="1" si="222"/>
        <v>0</v>
      </c>
      <c r="L793" s="133">
        <f t="shared" ca="1" si="223"/>
        <v>228</v>
      </c>
      <c r="M793" s="130">
        <f t="shared" ca="1" si="224"/>
        <v>772</v>
      </c>
      <c r="N793" s="100">
        <f t="shared" ca="1" si="225"/>
        <v>4</v>
      </c>
      <c r="O793" s="136">
        <f t="shared" ca="1" si="226"/>
        <v>2.6973744602864622</v>
      </c>
      <c r="P793" s="136">
        <f t="shared" ca="1" si="227"/>
        <v>26.973744602864617</v>
      </c>
      <c r="Q793" s="136">
        <f t="shared" ca="1" si="228"/>
        <v>26.973744602864617</v>
      </c>
      <c r="R793" s="136">
        <f t="shared" ca="1" si="229"/>
        <v>2.6973744602864618</v>
      </c>
      <c r="S793" s="136">
        <f t="shared" ca="1" si="230"/>
        <v>2.6973744602864622</v>
      </c>
      <c r="T793" s="104">
        <f t="shared" ca="1" si="231"/>
        <v>0</v>
      </c>
      <c r="U793" s="120">
        <f t="shared" ca="1" si="232"/>
        <v>1247.0695270312358</v>
      </c>
      <c r="V793" s="104">
        <f t="shared" ca="1" si="233"/>
        <v>0</v>
      </c>
      <c r="W793" s="133">
        <f t="shared" ca="1" si="234"/>
        <v>13065.599348769898</v>
      </c>
      <c r="X793" s="104">
        <f t="shared" ca="1" si="235"/>
        <v>0</v>
      </c>
    </row>
    <row r="794" spans="1:24" x14ac:dyDescent="0.2">
      <c r="A794" s="98">
        <v>1</v>
      </c>
      <c r="B794" s="98">
        <v>3</v>
      </c>
      <c r="C794" s="98">
        <f t="shared" si="217"/>
        <v>8</v>
      </c>
      <c r="D794" s="98">
        <f t="shared" si="218"/>
        <v>7</v>
      </c>
      <c r="E794" s="98">
        <f t="shared" si="219"/>
        <v>1</v>
      </c>
      <c r="F794" s="118">
        <f t="shared" ca="1" si="220"/>
        <v>9.5331599999999989E-3</v>
      </c>
      <c r="G794" s="98">
        <v>0</v>
      </c>
      <c r="H794" s="98">
        <v>1</v>
      </c>
      <c r="I794" s="98">
        <v>4</v>
      </c>
      <c r="J794" s="118">
        <f t="shared" ca="1" si="221"/>
        <v>0</v>
      </c>
      <c r="K794" s="118">
        <f t="shared" ca="1" si="222"/>
        <v>0</v>
      </c>
      <c r="L794" s="133">
        <f t="shared" ca="1" si="223"/>
        <v>216</v>
      </c>
      <c r="M794" s="130">
        <f t="shared" ca="1" si="224"/>
        <v>784</v>
      </c>
      <c r="N794" s="100">
        <f t="shared" ca="1" si="225"/>
        <v>4</v>
      </c>
      <c r="O794" s="136">
        <f t="shared" ca="1" si="226"/>
        <v>2.6973744602864622</v>
      </c>
      <c r="P794" s="136">
        <f t="shared" ca="1" si="227"/>
        <v>26.973744602864617</v>
      </c>
      <c r="Q794" s="136">
        <f t="shared" ca="1" si="228"/>
        <v>26.973744602864617</v>
      </c>
      <c r="R794" s="136">
        <f t="shared" ca="1" si="229"/>
        <v>2.6973744602864618</v>
      </c>
      <c r="S794" s="136">
        <f t="shared" ca="1" si="230"/>
        <v>2.6973744602864622</v>
      </c>
      <c r="T794" s="104">
        <f t="shared" ca="1" si="231"/>
        <v>0</v>
      </c>
      <c r="U794" s="120">
        <f t="shared" ca="1" si="232"/>
        <v>1235.0695270312358</v>
      </c>
      <c r="V794" s="104">
        <f t="shared" ca="1" si="233"/>
        <v>0</v>
      </c>
      <c r="W794" s="133">
        <f t="shared" ca="1" si="234"/>
        <v>10887.999457308248</v>
      </c>
      <c r="X794" s="104">
        <f t="shared" ca="1" si="235"/>
        <v>0</v>
      </c>
    </row>
    <row r="795" spans="1:24" x14ac:dyDescent="0.2">
      <c r="A795" s="98">
        <v>1</v>
      </c>
      <c r="B795" s="98">
        <v>3</v>
      </c>
      <c r="C795" s="98">
        <f t="shared" si="217"/>
        <v>8</v>
      </c>
      <c r="D795" s="98">
        <f t="shared" si="218"/>
        <v>7</v>
      </c>
      <c r="E795" s="98">
        <f t="shared" si="219"/>
        <v>1</v>
      </c>
      <c r="F795" s="118">
        <f t="shared" ca="1" si="220"/>
        <v>9.5331599999999989E-3</v>
      </c>
      <c r="G795" s="98">
        <v>0</v>
      </c>
      <c r="H795" s="98">
        <v>1</v>
      </c>
      <c r="I795" s="98">
        <v>3</v>
      </c>
      <c r="J795" s="118">
        <f t="shared" ca="1" si="221"/>
        <v>0</v>
      </c>
      <c r="K795" s="118">
        <f t="shared" ca="1" si="222"/>
        <v>0</v>
      </c>
      <c r="L795" s="133">
        <f t="shared" ca="1" si="223"/>
        <v>204</v>
      </c>
      <c r="M795" s="130">
        <f t="shared" ca="1" si="224"/>
        <v>796</v>
      </c>
      <c r="N795" s="100">
        <f t="shared" ca="1" si="225"/>
        <v>4</v>
      </c>
      <c r="O795" s="136">
        <f t="shared" ca="1" si="226"/>
        <v>2.6973744602864622</v>
      </c>
      <c r="P795" s="136">
        <f t="shared" ca="1" si="227"/>
        <v>26.973744602864617</v>
      </c>
      <c r="Q795" s="136">
        <f t="shared" ca="1" si="228"/>
        <v>26.973744602864617</v>
      </c>
      <c r="R795" s="136">
        <f t="shared" ca="1" si="229"/>
        <v>2.6973744602864618</v>
      </c>
      <c r="S795" s="136">
        <f t="shared" ca="1" si="230"/>
        <v>2.6973744602864622</v>
      </c>
      <c r="T795" s="104">
        <f t="shared" ca="1" si="231"/>
        <v>0</v>
      </c>
      <c r="U795" s="120">
        <f t="shared" ca="1" si="232"/>
        <v>1223.0695270312358</v>
      </c>
      <c r="V795" s="104">
        <f t="shared" ca="1" si="233"/>
        <v>0</v>
      </c>
      <c r="W795" s="133">
        <f t="shared" ca="1" si="234"/>
        <v>8710.3995658465974</v>
      </c>
      <c r="X795" s="104">
        <f t="shared" ca="1" si="235"/>
        <v>0</v>
      </c>
    </row>
    <row r="796" spans="1:24" x14ac:dyDescent="0.2">
      <c r="A796" s="98">
        <v>1</v>
      </c>
      <c r="B796" s="98">
        <v>3</v>
      </c>
      <c r="C796" s="98">
        <f t="shared" si="217"/>
        <v>8</v>
      </c>
      <c r="D796" s="98">
        <f t="shared" si="218"/>
        <v>7</v>
      </c>
      <c r="E796" s="98">
        <f t="shared" si="219"/>
        <v>1</v>
      </c>
      <c r="F796" s="118">
        <f t="shared" ca="1" si="220"/>
        <v>9.5331599999999989E-3</v>
      </c>
      <c r="G796" s="98">
        <v>0</v>
      </c>
      <c r="H796" s="98">
        <v>1</v>
      </c>
      <c r="I796" s="98">
        <v>2</v>
      </c>
      <c r="J796" s="118">
        <f t="shared" ca="1" si="221"/>
        <v>0</v>
      </c>
      <c r="K796" s="118">
        <f t="shared" ca="1" si="222"/>
        <v>0</v>
      </c>
      <c r="L796" s="133">
        <f t="shared" ca="1" si="223"/>
        <v>192</v>
      </c>
      <c r="M796" s="130">
        <f t="shared" ca="1" si="224"/>
        <v>808</v>
      </c>
      <c r="N796" s="100">
        <f t="shared" ca="1" si="225"/>
        <v>4</v>
      </c>
      <c r="O796" s="136">
        <f t="shared" ca="1" si="226"/>
        <v>2.6973744602864622</v>
      </c>
      <c r="P796" s="136">
        <f t="shared" ca="1" si="227"/>
        <v>26.973744602864617</v>
      </c>
      <c r="Q796" s="136">
        <f t="shared" ca="1" si="228"/>
        <v>26.973744602864617</v>
      </c>
      <c r="R796" s="136">
        <f t="shared" ca="1" si="229"/>
        <v>2.6973744602864618</v>
      </c>
      <c r="S796" s="136">
        <f t="shared" ca="1" si="230"/>
        <v>2.6973744602864622</v>
      </c>
      <c r="T796" s="104">
        <f t="shared" ca="1" si="231"/>
        <v>0</v>
      </c>
      <c r="U796" s="120">
        <f t="shared" ca="1" si="232"/>
        <v>1211.0695270312358</v>
      </c>
      <c r="V796" s="104">
        <f t="shared" ca="1" si="233"/>
        <v>0</v>
      </c>
      <c r="W796" s="133">
        <f t="shared" ca="1" si="234"/>
        <v>6532.799674384948</v>
      </c>
      <c r="X796" s="104">
        <f t="shared" ca="1" si="235"/>
        <v>0</v>
      </c>
    </row>
    <row r="797" spans="1:24" x14ac:dyDescent="0.2">
      <c r="A797" s="98">
        <v>1</v>
      </c>
      <c r="B797" s="98">
        <v>3</v>
      </c>
      <c r="C797" s="98">
        <f t="shared" si="217"/>
        <v>8</v>
      </c>
      <c r="D797" s="98">
        <f t="shared" si="218"/>
        <v>7</v>
      </c>
      <c r="E797" s="98">
        <f t="shared" si="219"/>
        <v>1</v>
      </c>
      <c r="F797" s="118">
        <f t="shared" ca="1" si="220"/>
        <v>9.5331599999999989E-3</v>
      </c>
      <c r="G797" s="98">
        <v>0</v>
      </c>
      <c r="H797" s="98">
        <v>1</v>
      </c>
      <c r="I797" s="98">
        <v>1</v>
      </c>
      <c r="J797" s="118">
        <f t="shared" ca="1" si="221"/>
        <v>0</v>
      </c>
      <c r="K797" s="118">
        <f t="shared" ca="1" si="222"/>
        <v>0</v>
      </c>
      <c r="L797" s="133">
        <f t="shared" ca="1" si="223"/>
        <v>180</v>
      </c>
      <c r="M797" s="130">
        <f t="shared" ca="1" si="224"/>
        <v>820</v>
      </c>
      <c r="N797" s="100">
        <f t="shared" ca="1" si="225"/>
        <v>4</v>
      </c>
      <c r="O797" s="136">
        <f t="shared" ca="1" si="226"/>
        <v>2.6973744602864622</v>
      </c>
      <c r="P797" s="136">
        <f t="shared" ca="1" si="227"/>
        <v>26.973744602864617</v>
      </c>
      <c r="Q797" s="136">
        <f t="shared" ca="1" si="228"/>
        <v>26.973744602864617</v>
      </c>
      <c r="R797" s="136">
        <f t="shared" ca="1" si="229"/>
        <v>2.6973744602864618</v>
      </c>
      <c r="S797" s="136">
        <f t="shared" ca="1" si="230"/>
        <v>2.6973744602864622</v>
      </c>
      <c r="T797" s="104">
        <f t="shared" ca="1" si="231"/>
        <v>0</v>
      </c>
      <c r="U797" s="120">
        <f t="shared" ca="1" si="232"/>
        <v>1199.0695270312358</v>
      </c>
      <c r="V797" s="104">
        <f t="shared" ca="1" si="233"/>
        <v>0</v>
      </c>
      <c r="W797" s="133">
        <f t="shared" ca="1" si="234"/>
        <v>4355.1997829232987</v>
      </c>
      <c r="X797" s="104">
        <f t="shared" ca="1" si="235"/>
        <v>0</v>
      </c>
    </row>
    <row r="798" spans="1:24" x14ac:dyDescent="0.2">
      <c r="A798" s="98">
        <v>1</v>
      </c>
      <c r="B798" s="98">
        <v>3</v>
      </c>
      <c r="C798" s="98">
        <f t="shared" si="217"/>
        <v>8</v>
      </c>
      <c r="D798" s="98">
        <f t="shared" si="218"/>
        <v>7</v>
      </c>
      <c r="E798" s="98">
        <f t="shared" si="219"/>
        <v>1</v>
      </c>
      <c r="F798" s="118">
        <f t="shared" ca="1" si="220"/>
        <v>9.5331599999999989E-3</v>
      </c>
      <c r="G798" s="98">
        <v>0</v>
      </c>
      <c r="H798" s="98">
        <v>1</v>
      </c>
      <c r="I798" s="98">
        <v>0</v>
      </c>
      <c r="J798" s="118">
        <f t="shared" ca="1" si="221"/>
        <v>0</v>
      </c>
      <c r="K798" s="118">
        <f t="shared" ca="1" si="222"/>
        <v>0</v>
      </c>
      <c r="L798" s="133">
        <f t="shared" ca="1" si="223"/>
        <v>168</v>
      </c>
      <c r="M798" s="130">
        <f t="shared" ca="1" si="224"/>
        <v>832</v>
      </c>
      <c r="N798" s="100">
        <f t="shared" ca="1" si="225"/>
        <v>4</v>
      </c>
      <c r="O798" s="136">
        <f t="shared" ca="1" si="226"/>
        <v>2.6973744602864622</v>
      </c>
      <c r="P798" s="136">
        <f t="shared" ca="1" si="227"/>
        <v>26.973744602864617</v>
      </c>
      <c r="Q798" s="136">
        <f t="shared" ca="1" si="228"/>
        <v>26.973744602864617</v>
      </c>
      <c r="R798" s="136">
        <f t="shared" ca="1" si="229"/>
        <v>2.6973744602864618</v>
      </c>
      <c r="S798" s="136">
        <f t="shared" ca="1" si="230"/>
        <v>2.6973744602864622</v>
      </c>
      <c r="T798" s="104">
        <f t="shared" ca="1" si="231"/>
        <v>0</v>
      </c>
      <c r="U798" s="120">
        <f t="shared" ca="1" si="232"/>
        <v>1187.0695270312358</v>
      </c>
      <c r="V798" s="104">
        <f t="shared" ca="1" si="233"/>
        <v>0</v>
      </c>
      <c r="W798" s="133">
        <f t="shared" ca="1" si="234"/>
        <v>2177.5998914616493</v>
      </c>
      <c r="X798" s="104">
        <f t="shared" ca="1" si="235"/>
        <v>0</v>
      </c>
    </row>
    <row r="799" spans="1:24" x14ac:dyDescent="0.2">
      <c r="A799" s="98">
        <v>1</v>
      </c>
      <c r="B799" s="98">
        <v>3</v>
      </c>
      <c r="C799" s="98">
        <f t="shared" si="217"/>
        <v>8</v>
      </c>
      <c r="D799" s="98">
        <f t="shared" si="218"/>
        <v>7</v>
      </c>
      <c r="E799" s="98">
        <f t="shared" si="219"/>
        <v>1</v>
      </c>
      <c r="F799" s="118">
        <f t="shared" ca="1" si="220"/>
        <v>9.5331599999999989E-3</v>
      </c>
      <c r="G799" s="98">
        <v>0</v>
      </c>
      <c r="H799" s="98">
        <v>0</v>
      </c>
      <c r="I799" s="98">
        <v>7</v>
      </c>
      <c r="J799" s="118">
        <f t="shared" ca="1" si="221"/>
        <v>3.4916864804687496E-2</v>
      </c>
      <c r="K799" s="118">
        <f t="shared" ca="1" si="222"/>
        <v>3.3286805888145462E-4</v>
      </c>
      <c r="L799" s="133">
        <f t="shared" ca="1" si="223"/>
        <v>84</v>
      </c>
      <c r="M799" s="130">
        <f t="shared" ca="1" si="224"/>
        <v>916</v>
      </c>
      <c r="N799" s="100">
        <f t="shared" ca="1" si="225"/>
        <v>5</v>
      </c>
      <c r="O799" s="136">
        <f t="shared" ca="1" si="226"/>
        <v>3.301004590397413</v>
      </c>
      <c r="P799" s="136">
        <f t="shared" ca="1" si="227"/>
        <v>33.010045903974124</v>
      </c>
      <c r="Q799" s="136">
        <f t="shared" ca="1" si="228"/>
        <v>33.010045903974124</v>
      </c>
      <c r="R799" s="136">
        <f t="shared" ca="1" si="229"/>
        <v>3.3010045903974126</v>
      </c>
      <c r="S799" s="136">
        <f t="shared" ca="1" si="230"/>
        <v>3.3010045903974126</v>
      </c>
      <c r="T799" s="104">
        <f t="shared" ca="1" si="231"/>
        <v>1.0987989903643578E-3</v>
      </c>
      <c r="U799" s="120">
        <f t="shared" ca="1" si="232"/>
        <v>1323.3671890482913</v>
      </c>
      <c r="V799" s="104">
        <f t="shared" ca="1" si="233"/>
        <v>0.44050666740591171</v>
      </c>
      <c r="W799" s="133">
        <f t="shared" ca="1" si="234"/>
        <v>15243.199240231546</v>
      </c>
      <c r="X799" s="104">
        <f t="shared" ca="1" si="235"/>
        <v>5.0739741422391385</v>
      </c>
    </row>
    <row r="800" spans="1:24" x14ac:dyDescent="0.2">
      <c r="A800" s="98">
        <v>1</v>
      </c>
      <c r="B800" s="98">
        <v>3</v>
      </c>
      <c r="C800" s="98">
        <f t="shared" si="217"/>
        <v>8</v>
      </c>
      <c r="D800" s="98">
        <f t="shared" si="218"/>
        <v>7</v>
      </c>
      <c r="E800" s="98">
        <f t="shared" si="219"/>
        <v>1</v>
      </c>
      <c r="F800" s="118">
        <f t="shared" ca="1" si="220"/>
        <v>9.5331599999999989E-3</v>
      </c>
      <c r="G800" s="98">
        <v>0</v>
      </c>
      <c r="H800" s="98">
        <v>0</v>
      </c>
      <c r="I800" s="98">
        <v>6</v>
      </c>
      <c r="J800" s="118">
        <f t="shared" ca="1" si="221"/>
        <v>1.2864108085937513E-2</v>
      </c>
      <c r="K800" s="118">
        <f t="shared" ca="1" si="222"/>
        <v>1.2263560064053604E-4</v>
      </c>
      <c r="L800" s="133">
        <f t="shared" ca="1" si="223"/>
        <v>72</v>
      </c>
      <c r="M800" s="130">
        <f t="shared" ca="1" si="224"/>
        <v>928</v>
      </c>
      <c r="N800" s="100">
        <f t="shared" ca="1" si="225"/>
        <v>5</v>
      </c>
      <c r="O800" s="136">
        <f t="shared" ca="1" si="226"/>
        <v>3.301004590397413</v>
      </c>
      <c r="P800" s="136">
        <f t="shared" ca="1" si="227"/>
        <v>33.010045903974124</v>
      </c>
      <c r="Q800" s="136">
        <f t="shared" ca="1" si="228"/>
        <v>33.010045903974124</v>
      </c>
      <c r="R800" s="136">
        <f t="shared" ca="1" si="229"/>
        <v>3.3010045903974126</v>
      </c>
      <c r="S800" s="136">
        <f t="shared" ca="1" si="230"/>
        <v>3.3010045903974126</v>
      </c>
      <c r="T800" s="104">
        <f t="shared" ca="1" si="231"/>
        <v>4.0482068066055333E-4</v>
      </c>
      <c r="U800" s="120">
        <f t="shared" ca="1" si="232"/>
        <v>1311.3671890482913</v>
      </c>
      <c r="V800" s="104">
        <f t="shared" ca="1" si="233"/>
        <v>0.16082030288922858</v>
      </c>
      <c r="W800" s="133">
        <f t="shared" ca="1" si="234"/>
        <v>13065.599348769898</v>
      </c>
      <c r="X800" s="104">
        <f t="shared" ca="1" si="235"/>
        <v>1.6023076238649929</v>
      </c>
    </row>
    <row r="801" spans="1:24" x14ac:dyDescent="0.2">
      <c r="A801" s="98">
        <v>1</v>
      </c>
      <c r="B801" s="98">
        <v>3</v>
      </c>
      <c r="C801" s="98">
        <f t="shared" si="217"/>
        <v>8</v>
      </c>
      <c r="D801" s="98">
        <f t="shared" si="218"/>
        <v>7</v>
      </c>
      <c r="E801" s="98">
        <f t="shared" si="219"/>
        <v>1</v>
      </c>
      <c r="F801" s="118">
        <f t="shared" ca="1" si="220"/>
        <v>9.5331599999999989E-3</v>
      </c>
      <c r="G801" s="98">
        <v>0</v>
      </c>
      <c r="H801" s="98">
        <v>0</v>
      </c>
      <c r="I801" s="98">
        <v>5</v>
      </c>
      <c r="J801" s="118">
        <f t="shared" ca="1" si="221"/>
        <v>2.0311749609375038E-3</v>
      </c>
      <c r="K801" s="118">
        <f t="shared" ca="1" si="222"/>
        <v>1.9363515890610973E-5</v>
      </c>
      <c r="L801" s="133">
        <f t="shared" ca="1" si="223"/>
        <v>60</v>
      </c>
      <c r="M801" s="130">
        <f t="shared" ca="1" si="224"/>
        <v>940</v>
      </c>
      <c r="N801" s="100">
        <f t="shared" ca="1" si="225"/>
        <v>5</v>
      </c>
      <c r="O801" s="136">
        <f t="shared" ca="1" si="226"/>
        <v>3.301004590397413</v>
      </c>
      <c r="P801" s="136">
        <f t="shared" ca="1" si="227"/>
        <v>33.010045903974124</v>
      </c>
      <c r="Q801" s="136">
        <f t="shared" ca="1" si="228"/>
        <v>33.010045903974124</v>
      </c>
      <c r="R801" s="136">
        <f t="shared" ca="1" si="229"/>
        <v>3.3010045903974126</v>
      </c>
      <c r="S801" s="136">
        <f t="shared" ca="1" si="230"/>
        <v>3.3010045903974126</v>
      </c>
      <c r="T801" s="104">
        <f t="shared" ca="1" si="231"/>
        <v>6.3919054841140061E-5</v>
      </c>
      <c r="U801" s="120">
        <f t="shared" ca="1" si="232"/>
        <v>1299.3671890482913</v>
      </c>
      <c r="V801" s="104">
        <f t="shared" ca="1" si="233"/>
        <v>2.5160317212875101E-2</v>
      </c>
      <c r="W801" s="133">
        <f t="shared" ca="1" si="234"/>
        <v>10887.999457308248</v>
      </c>
      <c r="X801" s="104">
        <f t="shared" ca="1" si="235"/>
        <v>0.21082995050855191</v>
      </c>
    </row>
    <row r="802" spans="1:24" x14ac:dyDescent="0.2">
      <c r="A802" s="98">
        <v>1</v>
      </c>
      <c r="B802" s="98">
        <v>3</v>
      </c>
      <c r="C802" s="98">
        <f t="shared" si="217"/>
        <v>8</v>
      </c>
      <c r="D802" s="98">
        <f t="shared" si="218"/>
        <v>7</v>
      </c>
      <c r="E802" s="98">
        <f t="shared" si="219"/>
        <v>1</v>
      </c>
      <c r="F802" s="118">
        <f t="shared" ca="1" si="220"/>
        <v>9.5331599999999989E-3</v>
      </c>
      <c r="G802" s="98">
        <v>0</v>
      </c>
      <c r="H802" s="98">
        <v>0</v>
      </c>
      <c r="I802" s="98">
        <v>4</v>
      </c>
      <c r="J802" s="118">
        <f t="shared" ca="1" si="221"/>
        <v>1.7817324218750047E-4</v>
      </c>
      <c r="K802" s="118">
        <f t="shared" ca="1" si="222"/>
        <v>1.6985540254921917E-6</v>
      </c>
      <c r="L802" s="133">
        <f t="shared" ca="1" si="223"/>
        <v>48</v>
      </c>
      <c r="M802" s="130">
        <f t="shared" ca="1" si="224"/>
        <v>952</v>
      </c>
      <c r="N802" s="100">
        <f t="shared" ca="1" si="225"/>
        <v>5</v>
      </c>
      <c r="O802" s="136">
        <f t="shared" ca="1" si="226"/>
        <v>3.301004590397413</v>
      </c>
      <c r="P802" s="136">
        <f t="shared" ca="1" si="227"/>
        <v>33.010045903974124</v>
      </c>
      <c r="Q802" s="136">
        <f t="shared" ca="1" si="228"/>
        <v>33.010045903974124</v>
      </c>
      <c r="R802" s="136">
        <f t="shared" ca="1" si="229"/>
        <v>3.3010045903974126</v>
      </c>
      <c r="S802" s="136">
        <f t="shared" ca="1" si="230"/>
        <v>3.3010045903974126</v>
      </c>
      <c r="T802" s="104">
        <f t="shared" ca="1" si="231"/>
        <v>5.6069346351877288E-6</v>
      </c>
      <c r="U802" s="120">
        <f t="shared" ca="1" si="232"/>
        <v>1287.3671890482913</v>
      </c>
      <c r="V802" s="104">
        <f t="shared" ca="1" si="233"/>
        <v>2.1866627212445426E-3</v>
      </c>
      <c r="W802" s="133">
        <f t="shared" ca="1" si="234"/>
        <v>8710.3995658465974</v>
      </c>
      <c r="X802" s="104">
        <f t="shared" ca="1" si="235"/>
        <v>1.4795084246214178E-2</v>
      </c>
    </row>
    <row r="803" spans="1:24" x14ac:dyDescent="0.2">
      <c r="A803" s="98">
        <v>1</v>
      </c>
      <c r="B803" s="98">
        <v>3</v>
      </c>
      <c r="C803" s="98">
        <f t="shared" si="217"/>
        <v>8</v>
      </c>
      <c r="D803" s="98">
        <f t="shared" si="218"/>
        <v>7</v>
      </c>
      <c r="E803" s="98">
        <f t="shared" si="219"/>
        <v>1</v>
      </c>
      <c r="F803" s="118">
        <f t="shared" ca="1" si="220"/>
        <v>9.5331599999999989E-3</v>
      </c>
      <c r="G803" s="98">
        <v>0</v>
      </c>
      <c r="H803" s="98">
        <v>0</v>
      </c>
      <c r="I803" s="98">
        <v>3</v>
      </c>
      <c r="J803" s="118">
        <f t="shared" ca="1" si="221"/>
        <v>9.3775390625000315E-6</v>
      </c>
      <c r="K803" s="118">
        <f t="shared" ca="1" si="222"/>
        <v>8.9397580289062794E-8</v>
      </c>
      <c r="L803" s="133">
        <f t="shared" ca="1" si="223"/>
        <v>36</v>
      </c>
      <c r="M803" s="130">
        <f t="shared" ca="1" si="224"/>
        <v>964</v>
      </c>
      <c r="N803" s="100">
        <f t="shared" ca="1" si="225"/>
        <v>5</v>
      </c>
      <c r="O803" s="136">
        <f t="shared" ca="1" si="226"/>
        <v>3.301004590397413</v>
      </c>
      <c r="P803" s="136">
        <f t="shared" ca="1" si="227"/>
        <v>33.010045903974124</v>
      </c>
      <c r="Q803" s="136">
        <f t="shared" ca="1" si="228"/>
        <v>33.010045903974124</v>
      </c>
      <c r="R803" s="136">
        <f t="shared" ca="1" si="229"/>
        <v>3.3010045903974126</v>
      </c>
      <c r="S803" s="136">
        <f t="shared" ca="1" si="230"/>
        <v>3.3010045903974126</v>
      </c>
      <c r="T803" s="104">
        <f t="shared" ca="1" si="231"/>
        <v>2.9510182290461751E-7</v>
      </c>
      <c r="U803" s="120">
        <f t="shared" ca="1" si="232"/>
        <v>1275.3671890482913</v>
      </c>
      <c r="V803" s="104">
        <f t="shared" ca="1" si="233"/>
        <v>1.1401474068098094E-4</v>
      </c>
      <c r="W803" s="133">
        <f t="shared" ca="1" si="234"/>
        <v>6532.799674384949</v>
      </c>
      <c r="X803" s="104">
        <f t="shared" ca="1" si="235"/>
        <v>5.8401648340319174E-4</v>
      </c>
    </row>
    <row r="804" spans="1:24" x14ac:dyDescent="0.2">
      <c r="A804" s="98">
        <v>1</v>
      </c>
      <c r="B804" s="98">
        <v>3</v>
      </c>
      <c r="C804" s="98">
        <f t="shared" si="217"/>
        <v>8</v>
      </c>
      <c r="D804" s="98">
        <f t="shared" si="218"/>
        <v>7</v>
      </c>
      <c r="E804" s="98">
        <f t="shared" si="219"/>
        <v>1</v>
      </c>
      <c r="F804" s="118">
        <f t="shared" ca="1" si="220"/>
        <v>9.5331599999999989E-3</v>
      </c>
      <c r="G804" s="98">
        <v>0</v>
      </c>
      <c r="H804" s="98">
        <v>0</v>
      </c>
      <c r="I804" s="98">
        <v>2</v>
      </c>
      <c r="J804" s="118">
        <f t="shared" ca="1" si="221"/>
        <v>2.961328125000013E-7</v>
      </c>
      <c r="K804" s="118">
        <f t="shared" ca="1" si="222"/>
        <v>2.8230814828125122E-9</v>
      </c>
      <c r="L804" s="133">
        <f t="shared" ca="1" si="223"/>
        <v>24</v>
      </c>
      <c r="M804" s="130">
        <f t="shared" ca="1" si="224"/>
        <v>976</v>
      </c>
      <c r="N804" s="100">
        <f t="shared" ca="1" si="225"/>
        <v>5</v>
      </c>
      <c r="O804" s="136">
        <f t="shared" ca="1" si="226"/>
        <v>3.301004590397413</v>
      </c>
      <c r="P804" s="136">
        <f t="shared" ca="1" si="227"/>
        <v>33.010045903974124</v>
      </c>
      <c r="Q804" s="136">
        <f t="shared" ca="1" si="228"/>
        <v>33.010045903974124</v>
      </c>
      <c r="R804" s="136">
        <f t="shared" ca="1" si="229"/>
        <v>3.3010045903974126</v>
      </c>
      <c r="S804" s="136">
        <f t="shared" ca="1" si="230"/>
        <v>3.3010045903974126</v>
      </c>
      <c r="T804" s="104">
        <f t="shared" ca="1" si="231"/>
        <v>9.3190049338300365E-9</v>
      </c>
      <c r="U804" s="120">
        <f t="shared" ca="1" si="232"/>
        <v>1263.3671890482913</v>
      </c>
      <c r="V804" s="104">
        <f t="shared" ca="1" si="233"/>
        <v>3.5665885173951257E-6</v>
      </c>
      <c r="W804" s="133">
        <f t="shared" ca="1" si="234"/>
        <v>4355.1997829232987</v>
      </c>
      <c r="X804" s="104">
        <f t="shared" ca="1" si="235"/>
        <v>1.2295083861119837E-5</v>
      </c>
    </row>
    <row r="805" spans="1:24" x14ac:dyDescent="0.2">
      <c r="A805" s="98">
        <v>1</v>
      </c>
      <c r="B805" s="98">
        <v>3</v>
      </c>
      <c r="C805" s="98">
        <f t="shared" si="217"/>
        <v>8</v>
      </c>
      <c r="D805" s="98">
        <f t="shared" si="218"/>
        <v>7</v>
      </c>
      <c r="E805" s="98">
        <f t="shared" si="219"/>
        <v>1</v>
      </c>
      <c r="F805" s="118">
        <f t="shared" ca="1" si="220"/>
        <v>9.5331599999999989E-3</v>
      </c>
      <c r="G805" s="98">
        <v>0</v>
      </c>
      <c r="H805" s="98">
        <v>0</v>
      </c>
      <c r="I805" s="98">
        <v>1</v>
      </c>
      <c r="J805" s="118">
        <f t="shared" ca="1" si="221"/>
        <v>5.1953125000000272E-9</v>
      </c>
      <c r="K805" s="118">
        <f t="shared" ca="1" si="222"/>
        <v>4.9527745312500253E-11</v>
      </c>
      <c r="L805" s="133">
        <f t="shared" ca="1" si="223"/>
        <v>12</v>
      </c>
      <c r="M805" s="130">
        <f t="shared" ca="1" si="224"/>
        <v>988</v>
      </c>
      <c r="N805" s="100">
        <f t="shared" ca="1" si="225"/>
        <v>5</v>
      </c>
      <c r="O805" s="136">
        <f t="shared" ca="1" si="226"/>
        <v>3.301004590397413</v>
      </c>
      <c r="P805" s="136">
        <f t="shared" ca="1" si="227"/>
        <v>33.010045903974124</v>
      </c>
      <c r="Q805" s="136">
        <f t="shared" ca="1" si="228"/>
        <v>33.010045903974124</v>
      </c>
      <c r="R805" s="136">
        <f t="shared" ca="1" si="229"/>
        <v>3.3010045903974126</v>
      </c>
      <c r="S805" s="136">
        <f t="shared" ca="1" si="230"/>
        <v>3.3010045903974126</v>
      </c>
      <c r="T805" s="104">
        <f t="shared" ca="1" si="231"/>
        <v>1.6349131462859726E-10</v>
      </c>
      <c r="U805" s="120">
        <f t="shared" ca="1" si="232"/>
        <v>1251.3671890482913</v>
      </c>
      <c r="V805" s="104">
        <f t="shared" ca="1" si="233"/>
        <v>6.1977395431603127E-8</v>
      </c>
      <c r="W805" s="133">
        <f t="shared" ca="1" si="234"/>
        <v>2177.5998914616493</v>
      </c>
      <c r="X805" s="104">
        <f t="shared" ca="1" si="235"/>
        <v>1.0785161281684076E-7</v>
      </c>
    </row>
    <row r="806" spans="1:24" x14ac:dyDescent="0.2">
      <c r="A806" s="98">
        <v>1</v>
      </c>
      <c r="B806" s="98">
        <v>3</v>
      </c>
      <c r="C806" s="98">
        <f t="shared" si="217"/>
        <v>8</v>
      </c>
      <c r="D806" s="98">
        <f t="shared" si="218"/>
        <v>7</v>
      </c>
      <c r="E806" s="98">
        <f t="shared" si="219"/>
        <v>1</v>
      </c>
      <c r="F806" s="118">
        <f t="shared" ca="1" si="220"/>
        <v>9.5331599999999989E-3</v>
      </c>
      <c r="G806" s="98">
        <v>0</v>
      </c>
      <c r="H806" s="98">
        <v>0</v>
      </c>
      <c r="I806" s="98">
        <v>0</v>
      </c>
      <c r="J806" s="118">
        <f t="shared" ca="1" si="221"/>
        <v>3.9062500000000246E-11</v>
      </c>
      <c r="K806" s="118">
        <f t="shared" ca="1" si="222"/>
        <v>3.7238906250000233E-13</v>
      </c>
      <c r="L806" s="133">
        <f t="shared" ca="1" si="223"/>
        <v>0</v>
      </c>
      <c r="M806" s="130">
        <f t="shared" ca="1" si="224"/>
        <v>1000</v>
      </c>
      <c r="N806" s="100">
        <f t="shared" ca="1" si="225"/>
        <v>5</v>
      </c>
      <c r="O806" s="136">
        <f t="shared" ca="1" si="226"/>
        <v>3.301004590397413</v>
      </c>
      <c r="P806" s="136">
        <f t="shared" ca="1" si="227"/>
        <v>33.010045903974124</v>
      </c>
      <c r="Q806" s="136">
        <f t="shared" ca="1" si="228"/>
        <v>33.010045903974124</v>
      </c>
      <c r="R806" s="136">
        <f t="shared" ca="1" si="229"/>
        <v>3.3010045903974126</v>
      </c>
      <c r="S806" s="136">
        <f t="shared" ca="1" si="230"/>
        <v>3.3010045903974126</v>
      </c>
      <c r="T806" s="104">
        <f t="shared" ca="1" si="231"/>
        <v>1.2292580047262966E-12</v>
      </c>
      <c r="U806" s="120">
        <f t="shared" ca="1" si="232"/>
        <v>1239.3671890482913</v>
      </c>
      <c r="V806" s="104">
        <f t="shared" ca="1" si="233"/>
        <v>4.6152678562295634E-10</v>
      </c>
      <c r="W806" s="133">
        <f t="shared" ca="1" si="234"/>
        <v>0</v>
      </c>
      <c r="X806" s="104">
        <f t="shared" ca="1" si="235"/>
        <v>0</v>
      </c>
    </row>
    <row r="807" spans="1:24" x14ac:dyDescent="0.2">
      <c r="A807" s="98">
        <v>2</v>
      </c>
      <c r="B807" s="98">
        <v>0</v>
      </c>
      <c r="C807" s="98">
        <f t="shared" ref="C807:C870" si="236">MIN(8, 1+$B$543+$B$542+A807+B807)</f>
        <v>6</v>
      </c>
      <c r="D807" s="98">
        <f t="shared" ref="D807:D870" si="237">C807-(1+$B$543)</f>
        <v>5</v>
      </c>
      <c r="E807" s="98">
        <f t="shared" ref="E807:E870" si="238">MIN(A807, C807-(1+$B$543+$B$542))</f>
        <v>2</v>
      </c>
      <c r="F807" s="118">
        <f t="shared" ref="F807:F870" ca="1" si="239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4.9318214399999991E-2</v>
      </c>
      <c r="G807" s="98">
        <v>1</v>
      </c>
      <c r="H807" s="98">
        <v>1</v>
      </c>
      <c r="I807" s="98">
        <v>7</v>
      </c>
      <c r="J807" s="118">
        <f t="shared" ref="J807:J870" si="240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18">
        <f t="shared" ref="K807:K870" ca="1" si="241">F807*J807</f>
        <v>0</v>
      </c>
      <c r="L807" s="133">
        <f t="shared" ref="L807:L870" ca="1" si="242">MAX((G807+H807)*Set2WSTP + I807*$B$539, Set2SaveTP)</f>
        <v>420</v>
      </c>
      <c r="M807" s="130">
        <f t="shared" ref="M807:M870" ca="1" si="243">MAX(Set2MinTP-(L807+Set2Regain), 0)</f>
        <v>580</v>
      </c>
      <c r="N807" s="100">
        <f t="shared" ref="N807:N870" ca="1" si="244">CEILING(M807/Set2MeleeTP, 1)</f>
        <v>3</v>
      </c>
      <c r="O807" s="136">
        <f t="shared" ref="O807:O870" ca="1" si="245">VLOOKUP(N807, AvgRoundsSet2, 2)</f>
        <v>2.1177215542739054</v>
      </c>
      <c r="P807" s="136">
        <f t="shared" ref="P807:P870" ca="1" si="246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21.177215542739059</v>
      </c>
      <c r="Q807" s="136">
        <f t="shared" ref="Q807:Q870" ca="1" si="247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21.177215542739059</v>
      </c>
      <c r="R807" s="136">
        <f t="shared" ref="R807:R870" ca="1" si="248">(P807+Q807)/20</f>
        <v>2.1177215542739058</v>
      </c>
      <c r="S807" s="136">
        <f t="shared" ref="S807:S870" ca="1" si="249">R807*Set2ConserveTP + O807*(1-Set2ConserveTP)</f>
        <v>2.1177215542739054</v>
      </c>
      <c r="T807" s="104">
        <f t="shared" ref="T807:T870" ca="1" si="250">K807*S807</f>
        <v>0</v>
      </c>
      <c r="U807" s="120">
        <f t="shared" ref="U807:U870" ca="1" si="251">MIN(L807+(S807+Set2OverTP)*AvgHitsPerRound2*Set2MeleeTP + Set2Regain + 105*Set2ConserveTP, 3000)</f>
        <v>1227.5224659982036</v>
      </c>
      <c r="V807" s="104">
        <f t="shared" ref="V807:V870" ca="1" si="252">U807*K807</f>
        <v>0</v>
      </c>
      <c r="W807" s="133">
        <f t="shared" ref="W807:W870" ca="1" si="253">G807*$K$543*((1-$L$543)*$L$547 + $L$543*$M$547*$M$543)*Set2WSDmg + H807*$K$546*((1-$L$546)*$L$547 + $L$546*$M$547*$M$544) + I807*$K$544*((1-$L$544)*$L$547 + $L$544*$M$547*$M$544) + E807*$K$545*$L$545*$M$543</f>
        <v>19881.48700904486</v>
      </c>
      <c r="X807" s="104">
        <f t="shared" ref="X807:X870" ca="1" si="254">K807*W807</f>
        <v>0</v>
      </c>
    </row>
    <row r="808" spans="1:24" x14ac:dyDescent="0.2">
      <c r="A808" s="98">
        <v>2</v>
      </c>
      <c r="B808" s="98">
        <v>0</v>
      </c>
      <c r="C808" s="98">
        <f t="shared" si="236"/>
        <v>6</v>
      </c>
      <c r="D808" s="98">
        <f t="shared" si="237"/>
        <v>5</v>
      </c>
      <c r="E808" s="98">
        <f t="shared" si="238"/>
        <v>2</v>
      </c>
      <c r="F808" s="118">
        <f t="shared" ca="1" si="239"/>
        <v>4.9318214399999991E-2</v>
      </c>
      <c r="G808" s="98">
        <v>1</v>
      </c>
      <c r="H808" s="98">
        <v>1</v>
      </c>
      <c r="I808" s="98">
        <v>6</v>
      </c>
      <c r="J808" s="118">
        <f t="shared" si="240"/>
        <v>0</v>
      </c>
      <c r="K808" s="118">
        <f t="shared" ca="1" si="241"/>
        <v>0</v>
      </c>
      <c r="L808" s="133">
        <f t="shared" ca="1" si="242"/>
        <v>408</v>
      </c>
      <c r="M808" s="130">
        <f t="shared" ca="1" si="243"/>
        <v>592</v>
      </c>
      <c r="N808" s="100">
        <f t="shared" ca="1" si="244"/>
        <v>3</v>
      </c>
      <c r="O808" s="136">
        <f t="shared" ca="1" si="245"/>
        <v>2.1177215542739054</v>
      </c>
      <c r="P808" s="136">
        <f t="shared" ca="1" si="246"/>
        <v>21.177215542739059</v>
      </c>
      <c r="Q808" s="136">
        <f t="shared" ca="1" si="247"/>
        <v>21.177215542739059</v>
      </c>
      <c r="R808" s="136">
        <f t="shared" ca="1" si="248"/>
        <v>2.1177215542739058</v>
      </c>
      <c r="S808" s="136">
        <f t="shared" ca="1" si="249"/>
        <v>2.1177215542739054</v>
      </c>
      <c r="T808" s="104">
        <f t="shared" ca="1" si="250"/>
        <v>0</v>
      </c>
      <c r="U808" s="120">
        <f t="shared" ca="1" si="251"/>
        <v>1215.5224659982036</v>
      </c>
      <c r="V808" s="104">
        <f t="shared" ca="1" si="252"/>
        <v>0</v>
      </c>
      <c r="W808" s="133">
        <f t="shared" ca="1" si="253"/>
        <v>17703.88711758321</v>
      </c>
      <c r="X808" s="104">
        <f t="shared" ca="1" si="254"/>
        <v>0</v>
      </c>
    </row>
    <row r="809" spans="1:24" x14ac:dyDescent="0.2">
      <c r="A809" s="98">
        <v>2</v>
      </c>
      <c r="B809" s="98">
        <v>0</v>
      </c>
      <c r="C809" s="98">
        <f t="shared" si="236"/>
        <v>6</v>
      </c>
      <c r="D809" s="98">
        <f t="shared" si="237"/>
        <v>5</v>
      </c>
      <c r="E809" s="98">
        <f t="shared" si="238"/>
        <v>2</v>
      </c>
      <c r="F809" s="118">
        <f t="shared" ca="1" si="239"/>
        <v>4.9318214399999991E-2</v>
      </c>
      <c r="G809" s="98">
        <v>1</v>
      </c>
      <c r="H809" s="98">
        <v>1</v>
      </c>
      <c r="I809" s="98">
        <v>5</v>
      </c>
      <c r="J809" s="118">
        <f t="shared" ca="1" si="240"/>
        <v>0</v>
      </c>
      <c r="K809" s="118">
        <f t="shared" ca="1" si="241"/>
        <v>0</v>
      </c>
      <c r="L809" s="133">
        <f t="shared" ca="1" si="242"/>
        <v>396</v>
      </c>
      <c r="M809" s="130">
        <f t="shared" ca="1" si="243"/>
        <v>604</v>
      </c>
      <c r="N809" s="100">
        <f t="shared" ca="1" si="244"/>
        <v>3</v>
      </c>
      <c r="O809" s="136">
        <f t="shared" ca="1" si="245"/>
        <v>2.1177215542739054</v>
      </c>
      <c r="P809" s="136">
        <f t="shared" ca="1" si="246"/>
        <v>21.177215542739059</v>
      </c>
      <c r="Q809" s="136">
        <f t="shared" ca="1" si="247"/>
        <v>21.177215542739059</v>
      </c>
      <c r="R809" s="136">
        <f t="shared" ca="1" si="248"/>
        <v>2.1177215542739058</v>
      </c>
      <c r="S809" s="136">
        <f t="shared" ca="1" si="249"/>
        <v>2.1177215542739054</v>
      </c>
      <c r="T809" s="104">
        <f t="shared" ca="1" si="250"/>
        <v>0</v>
      </c>
      <c r="U809" s="120">
        <f t="shared" ca="1" si="251"/>
        <v>1203.5224659982036</v>
      </c>
      <c r="V809" s="104">
        <f t="shared" ca="1" si="252"/>
        <v>0</v>
      </c>
      <c r="W809" s="133">
        <f t="shared" ca="1" si="253"/>
        <v>15526.28722612156</v>
      </c>
      <c r="X809" s="104">
        <f t="shared" ca="1" si="254"/>
        <v>0</v>
      </c>
    </row>
    <row r="810" spans="1:24" x14ac:dyDescent="0.2">
      <c r="A810" s="98">
        <v>2</v>
      </c>
      <c r="B810" s="98">
        <v>0</v>
      </c>
      <c r="C810" s="98">
        <f t="shared" si="236"/>
        <v>6</v>
      </c>
      <c r="D810" s="98">
        <f t="shared" si="237"/>
        <v>5</v>
      </c>
      <c r="E810" s="98">
        <f t="shared" si="238"/>
        <v>2</v>
      </c>
      <c r="F810" s="118">
        <f t="shared" ca="1" si="239"/>
        <v>4.9318214399999991E-2</v>
      </c>
      <c r="G810" s="98">
        <v>1</v>
      </c>
      <c r="H810" s="98">
        <v>1</v>
      </c>
      <c r="I810" s="98">
        <v>4</v>
      </c>
      <c r="J810" s="118">
        <f t="shared" ca="1" si="240"/>
        <v>0</v>
      </c>
      <c r="K810" s="118">
        <f t="shared" ca="1" si="241"/>
        <v>0</v>
      </c>
      <c r="L810" s="133">
        <f t="shared" ca="1" si="242"/>
        <v>384</v>
      </c>
      <c r="M810" s="130">
        <f t="shared" ca="1" si="243"/>
        <v>616</v>
      </c>
      <c r="N810" s="100">
        <f t="shared" ca="1" si="244"/>
        <v>3</v>
      </c>
      <c r="O810" s="136">
        <f t="shared" ca="1" si="245"/>
        <v>2.1177215542739054</v>
      </c>
      <c r="P810" s="136">
        <f t="shared" ca="1" si="246"/>
        <v>21.177215542739059</v>
      </c>
      <c r="Q810" s="136">
        <f t="shared" ca="1" si="247"/>
        <v>21.177215542739059</v>
      </c>
      <c r="R810" s="136">
        <f t="shared" ca="1" si="248"/>
        <v>2.1177215542739058</v>
      </c>
      <c r="S810" s="136">
        <f t="shared" ca="1" si="249"/>
        <v>2.1177215542739054</v>
      </c>
      <c r="T810" s="104">
        <f t="shared" ca="1" si="250"/>
        <v>0</v>
      </c>
      <c r="U810" s="120">
        <f t="shared" ca="1" si="251"/>
        <v>1191.5224659982036</v>
      </c>
      <c r="V810" s="104">
        <f t="shared" ca="1" si="252"/>
        <v>0</v>
      </c>
      <c r="W810" s="133">
        <f t="shared" ca="1" si="253"/>
        <v>13348.68733465991</v>
      </c>
      <c r="X810" s="104">
        <f t="shared" ca="1" si="254"/>
        <v>0</v>
      </c>
    </row>
    <row r="811" spans="1:24" x14ac:dyDescent="0.2">
      <c r="A811" s="98">
        <v>2</v>
      </c>
      <c r="B811" s="98">
        <v>0</v>
      </c>
      <c r="C811" s="98">
        <f t="shared" si="236"/>
        <v>6</v>
      </c>
      <c r="D811" s="98">
        <f t="shared" si="237"/>
        <v>5</v>
      </c>
      <c r="E811" s="98">
        <f t="shared" si="238"/>
        <v>2</v>
      </c>
      <c r="F811" s="118">
        <f t="shared" ca="1" si="239"/>
        <v>4.9318214399999991E-2</v>
      </c>
      <c r="G811" s="98">
        <v>1</v>
      </c>
      <c r="H811" s="98">
        <v>1</v>
      </c>
      <c r="I811" s="98">
        <v>3</v>
      </c>
      <c r="J811" s="118">
        <f t="shared" ca="1" si="240"/>
        <v>0</v>
      </c>
      <c r="K811" s="118">
        <f t="shared" ca="1" si="241"/>
        <v>0</v>
      </c>
      <c r="L811" s="133">
        <f t="shared" ca="1" si="242"/>
        <v>372</v>
      </c>
      <c r="M811" s="130">
        <f t="shared" ca="1" si="243"/>
        <v>628</v>
      </c>
      <c r="N811" s="100">
        <f t="shared" ca="1" si="244"/>
        <v>3</v>
      </c>
      <c r="O811" s="136">
        <f t="shared" ca="1" si="245"/>
        <v>2.1177215542739054</v>
      </c>
      <c r="P811" s="136">
        <f t="shared" ca="1" si="246"/>
        <v>21.177215542739059</v>
      </c>
      <c r="Q811" s="136">
        <f t="shared" ca="1" si="247"/>
        <v>21.177215542739059</v>
      </c>
      <c r="R811" s="136">
        <f t="shared" ca="1" si="248"/>
        <v>2.1177215542739058</v>
      </c>
      <c r="S811" s="136">
        <f t="shared" ca="1" si="249"/>
        <v>2.1177215542739054</v>
      </c>
      <c r="T811" s="104">
        <f t="shared" ca="1" si="250"/>
        <v>0</v>
      </c>
      <c r="U811" s="120">
        <f t="shared" ca="1" si="251"/>
        <v>1179.5224659982036</v>
      </c>
      <c r="V811" s="104">
        <f t="shared" ca="1" si="252"/>
        <v>0</v>
      </c>
      <c r="W811" s="133">
        <f t="shared" ca="1" si="253"/>
        <v>11171.087443198263</v>
      </c>
      <c r="X811" s="104">
        <f t="shared" ca="1" si="254"/>
        <v>0</v>
      </c>
    </row>
    <row r="812" spans="1:24" x14ac:dyDescent="0.2">
      <c r="A812" s="98">
        <v>2</v>
      </c>
      <c r="B812" s="98">
        <v>0</v>
      </c>
      <c r="C812" s="98">
        <f t="shared" si="236"/>
        <v>6</v>
      </c>
      <c r="D812" s="98">
        <f t="shared" si="237"/>
        <v>5</v>
      </c>
      <c r="E812" s="98">
        <f t="shared" si="238"/>
        <v>2</v>
      </c>
      <c r="F812" s="118">
        <f t="shared" ca="1" si="239"/>
        <v>4.9318214399999991E-2</v>
      </c>
      <c r="G812" s="98">
        <v>1</v>
      </c>
      <c r="H812" s="98">
        <v>1</v>
      </c>
      <c r="I812" s="98">
        <v>2</v>
      </c>
      <c r="J812" s="118">
        <f t="shared" ca="1" si="240"/>
        <v>0</v>
      </c>
      <c r="K812" s="118">
        <f t="shared" ca="1" si="241"/>
        <v>0</v>
      </c>
      <c r="L812" s="133">
        <f t="shared" ca="1" si="242"/>
        <v>360</v>
      </c>
      <c r="M812" s="130">
        <f t="shared" ca="1" si="243"/>
        <v>640</v>
      </c>
      <c r="N812" s="100">
        <f t="shared" ca="1" si="244"/>
        <v>3</v>
      </c>
      <c r="O812" s="136">
        <f t="shared" ca="1" si="245"/>
        <v>2.1177215542739054</v>
      </c>
      <c r="P812" s="136">
        <f t="shared" ca="1" si="246"/>
        <v>21.177215542739059</v>
      </c>
      <c r="Q812" s="136">
        <f t="shared" ca="1" si="247"/>
        <v>21.177215542739059</v>
      </c>
      <c r="R812" s="136">
        <f t="shared" ca="1" si="248"/>
        <v>2.1177215542739058</v>
      </c>
      <c r="S812" s="136">
        <f t="shared" ca="1" si="249"/>
        <v>2.1177215542739054</v>
      </c>
      <c r="T812" s="104">
        <f t="shared" ca="1" si="250"/>
        <v>0</v>
      </c>
      <c r="U812" s="120">
        <f t="shared" ca="1" si="251"/>
        <v>1167.5224659982036</v>
      </c>
      <c r="V812" s="104">
        <f t="shared" ca="1" si="252"/>
        <v>0</v>
      </c>
      <c r="W812" s="133">
        <f t="shared" ca="1" si="253"/>
        <v>8993.4875517366127</v>
      </c>
      <c r="X812" s="104">
        <f t="shared" ca="1" si="254"/>
        <v>0</v>
      </c>
    </row>
    <row r="813" spans="1:24" x14ac:dyDescent="0.2">
      <c r="A813" s="98">
        <v>2</v>
      </c>
      <c r="B813" s="98">
        <v>0</v>
      </c>
      <c r="C813" s="98">
        <f t="shared" si="236"/>
        <v>6</v>
      </c>
      <c r="D813" s="98">
        <f t="shared" si="237"/>
        <v>5</v>
      </c>
      <c r="E813" s="98">
        <f t="shared" si="238"/>
        <v>2</v>
      </c>
      <c r="F813" s="118">
        <f t="shared" ca="1" si="239"/>
        <v>4.9318214399999991E-2</v>
      </c>
      <c r="G813" s="98">
        <v>1</v>
      </c>
      <c r="H813" s="98">
        <v>1</v>
      </c>
      <c r="I813" s="98">
        <v>1</v>
      </c>
      <c r="J813" s="118">
        <f t="shared" ca="1" si="240"/>
        <v>0</v>
      </c>
      <c r="K813" s="118">
        <f t="shared" ca="1" si="241"/>
        <v>0</v>
      </c>
      <c r="L813" s="133">
        <f t="shared" ca="1" si="242"/>
        <v>348</v>
      </c>
      <c r="M813" s="130">
        <f t="shared" ca="1" si="243"/>
        <v>652</v>
      </c>
      <c r="N813" s="100">
        <f t="shared" ca="1" si="244"/>
        <v>4</v>
      </c>
      <c r="O813" s="136">
        <f t="shared" ca="1" si="245"/>
        <v>2.6973744602864622</v>
      </c>
      <c r="P813" s="136">
        <f t="shared" ca="1" si="246"/>
        <v>21.177215542739059</v>
      </c>
      <c r="Q813" s="136">
        <f t="shared" ca="1" si="247"/>
        <v>21.177215542739059</v>
      </c>
      <c r="R813" s="136">
        <f t="shared" ca="1" si="248"/>
        <v>2.1177215542739058</v>
      </c>
      <c r="S813" s="136">
        <f t="shared" ca="1" si="249"/>
        <v>2.5060890013023185</v>
      </c>
      <c r="T813" s="104">
        <f t="shared" ca="1" si="250"/>
        <v>0</v>
      </c>
      <c r="U813" s="120">
        <f t="shared" ca="1" si="251"/>
        <v>1297.2589968903351</v>
      </c>
      <c r="V813" s="104">
        <f t="shared" ca="1" si="252"/>
        <v>0</v>
      </c>
      <c r="W813" s="133">
        <f t="shared" ca="1" si="253"/>
        <v>6815.8876602749624</v>
      </c>
      <c r="X813" s="104">
        <f t="shared" ca="1" si="254"/>
        <v>0</v>
      </c>
    </row>
    <row r="814" spans="1:24" x14ac:dyDescent="0.2">
      <c r="A814" s="98">
        <v>2</v>
      </c>
      <c r="B814" s="98">
        <v>0</v>
      </c>
      <c r="C814" s="98">
        <f t="shared" si="236"/>
        <v>6</v>
      </c>
      <c r="D814" s="98">
        <f t="shared" si="237"/>
        <v>5</v>
      </c>
      <c r="E814" s="98">
        <f t="shared" si="238"/>
        <v>2</v>
      </c>
      <c r="F814" s="118">
        <f t="shared" ca="1" si="239"/>
        <v>4.9318214399999991E-2</v>
      </c>
      <c r="G814" s="98">
        <v>1</v>
      </c>
      <c r="H814" s="98">
        <v>1</v>
      </c>
      <c r="I814" s="98">
        <v>0</v>
      </c>
      <c r="J814" s="118">
        <f t="shared" ca="1" si="240"/>
        <v>0</v>
      </c>
      <c r="K814" s="118">
        <f t="shared" ca="1" si="241"/>
        <v>0</v>
      </c>
      <c r="L814" s="133">
        <f t="shared" ca="1" si="242"/>
        <v>336</v>
      </c>
      <c r="M814" s="130">
        <f t="shared" ca="1" si="243"/>
        <v>664</v>
      </c>
      <c r="N814" s="100">
        <f t="shared" ca="1" si="244"/>
        <v>4</v>
      </c>
      <c r="O814" s="136">
        <f t="shared" ca="1" si="245"/>
        <v>2.6973744602864622</v>
      </c>
      <c r="P814" s="136">
        <f t="shared" ca="1" si="246"/>
        <v>26.973744602864617</v>
      </c>
      <c r="Q814" s="136">
        <f t="shared" ca="1" si="247"/>
        <v>22.336521354764173</v>
      </c>
      <c r="R814" s="136">
        <f t="shared" ca="1" si="248"/>
        <v>2.4655132978814391</v>
      </c>
      <c r="S814" s="136">
        <f t="shared" ca="1" si="249"/>
        <v>2.6208602766928046</v>
      </c>
      <c r="T814" s="104">
        <f t="shared" ca="1" si="250"/>
        <v>0</v>
      </c>
      <c r="U814" s="120">
        <f t="shared" ca="1" si="251"/>
        <v>1327.1453149748754</v>
      </c>
      <c r="V814" s="104">
        <f t="shared" ca="1" si="252"/>
        <v>0</v>
      </c>
      <c r="W814" s="133">
        <f t="shared" ca="1" si="253"/>
        <v>4638.2877688133131</v>
      </c>
      <c r="X814" s="104">
        <f t="shared" ca="1" si="254"/>
        <v>0</v>
      </c>
    </row>
    <row r="815" spans="1:24" x14ac:dyDescent="0.2">
      <c r="A815" s="98">
        <v>2</v>
      </c>
      <c r="B815" s="98">
        <v>0</v>
      </c>
      <c r="C815" s="98">
        <f t="shared" si="236"/>
        <v>6</v>
      </c>
      <c r="D815" s="98">
        <f t="shared" si="237"/>
        <v>5</v>
      </c>
      <c r="E815" s="98">
        <f t="shared" si="238"/>
        <v>2</v>
      </c>
      <c r="F815" s="118">
        <f t="shared" ca="1" si="239"/>
        <v>4.9318214399999991E-2</v>
      </c>
      <c r="G815" s="98">
        <v>1</v>
      </c>
      <c r="H815" s="98">
        <v>0</v>
      </c>
      <c r="I815" s="98">
        <v>7</v>
      </c>
      <c r="J815" s="118">
        <f t="shared" si="240"/>
        <v>0</v>
      </c>
      <c r="K815" s="118">
        <f t="shared" ca="1" si="241"/>
        <v>0</v>
      </c>
      <c r="L815" s="133">
        <f t="shared" ca="1" si="242"/>
        <v>252</v>
      </c>
      <c r="M815" s="130">
        <f t="shared" ca="1" si="243"/>
        <v>748</v>
      </c>
      <c r="N815" s="100">
        <f t="shared" ca="1" si="244"/>
        <v>4</v>
      </c>
      <c r="O815" s="136">
        <f t="shared" ca="1" si="245"/>
        <v>2.6973744602864622</v>
      </c>
      <c r="P815" s="136">
        <f t="shared" ca="1" si="246"/>
        <v>26.973744602864617</v>
      </c>
      <c r="Q815" s="136">
        <f t="shared" ca="1" si="247"/>
        <v>26.973744602864617</v>
      </c>
      <c r="R815" s="136">
        <f t="shared" ca="1" si="248"/>
        <v>2.6973744602864618</v>
      </c>
      <c r="S815" s="136">
        <f t="shared" ca="1" si="249"/>
        <v>2.6973744602864622</v>
      </c>
      <c r="T815" s="104">
        <f t="shared" ca="1" si="250"/>
        <v>0</v>
      </c>
      <c r="U815" s="120">
        <f t="shared" ca="1" si="251"/>
        <v>1271.0695270312358</v>
      </c>
      <c r="V815" s="104">
        <f t="shared" ca="1" si="252"/>
        <v>0</v>
      </c>
      <c r="W815" s="133">
        <f t="shared" ca="1" si="253"/>
        <v>17703.88711758321</v>
      </c>
      <c r="X815" s="104">
        <f t="shared" ca="1" si="254"/>
        <v>0</v>
      </c>
    </row>
    <row r="816" spans="1:24" x14ac:dyDescent="0.2">
      <c r="A816" s="98">
        <v>2</v>
      </c>
      <c r="B816" s="98">
        <v>0</v>
      </c>
      <c r="C816" s="98">
        <f t="shared" si="236"/>
        <v>6</v>
      </c>
      <c r="D816" s="98">
        <f t="shared" si="237"/>
        <v>5</v>
      </c>
      <c r="E816" s="98">
        <f t="shared" si="238"/>
        <v>2</v>
      </c>
      <c r="F816" s="118">
        <f t="shared" ca="1" si="239"/>
        <v>4.9318214399999991E-2</v>
      </c>
      <c r="G816" s="98">
        <v>1</v>
      </c>
      <c r="H816" s="98">
        <v>0</v>
      </c>
      <c r="I816" s="98">
        <v>6</v>
      </c>
      <c r="J816" s="118">
        <f t="shared" si="240"/>
        <v>0</v>
      </c>
      <c r="K816" s="118">
        <f t="shared" ca="1" si="241"/>
        <v>0</v>
      </c>
      <c r="L816" s="133">
        <f t="shared" ca="1" si="242"/>
        <v>240</v>
      </c>
      <c r="M816" s="130">
        <f t="shared" ca="1" si="243"/>
        <v>760</v>
      </c>
      <c r="N816" s="100">
        <f t="shared" ca="1" si="244"/>
        <v>4</v>
      </c>
      <c r="O816" s="136">
        <f t="shared" ca="1" si="245"/>
        <v>2.6973744602864622</v>
      </c>
      <c r="P816" s="136">
        <f t="shared" ca="1" si="246"/>
        <v>26.973744602864617</v>
      </c>
      <c r="Q816" s="136">
        <f t="shared" ca="1" si="247"/>
        <v>26.973744602864617</v>
      </c>
      <c r="R816" s="136">
        <f t="shared" ca="1" si="248"/>
        <v>2.6973744602864618</v>
      </c>
      <c r="S816" s="136">
        <f t="shared" ca="1" si="249"/>
        <v>2.6973744602864622</v>
      </c>
      <c r="T816" s="104">
        <f t="shared" ca="1" si="250"/>
        <v>0</v>
      </c>
      <c r="U816" s="120">
        <f t="shared" ca="1" si="251"/>
        <v>1259.0695270312358</v>
      </c>
      <c r="V816" s="104">
        <f t="shared" ca="1" si="252"/>
        <v>0</v>
      </c>
      <c r="W816" s="133">
        <f t="shared" ca="1" si="253"/>
        <v>15526.287226121562</v>
      </c>
      <c r="X816" s="104">
        <f t="shared" ca="1" si="254"/>
        <v>0</v>
      </c>
    </row>
    <row r="817" spans="1:24" x14ac:dyDescent="0.2">
      <c r="A817" s="98">
        <v>2</v>
      </c>
      <c r="B817" s="98">
        <v>0</v>
      </c>
      <c r="C817" s="98">
        <f t="shared" si="236"/>
        <v>6</v>
      </c>
      <c r="D817" s="98">
        <f t="shared" si="237"/>
        <v>5</v>
      </c>
      <c r="E817" s="98">
        <f t="shared" si="238"/>
        <v>2</v>
      </c>
      <c r="F817" s="118">
        <f t="shared" ca="1" si="239"/>
        <v>4.9318214399999991E-2</v>
      </c>
      <c r="G817" s="98">
        <v>1</v>
      </c>
      <c r="H817" s="98">
        <v>0</v>
      </c>
      <c r="I817" s="98">
        <v>5</v>
      </c>
      <c r="J817" s="118">
        <f t="shared" ca="1" si="240"/>
        <v>0.73509189062499991</v>
      </c>
      <c r="K817" s="118">
        <f t="shared" ca="1" si="241"/>
        <v>3.6253419465545091E-2</v>
      </c>
      <c r="L817" s="133">
        <f t="shared" ca="1" si="242"/>
        <v>228</v>
      </c>
      <c r="M817" s="130">
        <f t="shared" ca="1" si="243"/>
        <v>772</v>
      </c>
      <c r="N817" s="100">
        <f t="shared" ca="1" si="244"/>
        <v>4</v>
      </c>
      <c r="O817" s="136">
        <f t="shared" ca="1" si="245"/>
        <v>2.6973744602864622</v>
      </c>
      <c r="P817" s="136">
        <f t="shared" ca="1" si="246"/>
        <v>26.973744602864617</v>
      </c>
      <c r="Q817" s="136">
        <f t="shared" ca="1" si="247"/>
        <v>26.973744602864617</v>
      </c>
      <c r="R817" s="136">
        <f t="shared" ca="1" si="248"/>
        <v>2.6973744602864618</v>
      </c>
      <c r="S817" s="136">
        <f t="shared" ca="1" si="249"/>
        <v>2.6973744602864622</v>
      </c>
      <c r="T817" s="104">
        <f t="shared" ca="1" si="250"/>
        <v>9.7789047764413412E-2</v>
      </c>
      <c r="U817" s="120">
        <f t="shared" ca="1" si="251"/>
        <v>1247.0695270312358</v>
      </c>
      <c r="V817" s="104">
        <f t="shared" ca="1" si="252"/>
        <v>45.21053466616231</v>
      </c>
      <c r="W817" s="133">
        <f t="shared" ca="1" si="253"/>
        <v>13348.687334659911</v>
      </c>
      <c r="X817" s="104">
        <f t="shared" ca="1" si="254"/>
        <v>483.93556125783482</v>
      </c>
    </row>
    <row r="818" spans="1:24" x14ac:dyDescent="0.2">
      <c r="A818" s="98">
        <v>2</v>
      </c>
      <c r="B818" s="98">
        <v>0</v>
      </c>
      <c r="C818" s="98">
        <f t="shared" si="236"/>
        <v>6</v>
      </c>
      <c r="D818" s="98">
        <f t="shared" si="237"/>
        <v>5</v>
      </c>
      <c r="E818" s="98">
        <f t="shared" si="238"/>
        <v>2</v>
      </c>
      <c r="F818" s="118">
        <f t="shared" ca="1" si="239"/>
        <v>4.9318214399999991E-2</v>
      </c>
      <c r="G818" s="98">
        <v>1</v>
      </c>
      <c r="H818" s="98">
        <v>0</v>
      </c>
      <c r="I818" s="98">
        <v>4</v>
      </c>
      <c r="J818" s="118">
        <f t="shared" ca="1" si="240"/>
        <v>0.19344523437500014</v>
      </c>
      <c r="K818" s="118">
        <f t="shared" ca="1" si="241"/>
        <v>9.5403735435645055E-3</v>
      </c>
      <c r="L818" s="133">
        <f t="shared" ca="1" si="242"/>
        <v>216</v>
      </c>
      <c r="M818" s="130">
        <f t="shared" ca="1" si="243"/>
        <v>784</v>
      </c>
      <c r="N818" s="100">
        <f t="shared" ca="1" si="244"/>
        <v>4</v>
      </c>
      <c r="O818" s="136">
        <f t="shared" ca="1" si="245"/>
        <v>2.6973744602864622</v>
      </c>
      <c r="P818" s="136">
        <f t="shared" ca="1" si="246"/>
        <v>26.973744602864617</v>
      </c>
      <c r="Q818" s="136">
        <f t="shared" ca="1" si="247"/>
        <v>26.973744602864617</v>
      </c>
      <c r="R818" s="136">
        <f t="shared" ca="1" si="248"/>
        <v>2.6973744602864618</v>
      </c>
      <c r="S818" s="136">
        <f t="shared" ca="1" si="249"/>
        <v>2.6973744602864622</v>
      </c>
      <c r="T818" s="104">
        <f t="shared" ca="1" si="250"/>
        <v>2.5733959938003551E-2</v>
      </c>
      <c r="U818" s="120">
        <f t="shared" ca="1" si="251"/>
        <v>1235.0695270312358</v>
      </c>
      <c r="V818" s="104">
        <f t="shared" ca="1" si="252"/>
        <v>11.783024640151529</v>
      </c>
      <c r="W818" s="133">
        <f t="shared" ca="1" si="253"/>
        <v>11171.087443198261</v>
      </c>
      <c r="X818" s="104">
        <f t="shared" ca="1" si="254"/>
        <v>106.57634709593435</v>
      </c>
    </row>
    <row r="819" spans="1:24" x14ac:dyDescent="0.2">
      <c r="A819" s="98">
        <v>2</v>
      </c>
      <c r="B819" s="98">
        <v>0</v>
      </c>
      <c r="C819" s="98">
        <f t="shared" si="236"/>
        <v>6</v>
      </c>
      <c r="D819" s="98">
        <f t="shared" si="237"/>
        <v>5</v>
      </c>
      <c r="E819" s="98">
        <f t="shared" si="238"/>
        <v>2</v>
      </c>
      <c r="F819" s="118">
        <f t="shared" ca="1" si="239"/>
        <v>4.9318214399999991E-2</v>
      </c>
      <c r="G819" s="98">
        <v>1</v>
      </c>
      <c r="H819" s="98">
        <v>0</v>
      </c>
      <c r="I819" s="98">
        <v>3</v>
      </c>
      <c r="J819" s="118">
        <f t="shared" ca="1" si="240"/>
        <v>2.0362656250000031E-2</v>
      </c>
      <c r="K819" s="118">
        <f t="shared" ca="1" si="241"/>
        <v>1.0042498466910014E-3</v>
      </c>
      <c r="L819" s="133">
        <f t="shared" ca="1" si="242"/>
        <v>204</v>
      </c>
      <c r="M819" s="130">
        <f t="shared" ca="1" si="243"/>
        <v>796</v>
      </c>
      <c r="N819" s="100">
        <f t="shared" ca="1" si="244"/>
        <v>4</v>
      </c>
      <c r="O819" s="136">
        <f t="shared" ca="1" si="245"/>
        <v>2.6973744602864622</v>
      </c>
      <c r="P819" s="136">
        <f t="shared" ca="1" si="246"/>
        <v>26.973744602864617</v>
      </c>
      <c r="Q819" s="136">
        <f t="shared" ca="1" si="247"/>
        <v>26.973744602864617</v>
      </c>
      <c r="R819" s="136">
        <f t="shared" ca="1" si="248"/>
        <v>2.6973744602864618</v>
      </c>
      <c r="S819" s="136">
        <f t="shared" ca="1" si="249"/>
        <v>2.6973744602864622</v>
      </c>
      <c r="T819" s="104">
        <f t="shared" ca="1" si="250"/>
        <v>2.7088378882109024E-3</v>
      </c>
      <c r="U819" s="120">
        <f t="shared" ca="1" si="251"/>
        <v>1223.0695270312358</v>
      </c>
      <c r="V819" s="104">
        <f t="shared" ca="1" si="252"/>
        <v>1.2282673850135541</v>
      </c>
      <c r="W819" s="133">
        <f t="shared" ca="1" si="253"/>
        <v>8993.4875517366127</v>
      </c>
      <c r="X819" s="104">
        <f t="shared" ca="1" si="254"/>
        <v>9.0317084950489228</v>
      </c>
    </row>
    <row r="820" spans="1:24" x14ac:dyDescent="0.2">
      <c r="A820" s="98">
        <v>2</v>
      </c>
      <c r="B820" s="98">
        <v>0</v>
      </c>
      <c r="C820" s="98">
        <f t="shared" si="236"/>
        <v>6</v>
      </c>
      <c r="D820" s="98">
        <f t="shared" si="237"/>
        <v>5</v>
      </c>
      <c r="E820" s="98">
        <f t="shared" si="238"/>
        <v>2</v>
      </c>
      <c r="F820" s="118">
        <f t="shared" ca="1" si="239"/>
        <v>4.9318214399999991E-2</v>
      </c>
      <c r="G820" s="98">
        <v>1</v>
      </c>
      <c r="H820" s="98">
        <v>0</v>
      </c>
      <c r="I820" s="98">
        <v>2</v>
      </c>
      <c r="J820" s="118">
        <f t="shared" ca="1" si="240"/>
        <v>1.0717187500000028E-3</v>
      </c>
      <c r="K820" s="118">
        <f t="shared" ca="1" si="241"/>
        <v>5.2855255089000129E-5</v>
      </c>
      <c r="L820" s="133">
        <f t="shared" ca="1" si="242"/>
        <v>192</v>
      </c>
      <c r="M820" s="130">
        <f t="shared" ca="1" si="243"/>
        <v>808</v>
      </c>
      <c r="N820" s="100">
        <f t="shared" ca="1" si="244"/>
        <v>4</v>
      </c>
      <c r="O820" s="136">
        <f t="shared" ca="1" si="245"/>
        <v>2.6973744602864622</v>
      </c>
      <c r="P820" s="136">
        <f t="shared" ca="1" si="246"/>
        <v>26.973744602864617</v>
      </c>
      <c r="Q820" s="136">
        <f t="shared" ca="1" si="247"/>
        <v>26.973744602864617</v>
      </c>
      <c r="R820" s="136">
        <f t="shared" ca="1" si="248"/>
        <v>2.6973744602864618</v>
      </c>
      <c r="S820" s="136">
        <f t="shared" ca="1" si="249"/>
        <v>2.6973744602864622</v>
      </c>
      <c r="T820" s="104">
        <f t="shared" ca="1" si="250"/>
        <v>1.4257041516899501E-4</v>
      </c>
      <c r="U820" s="120">
        <f t="shared" ca="1" si="251"/>
        <v>1211.0695270312358</v>
      </c>
      <c r="V820" s="104">
        <f t="shared" ca="1" si="252"/>
        <v>6.4011388781750708E-2</v>
      </c>
      <c r="W820" s="133">
        <f t="shared" ca="1" si="253"/>
        <v>6815.8876602749624</v>
      </c>
      <c r="X820" s="104">
        <f t="shared" ca="1" si="254"/>
        <v>0.36025548094180138</v>
      </c>
    </row>
    <row r="821" spans="1:24" x14ac:dyDescent="0.2">
      <c r="A821" s="98">
        <v>2</v>
      </c>
      <c r="B821" s="98">
        <v>0</v>
      </c>
      <c r="C821" s="98">
        <f t="shared" si="236"/>
        <v>6</v>
      </c>
      <c r="D821" s="98">
        <f t="shared" si="237"/>
        <v>5</v>
      </c>
      <c r="E821" s="98">
        <f t="shared" si="238"/>
        <v>2</v>
      </c>
      <c r="F821" s="118">
        <f t="shared" ca="1" si="239"/>
        <v>4.9318214399999991E-2</v>
      </c>
      <c r="G821" s="98">
        <v>1</v>
      </c>
      <c r="H821" s="98">
        <v>0</v>
      </c>
      <c r="I821" s="98">
        <v>1</v>
      </c>
      <c r="J821" s="118">
        <f t="shared" ca="1" si="240"/>
        <v>2.8203125000000098E-5</v>
      </c>
      <c r="K821" s="118">
        <f t="shared" ca="1" si="241"/>
        <v>1.3909277655000045E-6</v>
      </c>
      <c r="L821" s="133">
        <f t="shared" ca="1" si="242"/>
        <v>180</v>
      </c>
      <c r="M821" s="130">
        <f t="shared" ca="1" si="243"/>
        <v>820</v>
      </c>
      <c r="N821" s="100">
        <f t="shared" ca="1" si="244"/>
        <v>4</v>
      </c>
      <c r="O821" s="136">
        <f t="shared" ca="1" si="245"/>
        <v>2.6973744602864622</v>
      </c>
      <c r="P821" s="136">
        <f t="shared" ca="1" si="246"/>
        <v>26.973744602864617</v>
      </c>
      <c r="Q821" s="136">
        <f t="shared" ca="1" si="247"/>
        <v>26.973744602864617</v>
      </c>
      <c r="R821" s="136">
        <f t="shared" ca="1" si="248"/>
        <v>2.6973744602864618</v>
      </c>
      <c r="S821" s="136">
        <f t="shared" ca="1" si="249"/>
        <v>2.6973744602864622</v>
      </c>
      <c r="T821" s="104">
        <f t="shared" ca="1" si="250"/>
        <v>3.7518530307630294E-6</v>
      </c>
      <c r="U821" s="120">
        <f t="shared" ca="1" si="251"/>
        <v>1199.0695270312358</v>
      </c>
      <c r="V821" s="104">
        <f t="shared" ca="1" si="252"/>
        <v>1.6678190979127041E-3</v>
      </c>
      <c r="W821" s="133">
        <f t="shared" ca="1" si="253"/>
        <v>4638.2877688133131</v>
      </c>
      <c r="X821" s="104">
        <f t="shared" ca="1" si="254"/>
        <v>6.4515232420215033E-3</v>
      </c>
    </row>
    <row r="822" spans="1:24" x14ac:dyDescent="0.2">
      <c r="A822" s="98">
        <v>2</v>
      </c>
      <c r="B822" s="98">
        <v>0</v>
      </c>
      <c r="C822" s="98">
        <f t="shared" si="236"/>
        <v>6</v>
      </c>
      <c r="D822" s="98">
        <f t="shared" si="237"/>
        <v>5</v>
      </c>
      <c r="E822" s="98">
        <f t="shared" si="238"/>
        <v>2</v>
      </c>
      <c r="F822" s="118">
        <f t="shared" ca="1" si="239"/>
        <v>4.9318214399999991E-2</v>
      </c>
      <c r="G822" s="98">
        <v>1</v>
      </c>
      <c r="H822" s="98">
        <v>0</v>
      </c>
      <c r="I822" s="98">
        <v>0</v>
      </c>
      <c r="J822" s="118">
        <f t="shared" ca="1" si="240"/>
        <v>2.9687500000000134E-7</v>
      </c>
      <c r="K822" s="118">
        <f t="shared" ca="1" si="241"/>
        <v>1.4641344900000064E-8</v>
      </c>
      <c r="L822" s="133">
        <f t="shared" ca="1" si="242"/>
        <v>168</v>
      </c>
      <c r="M822" s="130">
        <f t="shared" ca="1" si="243"/>
        <v>832</v>
      </c>
      <c r="N822" s="100">
        <f t="shared" ca="1" si="244"/>
        <v>4</v>
      </c>
      <c r="O822" s="136">
        <f t="shared" ca="1" si="245"/>
        <v>2.6973744602864622</v>
      </c>
      <c r="P822" s="136">
        <f t="shared" ca="1" si="246"/>
        <v>26.973744602864617</v>
      </c>
      <c r="Q822" s="136">
        <f t="shared" ca="1" si="247"/>
        <v>26.973744602864617</v>
      </c>
      <c r="R822" s="136">
        <f t="shared" ca="1" si="248"/>
        <v>2.6973744602864618</v>
      </c>
      <c r="S822" s="136">
        <f t="shared" ca="1" si="249"/>
        <v>2.6973744602864622</v>
      </c>
      <c r="T822" s="104">
        <f t="shared" ca="1" si="250"/>
        <v>3.949318979750562E-8</v>
      </c>
      <c r="U822" s="120">
        <f t="shared" ca="1" si="251"/>
        <v>1187.0695270312358</v>
      </c>
      <c r="V822" s="104">
        <f t="shared" ca="1" si="252"/>
        <v>1.7380294365544272E-5</v>
      </c>
      <c r="W822" s="133">
        <f t="shared" ca="1" si="253"/>
        <v>2460.6878773516637</v>
      </c>
      <c r="X822" s="104">
        <f t="shared" ca="1" si="254"/>
        <v>3.6027779903554761E-5</v>
      </c>
    </row>
    <row r="823" spans="1:24" x14ac:dyDescent="0.2">
      <c r="A823" s="98">
        <v>2</v>
      </c>
      <c r="B823" s="98">
        <v>0</v>
      </c>
      <c r="C823" s="98">
        <f t="shared" si="236"/>
        <v>6</v>
      </c>
      <c r="D823" s="98">
        <f t="shared" si="237"/>
        <v>5</v>
      </c>
      <c r="E823" s="98">
        <f t="shared" si="238"/>
        <v>2</v>
      </c>
      <c r="F823" s="118">
        <f t="shared" ca="1" si="239"/>
        <v>4.9318214399999991E-2</v>
      </c>
      <c r="G823" s="98">
        <v>0</v>
      </c>
      <c r="H823" s="98">
        <v>1</v>
      </c>
      <c r="I823" s="98">
        <v>7</v>
      </c>
      <c r="J823" s="118">
        <f t="shared" si="240"/>
        <v>0</v>
      </c>
      <c r="K823" s="118">
        <f t="shared" ca="1" si="241"/>
        <v>0</v>
      </c>
      <c r="L823" s="133">
        <f t="shared" ca="1" si="242"/>
        <v>252</v>
      </c>
      <c r="M823" s="130">
        <f t="shared" ca="1" si="243"/>
        <v>748</v>
      </c>
      <c r="N823" s="100">
        <f t="shared" ca="1" si="244"/>
        <v>4</v>
      </c>
      <c r="O823" s="136">
        <f t="shared" ca="1" si="245"/>
        <v>2.6973744602864622</v>
      </c>
      <c r="P823" s="136">
        <f t="shared" ca="1" si="246"/>
        <v>26.973744602864617</v>
      </c>
      <c r="Q823" s="136">
        <f t="shared" ca="1" si="247"/>
        <v>26.973744602864617</v>
      </c>
      <c r="R823" s="136">
        <f t="shared" ca="1" si="248"/>
        <v>2.6973744602864618</v>
      </c>
      <c r="S823" s="136">
        <f t="shared" ca="1" si="249"/>
        <v>2.6973744602864622</v>
      </c>
      <c r="T823" s="104">
        <f t="shared" ca="1" si="250"/>
        <v>0</v>
      </c>
      <c r="U823" s="120">
        <f t="shared" ca="1" si="251"/>
        <v>1271.0695270312358</v>
      </c>
      <c r="V823" s="104">
        <f t="shared" ca="1" si="252"/>
        <v>0</v>
      </c>
      <c r="W823" s="133">
        <f t="shared" ca="1" si="253"/>
        <v>17420.799131693195</v>
      </c>
      <c r="X823" s="104">
        <f t="shared" ca="1" si="254"/>
        <v>0</v>
      </c>
    </row>
    <row r="824" spans="1:24" x14ac:dyDescent="0.2">
      <c r="A824" s="98">
        <v>2</v>
      </c>
      <c r="B824" s="98">
        <v>0</v>
      </c>
      <c r="C824" s="98">
        <f t="shared" si="236"/>
        <v>6</v>
      </c>
      <c r="D824" s="98">
        <f t="shared" si="237"/>
        <v>5</v>
      </c>
      <c r="E824" s="98">
        <f t="shared" si="238"/>
        <v>2</v>
      </c>
      <c r="F824" s="118">
        <f t="shared" ca="1" si="239"/>
        <v>4.9318214399999991E-2</v>
      </c>
      <c r="G824" s="98">
        <v>0</v>
      </c>
      <c r="H824" s="98">
        <v>1</v>
      </c>
      <c r="I824" s="98">
        <v>6</v>
      </c>
      <c r="J824" s="118">
        <f t="shared" si="240"/>
        <v>0</v>
      </c>
      <c r="K824" s="118">
        <f t="shared" ca="1" si="241"/>
        <v>0</v>
      </c>
      <c r="L824" s="133">
        <f t="shared" ca="1" si="242"/>
        <v>240</v>
      </c>
      <c r="M824" s="130">
        <f t="shared" ca="1" si="243"/>
        <v>760</v>
      </c>
      <c r="N824" s="100">
        <f t="shared" ca="1" si="244"/>
        <v>4</v>
      </c>
      <c r="O824" s="136">
        <f t="shared" ca="1" si="245"/>
        <v>2.6973744602864622</v>
      </c>
      <c r="P824" s="136">
        <f t="shared" ca="1" si="246"/>
        <v>26.973744602864617</v>
      </c>
      <c r="Q824" s="136">
        <f t="shared" ca="1" si="247"/>
        <v>26.973744602864617</v>
      </c>
      <c r="R824" s="136">
        <f t="shared" ca="1" si="248"/>
        <v>2.6973744602864618</v>
      </c>
      <c r="S824" s="136">
        <f t="shared" ca="1" si="249"/>
        <v>2.6973744602864622</v>
      </c>
      <c r="T824" s="104">
        <f t="shared" ca="1" si="250"/>
        <v>0</v>
      </c>
      <c r="U824" s="120">
        <f t="shared" ca="1" si="251"/>
        <v>1259.0695270312358</v>
      </c>
      <c r="V824" s="104">
        <f t="shared" ca="1" si="252"/>
        <v>0</v>
      </c>
      <c r="W824" s="133">
        <f t="shared" ca="1" si="253"/>
        <v>15243.199240231548</v>
      </c>
      <c r="X824" s="104">
        <f t="shared" ca="1" si="254"/>
        <v>0</v>
      </c>
    </row>
    <row r="825" spans="1:24" x14ac:dyDescent="0.2">
      <c r="A825" s="98">
        <v>2</v>
      </c>
      <c r="B825" s="98">
        <v>0</v>
      </c>
      <c r="C825" s="98">
        <f t="shared" si="236"/>
        <v>6</v>
      </c>
      <c r="D825" s="98">
        <f t="shared" si="237"/>
        <v>5</v>
      </c>
      <c r="E825" s="98">
        <f t="shared" si="238"/>
        <v>2</v>
      </c>
      <c r="F825" s="118">
        <f t="shared" ca="1" si="239"/>
        <v>4.9318214399999991E-2</v>
      </c>
      <c r="G825" s="98">
        <v>0</v>
      </c>
      <c r="H825" s="98">
        <v>1</v>
      </c>
      <c r="I825" s="98">
        <v>5</v>
      </c>
      <c r="J825" s="118">
        <f t="shared" ca="1" si="240"/>
        <v>0</v>
      </c>
      <c r="K825" s="118">
        <f t="shared" ca="1" si="241"/>
        <v>0</v>
      </c>
      <c r="L825" s="133">
        <f t="shared" ca="1" si="242"/>
        <v>228</v>
      </c>
      <c r="M825" s="130">
        <f t="shared" ca="1" si="243"/>
        <v>772</v>
      </c>
      <c r="N825" s="100">
        <f t="shared" ca="1" si="244"/>
        <v>4</v>
      </c>
      <c r="O825" s="136">
        <f t="shared" ca="1" si="245"/>
        <v>2.6973744602864622</v>
      </c>
      <c r="P825" s="136">
        <f t="shared" ca="1" si="246"/>
        <v>26.973744602864617</v>
      </c>
      <c r="Q825" s="136">
        <f t="shared" ca="1" si="247"/>
        <v>26.973744602864617</v>
      </c>
      <c r="R825" s="136">
        <f t="shared" ca="1" si="248"/>
        <v>2.6973744602864618</v>
      </c>
      <c r="S825" s="136">
        <f t="shared" ca="1" si="249"/>
        <v>2.6973744602864622</v>
      </c>
      <c r="T825" s="104">
        <f t="shared" ca="1" si="250"/>
        <v>0</v>
      </c>
      <c r="U825" s="120">
        <f t="shared" ca="1" si="251"/>
        <v>1247.0695270312358</v>
      </c>
      <c r="V825" s="104">
        <f t="shared" ca="1" si="252"/>
        <v>0</v>
      </c>
      <c r="W825" s="133">
        <f t="shared" ca="1" si="253"/>
        <v>13065.599348769898</v>
      </c>
      <c r="X825" s="104">
        <f t="shared" ca="1" si="254"/>
        <v>0</v>
      </c>
    </row>
    <row r="826" spans="1:24" x14ac:dyDescent="0.2">
      <c r="A826" s="98">
        <v>2</v>
      </c>
      <c r="B826" s="98">
        <v>0</v>
      </c>
      <c r="C826" s="98">
        <f t="shared" si="236"/>
        <v>6</v>
      </c>
      <c r="D826" s="98">
        <f t="shared" si="237"/>
        <v>5</v>
      </c>
      <c r="E826" s="98">
        <f t="shared" si="238"/>
        <v>2</v>
      </c>
      <c r="F826" s="118">
        <f t="shared" ca="1" si="239"/>
        <v>4.9318214399999991E-2</v>
      </c>
      <c r="G826" s="98">
        <v>0</v>
      </c>
      <c r="H826" s="98">
        <v>1</v>
      </c>
      <c r="I826" s="98">
        <v>4</v>
      </c>
      <c r="J826" s="118">
        <f t="shared" ca="1" si="240"/>
        <v>0</v>
      </c>
      <c r="K826" s="118">
        <f t="shared" ca="1" si="241"/>
        <v>0</v>
      </c>
      <c r="L826" s="133">
        <f t="shared" ca="1" si="242"/>
        <v>216</v>
      </c>
      <c r="M826" s="130">
        <f t="shared" ca="1" si="243"/>
        <v>784</v>
      </c>
      <c r="N826" s="100">
        <f t="shared" ca="1" si="244"/>
        <v>4</v>
      </c>
      <c r="O826" s="136">
        <f t="shared" ca="1" si="245"/>
        <v>2.6973744602864622</v>
      </c>
      <c r="P826" s="136">
        <f t="shared" ca="1" si="246"/>
        <v>26.973744602864617</v>
      </c>
      <c r="Q826" s="136">
        <f t="shared" ca="1" si="247"/>
        <v>26.973744602864617</v>
      </c>
      <c r="R826" s="136">
        <f t="shared" ca="1" si="248"/>
        <v>2.6973744602864618</v>
      </c>
      <c r="S826" s="136">
        <f t="shared" ca="1" si="249"/>
        <v>2.6973744602864622</v>
      </c>
      <c r="T826" s="104">
        <f t="shared" ca="1" si="250"/>
        <v>0</v>
      </c>
      <c r="U826" s="120">
        <f t="shared" ca="1" si="251"/>
        <v>1235.0695270312358</v>
      </c>
      <c r="V826" s="104">
        <f t="shared" ca="1" si="252"/>
        <v>0</v>
      </c>
      <c r="W826" s="133">
        <f t="shared" ca="1" si="253"/>
        <v>10887.999457308248</v>
      </c>
      <c r="X826" s="104">
        <f t="shared" ca="1" si="254"/>
        <v>0</v>
      </c>
    </row>
    <row r="827" spans="1:24" x14ac:dyDescent="0.2">
      <c r="A827" s="98">
        <v>2</v>
      </c>
      <c r="B827" s="98">
        <v>0</v>
      </c>
      <c r="C827" s="98">
        <f t="shared" si="236"/>
        <v>6</v>
      </c>
      <c r="D827" s="98">
        <f t="shared" si="237"/>
        <v>5</v>
      </c>
      <c r="E827" s="98">
        <f t="shared" si="238"/>
        <v>2</v>
      </c>
      <c r="F827" s="118">
        <f t="shared" ca="1" si="239"/>
        <v>4.9318214399999991E-2</v>
      </c>
      <c r="G827" s="98">
        <v>0</v>
      </c>
      <c r="H827" s="98">
        <v>1</v>
      </c>
      <c r="I827" s="98">
        <v>3</v>
      </c>
      <c r="J827" s="118">
        <f t="shared" ca="1" si="240"/>
        <v>0</v>
      </c>
      <c r="K827" s="118">
        <f t="shared" ca="1" si="241"/>
        <v>0</v>
      </c>
      <c r="L827" s="133">
        <f t="shared" ca="1" si="242"/>
        <v>204</v>
      </c>
      <c r="M827" s="130">
        <f t="shared" ca="1" si="243"/>
        <v>796</v>
      </c>
      <c r="N827" s="100">
        <f t="shared" ca="1" si="244"/>
        <v>4</v>
      </c>
      <c r="O827" s="136">
        <f t="shared" ca="1" si="245"/>
        <v>2.6973744602864622</v>
      </c>
      <c r="P827" s="136">
        <f t="shared" ca="1" si="246"/>
        <v>26.973744602864617</v>
      </c>
      <c r="Q827" s="136">
        <f t="shared" ca="1" si="247"/>
        <v>26.973744602864617</v>
      </c>
      <c r="R827" s="136">
        <f t="shared" ca="1" si="248"/>
        <v>2.6973744602864618</v>
      </c>
      <c r="S827" s="136">
        <f t="shared" ca="1" si="249"/>
        <v>2.6973744602864622</v>
      </c>
      <c r="T827" s="104">
        <f t="shared" ca="1" si="250"/>
        <v>0</v>
      </c>
      <c r="U827" s="120">
        <f t="shared" ca="1" si="251"/>
        <v>1223.0695270312358</v>
      </c>
      <c r="V827" s="104">
        <f t="shared" ca="1" si="252"/>
        <v>0</v>
      </c>
      <c r="W827" s="133">
        <f t="shared" ca="1" si="253"/>
        <v>8710.3995658465974</v>
      </c>
      <c r="X827" s="104">
        <f t="shared" ca="1" si="254"/>
        <v>0</v>
      </c>
    </row>
    <row r="828" spans="1:24" x14ac:dyDescent="0.2">
      <c r="A828" s="98">
        <v>2</v>
      </c>
      <c r="B828" s="98">
        <v>0</v>
      </c>
      <c r="C828" s="98">
        <f t="shared" si="236"/>
        <v>6</v>
      </c>
      <c r="D828" s="98">
        <f t="shared" si="237"/>
        <v>5</v>
      </c>
      <c r="E828" s="98">
        <f t="shared" si="238"/>
        <v>2</v>
      </c>
      <c r="F828" s="118">
        <f t="shared" ca="1" si="239"/>
        <v>4.9318214399999991E-2</v>
      </c>
      <c r="G828" s="98">
        <v>0</v>
      </c>
      <c r="H828" s="98">
        <v>1</v>
      </c>
      <c r="I828" s="98">
        <v>2</v>
      </c>
      <c r="J828" s="118">
        <f t="shared" ca="1" si="240"/>
        <v>0</v>
      </c>
      <c r="K828" s="118">
        <f t="shared" ca="1" si="241"/>
        <v>0</v>
      </c>
      <c r="L828" s="133">
        <f t="shared" ca="1" si="242"/>
        <v>192</v>
      </c>
      <c r="M828" s="130">
        <f t="shared" ca="1" si="243"/>
        <v>808</v>
      </c>
      <c r="N828" s="100">
        <f t="shared" ca="1" si="244"/>
        <v>4</v>
      </c>
      <c r="O828" s="136">
        <f t="shared" ca="1" si="245"/>
        <v>2.6973744602864622</v>
      </c>
      <c r="P828" s="136">
        <f t="shared" ca="1" si="246"/>
        <v>26.973744602864617</v>
      </c>
      <c r="Q828" s="136">
        <f t="shared" ca="1" si="247"/>
        <v>26.973744602864617</v>
      </c>
      <c r="R828" s="136">
        <f t="shared" ca="1" si="248"/>
        <v>2.6973744602864618</v>
      </c>
      <c r="S828" s="136">
        <f t="shared" ca="1" si="249"/>
        <v>2.6973744602864622</v>
      </c>
      <c r="T828" s="104">
        <f t="shared" ca="1" si="250"/>
        <v>0</v>
      </c>
      <c r="U828" s="120">
        <f t="shared" ca="1" si="251"/>
        <v>1211.0695270312358</v>
      </c>
      <c r="V828" s="104">
        <f t="shared" ca="1" si="252"/>
        <v>0</v>
      </c>
      <c r="W828" s="133">
        <f t="shared" ca="1" si="253"/>
        <v>6532.799674384948</v>
      </c>
      <c r="X828" s="104">
        <f t="shared" ca="1" si="254"/>
        <v>0</v>
      </c>
    </row>
    <row r="829" spans="1:24" x14ac:dyDescent="0.2">
      <c r="A829" s="98">
        <v>2</v>
      </c>
      <c r="B829" s="98">
        <v>0</v>
      </c>
      <c r="C829" s="98">
        <f t="shared" si="236"/>
        <v>6</v>
      </c>
      <c r="D829" s="98">
        <f t="shared" si="237"/>
        <v>5</v>
      </c>
      <c r="E829" s="98">
        <f t="shared" si="238"/>
        <v>2</v>
      </c>
      <c r="F829" s="118">
        <f t="shared" ca="1" si="239"/>
        <v>4.9318214399999991E-2</v>
      </c>
      <c r="G829" s="98">
        <v>0</v>
      </c>
      <c r="H829" s="98">
        <v>1</v>
      </c>
      <c r="I829" s="98">
        <v>1</v>
      </c>
      <c r="J829" s="118">
        <f t="shared" ca="1" si="240"/>
        <v>0</v>
      </c>
      <c r="K829" s="118">
        <f t="shared" ca="1" si="241"/>
        <v>0</v>
      </c>
      <c r="L829" s="133">
        <f t="shared" ca="1" si="242"/>
        <v>180</v>
      </c>
      <c r="M829" s="130">
        <f t="shared" ca="1" si="243"/>
        <v>820</v>
      </c>
      <c r="N829" s="100">
        <f t="shared" ca="1" si="244"/>
        <v>4</v>
      </c>
      <c r="O829" s="136">
        <f t="shared" ca="1" si="245"/>
        <v>2.6973744602864622</v>
      </c>
      <c r="P829" s="136">
        <f t="shared" ca="1" si="246"/>
        <v>26.973744602864617</v>
      </c>
      <c r="Q829" s="136">
        <f t="shared" ca="1" si="247"/>
        <v>26.973744602864617</v>
      </c>
      <c r="R829" s="136">
        <f t="shared" ca="1" si="248"/>
        <v>2.6973744602864618</v>
      </c>
      <c r="S829" s="136">
        <f t="shared" ca="1" si="249"/>
        <v>2.6973744602864622</v>
      </c>
      <c r="T829" s="104">
        <f t="shared" ca="1" si="250"/>
        <v>0</v>
      </c>
      <c r="U829" s="120">
        <f t="shared" ca="1" si="251"/>
        <v>1199.0695270312358</v>
      </c>
      <c r="V829" s="104">
        <f t="shared" ca="1" si="252"/>
        <v>0</v>
      </c>
      <c r="W829" s="133">
        <f t="shared" ca="1" si="253"/>
        <v>4355.1997829232987</v>
      </c>
      <c r="X829" s="104">
        <f t="shared" ca="1" si="254"/>
        <v>0</v>
      </c>
    </row>
    <row r="830" spans="1:24" x14ac:dyDescent="0.2">
      <c r="A830" s="98">
        <v>2</v>
      </c>
      <c r="B830" s="98">
        <v>0</v>
      </c>
      <c r="C830" s="98">
        <f t="shared" si="236"/>
        <v>6</v>
      </c>
      <c r="D830" s="98">
        <f t="shared" si="237"/>
        <v>5</v>
      </c>
      <c r="E830" s="98">
        <f t="shared" si="238"/>
        <v>2</v>
      </c>
      <c r="F830" s="118">
        <f t="shared" ca="1" si="239"/>
        <v>4.9318214399999991E-2</v>
      </c>
      <c r="G830" s="98">
        <v>0</v>
      </c>
      <c r="H830" s="98">
        <v>1</v>
      </c>
      <c r="I830" s="98">
        <v>0</v>
      </c>
      <c r="J830" s="118">
        <f t="shared" ca="1" si="240"/>
        <v>0</v>
      </c>
      <c r="K830" s="118">
        <f t="shared" ca="1" si="241"/>
        <v>0</v>
      </c>
      <c r="L830" s="133">
        <f t="shared" ca="1" si="242"/>
        <v>168</v>
      </c>
      <c r="M830" s="130">
        <f t="shared" ca="1" si="243"/>
        <v>832</v>
      </c>
      <c r="N830" s="100">
        <f t="shared" ca="1" si="244"/>
        <v>4</v>
      </c>
      <c r="O830" s="136">
        <f t="shared" ca="1" si="245"/>
        <v>2.6973744602864622</v>
      </c>
      <c r="P830" s="136">
        <f t="shared" ca="1" si="246"/>
        <v>26.973744602864617</v>
      </c>
      <c r="Q830" s="136">
        <f t="shared" ca="1" si="247"/>
        <v>26.973744602864617</v>
      </c>
      <c r="R830" s="136">
        <f t="shared" ca="1" si="248"/>
        <v>2.6973744602864618</v>
      </c>
      <c r="S830" s="136">
        <f t="shared" ca="1" si="249"/>
        <v>2.6973744602864622</v>
      </c>
      <c r="T830" s="104">
        <f t="shared" ca="1" si="250"/>
        <v>0</v>
      </c>
      <c r="U830" s="120">
        <f t="shared" ca="1" si="251"/>
        <v>1187.0695270312358</v>
      </c>
      <c r="V830" s="104">
        <f t="shared" ca="1" si="252"/>
        <v>0</v>
      </c>
      <c r="W830" s="133">
        <f t="shared" ca="1" si="253"/>
        <v>2177.5998914616493</v>
      </c>
      <c r="X830" s="104">
        <f t="shared" ca="1" si="254"/>
        <v>0</v>
      </c>
    </row>
    <row r="831" spans="1:24" x14ac:dyDescent="0.2">
      <c r="A831" s="98">
        <v>2</v>
      </c>
      <c r="B831" s="98">
        <v>0</v>
      </c>
      <c r="C831" s="98">
        <f t="shared" si="236"/>
        <v>6</v>
      </c>
      <c r="D831" s="98">
        <f t="shared" si="237"/>
        <v>5</v>
      </c>
      <c r="E831" s="98">
        <f t="shared" si="238"/>
        <v>2</v>
      </c>
      <c r="F831" s="118">
        <f t="shared" ca="1" si="239"/>
        <v>4.9318214399999991E-2</v>
      </c>
      <c r="G831" s="98">
        <v>0</v>
      </c>
      <c r="H831" s="98">
        <v>0</v>
      </c>
      <c r="I831" s="98">
        <v>7</v>
      </c>
      <c r="J831" s="118">
        <f t="shared" si="240"/>
        <v>0</v>
      </c>
      <c r="K831" s="118">
        <f t="shared" ca="1" si="241"/>
        <v>0</v>
      </c>
      <c r="L831" s="133">
        <f t="shared" ca="1" si="242"/>
        <v>84</v>
      </c>
      <c r="M831" s="130">
        <f t="shared" ca="1" si="243"/>
        <v>916</v>
      </c>
      <c r="N831" s="100">
        <f t="shared" ca="1" si="244"/>
        <v>5</v>
      </c>
      <c r="O831" s="136">
        <f t="shared" ca="1" si="245"/>
        <v>3.301004590397413</v>
      </c>
      <c r="P831" s="136">
        <f t="shared" ca="1" si="246"/>
        <v>33.010045903974124</v>
      </c>
      <c r="Q831" s="136">
        <f t="shared" ca="1" si="247"/>
        <v>33.010045903974124</v>
      </c>
      <c r="R831" s="136">
        <f t="shared" ca="1" si="248"/>
        <v>3.3010045903974126</v>
      </c>
      <c r="S831" s="136">
        <f t="shared" ca="1" si="249"/>
        <v>3.3010045903974126</v>
      </c>
      <c r="T831" s="104">
        <f t="shared" ca="1" si="250"/>
        <v>0</v>
      </c>
      <c r="U831" s="120">
        <f t="shared" ca="1" si="251"/>
        <v>1323.3671890482913</v>
      </c>
      <c r="V831" s="104">
        <f t="shared" ca="1" si="252"/>
        <v>0</v>
      </c>
      <c r="W831" s="133">
        <f t="shared" ca="1" si="253"/>
        <v>15243.199240231546</v>
      </c>
      <c r="X831" s="104">
        <f t="shared" ca="1" si="254"/>
        <v>0</v>
      </c>
    </row>
    <row r="832" spans="1:24" x14ac:dyDescent="0.2">
      <c r="A832" s="98">
        <v>2</v>
      </c>
      <c r="B832" s="98">
        <v>0</v>
      </c>
      <c r="C832" s="98">
        <f t="shared" si="236"/>
        <v>6</v>
      </c>
      <c r="D832" s="98">
        <f t="shared" si="237"/>
        <v>5</v>
      </c>
      <c r="E832" s="98">
        <f t="shared" si="238"/>
        <v>2</v>
      </c>
      <c r="F832" s="118">
        <f t="shared" ca="1" si="239"/>
        <v>4.9318214399999991E-2</v>
      </c>
      <c r="G832" s="98">
        <v>0</v>
      </c>
      <c r="H832" s="98">
        <v>0</v>
      </c>
      <c r="I832" s="98">
        <v>6</v>
      </c>
      <c r="J832" s="118">
        <f t="shared" si="240"/>
        <v>0</v>
      </c>
      <c r="K832" s="118">
        <f t="shared" ca="1" si="241"/>
        <v>0</v>
      </c>
      <c r="L832" s="133">
        <f t="shared" ca="1" si="242"/>
        <v>72</v>
      </c>
      <c r="M832" s="130">
        <f t="shared" ca="1" si="243"/>
        <v>928</v>
      </c>
      <c r="N832" s="100">
        <f t="shared" ca="1" si="244"/>
        <v>5</v>
      </c>
      <c r="O832" s="136">
        <f t="shared" ca="1" si="245"/>
        <v>3.301004590397413</v>
      </c>
      <c r="P832" s="136">
        <f t="shared" ca="1" si="246"/>
        <v>33.010045903974124</v>
      </c>
      <c r="Q832" s="136">
        <f t="shared" ca="1" si="247"/>
        <v>33.010045903974124</v>
      </c>
      <c r="R832" s="136">
        <f t="shared" ca="1" si="248"/>
        <v>3.3010045903974126</v>
      </c>
      <c r="S832" s="136">
        <f t="shared" ca="1" si="249"/>
        <v>3.3010045903974126</v>
      </c>
      <c r="T832" s="104">
        <f t="shared" ca="1" si="250"/>
        <v>0</v>
      </c>
      <c r="U832" s="120">
        <f t="shared" ca="1" si="251"/>
        <v>1311.3671890482913</v>
      </c>
      <c r="V832" s="104">
        <f t="shared" ca="1" si="252"/>
        <v>0</v>
      </c>
      <c r="W832" s="133">
        <f t="shared" ca="1" si="253"/>
        <v>13065.599348769898</v>
      </c>
      <c r="X832" s="104">
        <f t="shared" ca="1" si="254"/>
        <v>0</v>
      </c>
    </row>
    <row r="833" spans="1:24" x14ac:dyDescent="0.2">
      <c r="A833" s="98">
        <v>2</v>
      </c>
      <c r="B833" s="98">
        <v>0</v>
      </c>
      <c r="C833" s="98">
        <f t="shared" si="236"/>
        <v>6</v>
      </c>
      <c r="D833" s="98">
        <f t="shared" si="237"/>
        <v>5</v>
      </c>
      <c r="E833" s="98">
        <f t="shared" si="238"/>
        <v>2</v>
      </c>
      <c r="F833" s="118">
        <f t="shared" ca="1" si="239"/>
        <v>4.9318214399999991E-2</v>
      </c>
      <c r="G833" s="98">
        <v>0</v>
      </c>
      <c r="H833" s="98">
        <v>0</v>
      </c>
      <c r="I833" s="98">
        <v>5</v>
      </c>
      <c r="J833" s="118">
        <f t="shared" ca="1" si="240"/>
        <v>3.8689046875000001E-2</v>
      </c>
      <c r="K833" s="118">
        <f t="shared" ca="1" si="241"/>
        <v>1.9080747087128996E-3</v>
      </c>
      <c r="L833" s="133">
        <f t="shared" ca="1" si="242"/>
        <v>60</v>
      </c>
      <c r="M833" s="130">
        <f t="shared" ca="1" si="243"/>
        <v>940</v>
      </c>
      <c r="N833" s="100">
        <f t="shared" ca="1" si="244"/>
        <v>5</v>
      </c>
      <c r="O833" s="136">
        <f t="shared" ca="1" si="245"/>
        <v>3.301004590397413</v>
      </c>
      <c r="P833" s="136">
        <f t="shared" ca="1" si="246"/>
        <v>33.010045903974124</v>
      </c>
      <c r="Q833" s="136">
        <f t="shared" ca="1" si="247"/>
        <v>33.010045903974124</v>
      </c>
      <c r="R833" s="136">
        <f t="shared" ca="1" si="248"/>
        <v>3.3010045903974126</v>
      </c>
      <c r="S833" s="136">
        <f t="shared" ca="1" si="249"/>
        <v>3.3010045903974126</v>
      </c>
      <c r="T833" s="104">
        <f t="shared" ca="1" si="250"/>
        <v>6.2985633722824879E-3</v>
      </c>
      <c r="U833" s="120">
        <f t="shared" ca="1" si="251"/>
        <v>1299.3671890482913</v>
      </c>
      <c r="V833" s="104">
        <f t="shared" ca="1" si="252"/>
        <v>2.4792896707544174</v>
      </c>
      <c r="W833" s="133">
        <f t="shared" ca="1" si="253"/>
        <v>10887.999457308248</v>
      </c>
      <c r="X833" s="104">
        <f t="shared" ca="1" si="254"/>
        <v>20.775116392969643</v>
      </c>
    </row>
    <row r="834" spans="1:24" x14ac:dyDescent="0.2">
      <c r="A834" s="98">
        <v>2</v>
      </c>
      <c r="B834" s="98">
        <v>0</v>
      </c>
      <c r="C834" s="98">
        <f t="shared" si="236"/>
        <v>6</v>
      </c>
      <c r="D834" s="98">
        <f t="shared" si="237"/>
        <v>5</v>
      </c>
      <c r="E834" s="98">
        <f t="shared" si="238"/>
        <v>2</v>
      </c>
      <c r="F834" s="118">
        <f t="shared" ca="1" si="239"/>
        <v>4.9318214399999991E-2</v>
      </c>
      <c r="G834" s="98">
        <v>0</v>
      </c>
      <c r="H834" s="98">
        <v>0</v>
      </c>
      <c r="I834" s="98">
        <v>4</v>
      </c>
      <c r="J834" s="118">
        <f t="shared" ca="1" si="240"/>
        <v>1.0181328125000009E-2</v>
      </c>
      <c r="K834" s="118">
        <f t="shared" ca="1" si="241"/>
        <v>5.0212492334550027E-4</v>
      </c>
      <c r="L834" s="133">
        <f t="shared" ca="1" si="242"/>
        <v>48</v>
      </c>
      <c r="M834" s="130">
        <f t="shared" ca="1" si="243"/>
        <v>952</v>
      </c>
      <c r="N834" s="100">
        <f t="shared" ca="1" si="244"/>
        <v>5</v>
      </c>
      <c r="O834" s="136">
        <f t="shared" ca="1" si="245"/>
        <v>3.301004590397413</v>
      </c>
      <c r="P834" s="136">
        <f t="shared" ca="1" si="246"/>
        <v>33.010045903974124</v>
      </c>
      <c r="Q834" s="136">
        <f t="shared" ca="1" si="247"/>
        <v>33.010045903974124</v>
      </c>
      <c r="R834" s="136">
        <f t="shared" ca="1" si="248"/>
        <v>3.3010045903974126</v>
      </c>
      <c r="S834" s="136">
        <f t="shared" ca="1" si="249"/>
        <v>3.3010045903974126</v>
      </c>
      <c r="T834" s="104">
        <f t="shared" ca="1" si="250"/>
        <v>1.6575166769164454E-3</v>
      </c>
      <c r="U834" s="120">
        <f t="shared" ca="1" si="251"/>
        <v>1287.3671890482913</v>
      </c>
      <c r="V834" s="104">
        <f t="shared" ca="1" si="252"/>
        <v>0.64641915111838544</v>
      </c>
      <c r="W834" s="133">
        <f t="shared" ca="1" si="253"/>
        <v>8710.3995658465974</v>
      </c>
      <c r="X834" s="104">
        <f t="shared" ca="1" si="254"/>
        <v>4.3737087143094016</v>
      </c>
    </row>
    <row r="835" spans="1:24" x14ac:dyDescent="0.2">
      <c r="A835" s="98">
        <v>2</v>
      </c>
      <c r="B835" s="98">
        <v>0</v>
      </c>
      <c r="C835" s="98">
        <f t="shared" si="236"/>
        <v>6</v>
      </c>
      <c r="D835" s="98">
        <f t="shared" si="237"/>
        <v>5</v>
      </c>
      <c r="E835" s="98">
        <f t="shared" si="238"/>
        <v>2</v>
      </c>
      <c r="F835" s="118">
        <f t="shared" ca="1" si="239"/>
        <v>4.9318214399999991E-2</v>
      </c>
      <c r="G835" s="98">
        <v>0</v>
      </c>
      <c r="H835" s="98">
        <v>0</v>
      </c>
      <c r="I835" s="98">
        <v>3</v>
      </c>
      <c r="J835" s="118">
        <f t="shared" ca="1" si="240"/>
        <v>1.0717187500000017E-3</v>
      </c>
      <c r="K835" s="118">
        <f t="shared" ca="1" si="241"/>
        <v>5.2855255089000075E-5</v>
      </c>
      <c r="L835" s="133">
        <f t="shared" ca="1" si="242"/>
        <v>36</v>
      </c>
      <c r="M835" s="130">
        <f t="shared" ca="1" si="243"/>
        <v>964</v>
      </c>
      <c r="N835" s="100">
        <f t="shared" ca="1" si="244"/>
        <v>5</v>
      </c>
      <c r="O835" s="136">
        <f t="shared" ca="1" si="245"/>
        <v>3.301004590397413</v>
      </c>
      <c r="P835" s="136">
        <f t="shared" ca="1" si="246"/>
        <v>33.010045903974124</v>
      </c>
      <c r="Q835" s="136">
        <f t="shared" ca="1" si="247"/>
        <v>33.010045903974124</v>
      </c>
      <c r="R835" s="136">
        <f t="shared" ca="1" si="248"/>
        <v>3.3010045903974126</v>
      </c>
      <c r="S835" s="136">
        <f t="shared" ca="1" si="249"/>
        <v>3.3010045903974126</v>
      </c>
      <c r="T835" s="104">
        <f t="shared" ca="1" si="250"/>
        <v>1.7447543967541546E-4</v>
      </c>
      <c r="U835" s="120">
        <f t="shared" ca="1" si="251"/>
        <v>1275.3671890482913</v>
      </c>
      <c r="V835" s="104">
        <f t="shared" ca="1" si="252"/>
        <v>6.7409858109288415E-2</v>
      </c>
      <c r="W835" s="133">
        <f t="shared" ca="1" si="253"/>
        <v>6532.799674384949</v>
      </c>
      <c r="X835" s="104">
        <f t="shared" ca="1" si="254"/>
        <v>0.3452927932349531</v>
      </c>
    </row>
    <row r="836" spans="1:24" x14ac:dyDescent="0.2">
      <c r="A836" s="98">
        <v>2</v>
      </c>
      <c r="B836" s="98">
        <v>0</v>
      </c>
      <c r="C836" s="98">
        <f t="shared" si="236"/>
        <v>6</v>
      </c>
      <c r="D836" s="98">
        <f t="shared" si="237"/>
        <v>5</v>
      </c>
      <c r="E836" s="98">
        <f t="shared" si="238"/>
        <v>2</v>
      </c>
      <c r="F836" s="118">
        <f t="shared" ca="1" si="239"/>
        <v>4.9318214399999991E-2</v>
      </c>
      <c r="G836" s="98">
        <v>0</v>
      </c>
      <c r="H836" s="98">
        <v>0</v>
      </c>
      <c r="I836" s="98">
        <v>2</v>
      </c>
      <c r="J836" s="118">
        <f t="shared" ca="1" si="240"/>
        <v>5.6406250000000155E-5</v>
      </c>
      <c r="K836" s="118">
        <f t="shared" ca="1" si="241"/>
        <v>2.7818555310000069E-6</v>
      </c>
      <c r="L836" s="133">
        <f t="shared" ca="1" si="242"/>
        <v>24</v>
      </c>
      <c r="M836" s="130">
        <f t="shared" ca="1" si="243"/>
        <v>976</v>
      </c>
      <c r="N836" s="100">
        <f t="shared" ca="1" si="244"/>
        <v>5</v>
      </c>
      <c r="O836" s="136">
        <f t="shared" ca="1" si="245"/>
        <v>3.301004590397413</v>
      </c>
      <c r="P836" s="136">
        <f t="shared" ca="1" si="246"/>
        <v>33.010045903974124</v>
      </c>
      <c r="Q836" s="136">
        <f t="shared" ca="1" si="247"/>
        <v>33.010045903974124</v>
      </c>
      <c r="R836" s="136">
        <f t="shared" ca="1" si="248"/>
        <v>3.3010045903974126</v>
      </c>
      <c r="S836" s="136">
        <f t="shared" ca="1" si="249"/>
        <v>3.3010045903974126</v>
      </c>
      <c r="T836" s="104">
        <f t="shared" ca="1" si="250"/>
        <v>9.1829178776534539E-6</v>
      </c>
      <c r="U836" s="120">
        <f t="shared" ca="1" si="251"/>
        <v>1263.3671890482913</v>
      </c>
      <c r="V836" s="104">
        <f t="shared" ca="1" si="252"/>
        <v>3.5145050025379206E-3</v>
      </c>
      <c r="W836" s="133">
        <f t="shared" ca="1" si="253"/>
        <v>4355.1997829232987</v>
      </c>
      <c r="X836" s="104">
        <f t="shared" ca="1" si="254"/>
        <v>1.2115536604735208E-2</v>
      </c>
    </row>
    <row r="837" spans="1:24" x14ac:dyDescent="0.2">
      <c r="A837" s="98">
        <v>2</v>
      </c>
      <c r="B837" s="98">
        <v>0</v>
      </c>
      <c r="C837" s="98">
        <f t="shared" si="236"/>
        <v>6</v>
      </c>
      <c r="D837" s="98">
        <f t="shared" si="237"/>
        <v>5</v>
      </c>
      <c r="E837" s="98">
        <f t="shared" si="238"/>
        <v>2</v>
      </c>
      <c r="F837" s="118">
        <f t="shared" ca="1" si="239"/>
        <v>4.9318214399999991E-2</v>
      </c>
      <c r="G837" s="98">
        <v>0</v>
      </c>
      <c r="H837" s="98">
        <v>0</v>
      </c>
      <c r="I837" s="98">
        <v>1</v>
      </c>
      <c r="J837" s="118">
        <f t="shared" ca="1" si="240"/>
        <v>1.4843750000000054E-6</v>
      </c>
      <c r="K837" s="118">
        <f t="shared" ca="1" si="241"/>
        <v>7.3206724500000246E-8</v>
      </c>
      <c r="L837" s="133">
        <f t="shared" ca="1" si="242"/>
        <v>12</v>
      </c>
      <c r="M837" s="130">
        <f t="shared" ca="1" si="243"/>
        <v>988</v>
      </c>
      <c r="N837" s="100">
        <f t="shared" ca="1" si="244"/>
        <v>5</v>
      </c>
      <c r="O837" s="136">
        <f t="shared" ca="1" si="245"/>
        <v>3.301004590397413</v>
      </c>
      <c r="P837" s="136">
        <f t="shared" ca="1" si="246"/>
        <v>33.010045903974124</v>
      </c>
      <c r="Q837" s="136">
        <f t="shared" ca="1" si="247"/>
        <v>33.010045903974124</v>
      </c>
      <c r="R837" s="136">
        <f t="shared" ca="1" si="248"/>
        <v>3.3010045903974126</v>
      </c>
      <c r="S837" s="136">
        <f t="shared" ca="1" si="249"/>
        <v>3.3010045903974126</v>
      </c>
      <c r="T837" s="104">
        <f t="shared" ca="1" si="250"/>
        <v>2.4165573362245957E-7</v>
      </c>
      <c r="U837" s="120">
        <f t="shared" ca="1" si="251"/>
        <v>1251.3671890482913</v>
      </c>
      <c r="V837" s="104">
        <f t="shared" ca="1" si="252"/>
        <v>9.1608493056997989E-5</v>
      </c>
      <c r="W837" s="133">
        <f t="shared" ca="1" si="253"/>
        <v>2177.5998914616493</v>
      </c>
      <c r="X837" s="104">
        <f t="shared" ca="1" si="254"/>
        <v>1.5941495532546341E-4</v>
      </c>
    </row>
    <row r="838" spans="1:24" x14ac:dyDescent="0.2">
      <c r="A838" s="98">
        <v>2</v>
      </c>
      <c r="B838" s="98">
        <v>0</v>
      </c>
      <c r="C838" s="98">
        <f t="shared" si="236"/>
        <v>6</v>
      </c>
      <c r="D838" s="98">
        <f t="shared" si="237"/>
        <v>5</v>
      </c>
      <c r="E838" s="98">
        <f t="shared" si="238"/>
        <v>2</v>
      </c>
      <c r="F838" s="118">
        <f t="shared" ca="1" si="239"/>
        <v>4.9318214399999991E-2</v>
      </c>
      <c r="G838" s="98">
        <v>0</v>
      </c>
      <c r="H838" s="98">
        <v>0</v>
      </c>
      <c r="I838" s="98">
        <v>0</v>
      </c>
      <c r="J838" s="118">
        <f t="shared" ca="1" si="240"/>
        <v>1.5625000000000072E-8</v>
      </c>
      <c r="K838" s="118">
        <f t="shared" ca="1" si="241"/>
        <v>7.7059710000000342E-10</v>
      </c>
      <c r="L838" s="133">
        <f t="shared" ca="1" si="242"/>
        <v>0</v>
      </c>
      <c r="M838" s="130">
        <f t="shared" ca="1" si="243"/>
        <v>1000</v>
      </c>
      <c r="N838" s="100">
        <f t="shared" ca="1" si="244"/>
        <v>5</v>
      </c>
      <c r="O838" s="136">
        <f t="shared" ca="1" si="245"/>
        <v>3.301004590397413</v>
      </c>
      <c r="P838" s="136">
        <f t="shared" ca="1" si="246"/>
        <v>33.010045903974124</v>
      </c>
      <c r="Q838" s="136">
        <f t="shared" ca="1" si="247"/>
        <v>33.010045903974124</v>
      </c>
      <c r="R838" s="136">
        <f t="shared" ca="1" si="248"/>
        <v>3.3010045903974126</v>
      </c>
      <c r="S838" s="136">
        <f t="shared" ca="1" si="249"/>
        <v>3.3010045903974126</v>
      </c>
      <c r="T838" s="104">
        <f t="shared" ca="1" si="250"/>
        <v>2.5437445644469451E-9</v>
      </c>
      <c r="U838" s="120">
        <f t="shared" ca="1" si="251"/>
        <v>1239.3671890482913</v>
      </c>
      <c r="V838" s="104">
        <f t="shared" ca="1" si="252"/>
        <v>9.5505276171576934E-7</v>
      </c>
      <c r="W838" s="133">
        <f t="shared" ca="1" si="253"/>
        <v>0</v>
      </c>
      <c r="X838" s="104">
        <f t="shared" ca="1" si="254"/>
        <v>0</v>
      </c>
    </row>
    <row r="839" spans="1:24" x14ac:dyDescent="0.2">
      <c r="A839" s="98">
        <v>2</v>
      </c>
      <c r="B839" s="98">
        <v>1</v>
      </c>
      <c r="C839" s="98">
        <f t="shared" si="236"/>
        <v>7</v>
      </c>
      <c r="D839" s="98">
        <f t="shared" si="237"/>
        <v>6</v>
      </c>
      <c r="E839" s="98">
        <f t="shared" si="238"/>
        <v>2</v>
      </c>
      <c r="F839" s="118">
        <f t="shared" ca="1" si="239"/>
        <v>2.7741495599999996E-2</v>
      </c>
      <c r="G839" s="98">
        <v>1</v>
      </c>
      <c r="H839" s="98">
        <v>1</v>
      </c>
      <c r="I839" s="98">
        <v>7</v>
      </c>
      <c r="J839" s="118">
        <f t="shared" si="240"/>
        <v>0</v>
      </c>
      <c r="K839" s="118">
        <f t="shared" ca="1" si="241"/>
        <v>0</v>
      </c>
      <c r="L839" s="133">
        <f t="shared" ca="1" si="242"/>
        <v>420</v>
      </c>
      <c r="M839" s="130">
        <f t="shared" ca="1" si="243"/>
        <v>580</v>
      </c>
      <c r="N839" s="100">
        <f t="shared" ca="1" si="244"/>
        <v>3</v>
      </c>
      <c r="O839" s="136">
        <f t="shared" ca="1" si="245"/>
        <v>2.1177215542739054</v>
      </c>
      <c r="P839" s="136">
        <f t="shared" ca="1" si="246"/>
        <v>21.177215542739059</v>
      </c>
      <c r="Q839" s="136">
        <f t="shared" ca="1" si="247"/>
        <v>21.177215542739059</v>
      </c>
      <c r="R839" s="136">
        <f t="shared" ca="1" si="248"/>
        <v>2.1177215542739058</v>
      </c>
      <c r="S839" s="136">
        <f t="shared" ca="1" si="249"/>
        <v>2.1177215542739054</v>
      </c>
      <c r="T839" s="104">
        <f t="shared" ca="1" si="250"/>
        <v>0</v>
      </c>
      <c r="U839" s="120">
        <f t="shared" ca="1" si="251"/>
        <v>1227.5224659982036</v>
      </c>
      <c r="V839" s="104">
        <f t="shared" ca="1" si="252"/>
        <v>0</v>
      </c>
      <c r="W839" s="133">
        <f t="shared" ca="1" si="253"/>
        <v>19881.48700904486</v>
      </c>
      <c r="X839" s="104">
        <f t="shared" ca="1" si="254"/>
        <v>0</v>
      </c>
    </row>
    <row r="840" spans="1:24" x14ac:dyDescent="0.2">
      <c r="A840" s="98">
        <v>2</v>
      </c>
      <c r="B840" s="98">
        <v>1</v>
      </c>
      <c r="C840" s="98">
        <f t="shared" si="236"/>
        <v>7</v>
      </c>
      <c r="D840" s="98">
        <f t="shared" si="237"/>
        <v>6</v>
      </c>
      <c r="E840" s="98">
        <f t="shared" si="238"/>
        <v>2</v>
      </c>
      <c r="F840" s="118">
        <f t="shared" ca="1" si="239"/>
        <v>2.7741495599999996E-2</v>
      </c>
      <c r="G840" s="98">
        <v>1</v>
      </c>
      <c r="H840" s="98">
        <v>1</v>
      </c>
      <c r="I840" s="98">
        <v>6</v>
      </c>
      <c r="J840" s="118">
        <f t="shared" ca="1" si="240"/>
        <v>0</v>
      </c>
      <c r="K840" s="118">
        <f t="shared" ca="1" si="241"/>
        <v>0</v>
      </c>
      <c r="L840" s="133">
        <f t="shared" ca="1" si="242"/>
        <v>408</v>
      </c>
      <c r="M840" s="130">
        <f t="shared" ca="1" si="243"/>
        <v>592</v>
      </c>
      <c r="N840" s="100">
        <f t="shared" ca="1" si="244"/>
        <v>3</v>
      </c>
      <c r="O840" s="136">
        <f t="shared" ca="1" si="245"/>
        <v>2.1177215542739054</v>
      </c>
      <c r="P840" s="136">
        <f t="shared" ca="1" si="246"/>
        <v>21.177215542739059</v>
      </c>
      <c r="Q840" s="136">
        <f t="shared" ca="1" si="247"/>
        <v>21.177215542739059</v>
      </c>
      <c r="R840" s="136">
        <f t="shared" ca="1" si="248"/>
        <v>2.1177215542739058</v>
      </c>
      <c r="S840" s="136">
        <f t="shared" ca="1" si="249"/>
        <v>2.1177215542739054</v>
      </c>
      <c r="T840" s="104">
        <f t="shared" ca="1" si="250"/>
        <v>0</v>
      </c>
      <c r="U840" s="120">
        <f t="shared" ca="1" si="251"/>
        <v>1215.5224659982036</v>
      </c>
      <c r="V840" s="104">
        <f t="shared" ca="1" si="252"/>
        <v>0</v>
      </c>
      <c r="W840" s="133">
        <f t="shared" ca="1" si="253"/>
        <v>17703.88711758321</v>
      </c>
      <c r="X840" s="104">
        <f t="shared" ca="1" si="254"/>
        <v>0</v>
      </c>
    </row>
    <row r="841" spans="1:24" x14ac:dyDescent="0.2">
      <c r="A841" s="98">
        <v>2</v>
      </c>
      <c r="B841" s="98">
        <v>1</v>
      </c>
      <c r="C841" s="98">
        <f t="shared" si="236"/>
        <v>7</v>
      </c>
      <c r="D841" s="98">
        <f t="shared" si="237"/>
        <v>6</v>
      </c>
      <c r="E841" s="98">
        <f t="shared" si="238"/>
        <v>2</v>
      </c>
      <c r="F841" s="118">
        <f t="shared" ca="1" si="239"/>
        <v>2.7741495599999996E-2</v>
      </c>
      <c r="G841" s="98">
        <v>1</v>
      </c>
      <c r="H841" s="98">
        <v>1</v>
      </c>
      <c r="I841" s="98">
        <v>5</v>
      </c>
      <c r="J841" s="118">
        <f t="shared" ca="1" si="240"/>
        <v>0</v>
      </c>
      <c r="K841" s="118">
        <f t="shared" ca="1" si="241"/>
        <v>0</v>
      </c>
      <c r="L841" s="133">
        <f t="shared" ca="1" si="242"/>
        <v>396</v>
      </c>
      <c r="M841" s="130">
        <f t="shared" ca="1" si="243"/>
        <v>604</v>
      </c>
      <c r="N841" s="100">
        <f t="shared" ca="1" si="244"/>
        <v>3</v>
      </c>
      <c r="O841" s="136">
        <f t="shared" ca="1" si="245"/>
        <v>2.1177215542739054</v>
      </c>
      <c r="P841" s="136">
        <f t="shared" ca="1" si="246"/>
        <v>21.177215542739059</v>
      </c>
      <c r="Q841" s="136">
        <f t="shared" ca="1" si="247"/>
        <v>21.177215542739059</v>
      </c>
      <c r="R841" s="136">
        <f t="shared" ca="1" si="248"/>
        <v>2.1177215542739058</v>
      </c>
      <c r="S841" s="136">
        <f t="shared" ca="1" si="249"/>
        <v>2.1177215542739054</v>
      </c>
      <c r="T841" s="104">
        <f t="shared" ca="1" si="250"/>
        <v>0</v>
      </c>
      <c r="U841" s="120">
        <f t="shared" ca="1" si="251"/>
        <v>1203.5224659982036</v>
      </c>
      <c r="V841" s="104">
        <f t="shared" ca="1" si="252"/>
        <v>0</v>
      </c>
      <c r="W841" s="133">
        <f t="shared" ca="1" si="253"/>
        <v>15526.28722612156</v>
      </c>
      <c r="X841" s="104">
        <f t="shared" ca="1" si="254"/>
        <v>0</v>
      </c>
    </row>
    <row r="842" spans="1:24" x14ac:dyDescent="0.2">
      <c r="A842" s="98">
        <v>2</v>
      </c>
      <c r="B842" s="98">
        <v>1</v>
      </c>
      <c r="C842" s="98">
        <f t="shared" si="236"/>
        <v>7</v>
      </c>
      <c r="D842" s="98">
        <f t="shared" si="237"/>
        <v>6</v>
      </c>
      <c r="E842" s="98">
        <f t="shared" si="238"/>
        <v>2</v>
      </c>
      <c r="F842" s="118">
        <f t="shared" ca="1" si="239"/>
        <v>2.7741495599999996E-2</v>
      </c>
      <c r="G842" s="98">
        <v>1</v>
      </c>
      <c r="H842" s="98">
        <v>1</v>
      </c>
      <c r="I842" s="98">
        <v>4</v>
      </c>
      <c r="J842" s="118">
        <f t="shared" ca="1" si="240"/>
        <v>0</v>
      </c>
      <c r="K842" s="118">
        <f t="shared" ca="1" si="241"/>
        <v>0</v>
      </c>
      <c r="L842" s="133">
        <f t="shared" ca="1" si="242"/>
        <v>384</v>
      </c>
      <c r="M842" s="130">
        <f t="shared" ca="1" si="243"/>
        <v>616</v>
      </c>
      <c r="N842" s="100">
        <f t="shared" ca="1" si="244"/>
        <v>3</v>
      </c>
      <c r="O842" s="136">
        <f t="shared" ca="1" si="245"/>
        <v>2.1177215542739054</v>
      </c>
      <c r="P842" s="136">
        <f t="shared" ca="1" si="246"/>
        <v>21.177215542739059</v>
      </c>
      <c r="Q842" s="136">
        <f t="shared" ca="1" si="247"/>
        <v>21.177215542739059</v>
      </c>
      <c r="R842" s="136">
        <f t="shared" ca="1" si="248"/>
        <v>2.1177215542739058</v>
      </c>
      <c r="S842" s="136">
        <f t="shared" ca="1" si="249"/>
        <v>2.1177215542739054</v>
      </c>
      <c r="T842" s="104">
        <f t="shared" ca="1" si="250"/>
        <v>0</v>
      </c>
      <c r="U842" s="120">
        <f t="shared" ca="1" si="251"/>
        <v>1191.5224659982036</v>
      </c>
      <c r="V842" s="104">
        <f t="shared" ca="1" si="252"/>
        <v>0</v>
      </c>
      <c r="W842" s="133">
        <f t="shared" ca="1" si="253"/>
        <v>13348.68733465991</v>
      </c>
      <c r="X842" s="104">
        <f t="shared" ca="1" si="254"/>
        <v>0</v>
      </c>
    </row>
    <row r="843" spans="1:24" x14ac:dyDescent="0.2">
      <c r="A843" s="98">
        <v>2</v>
      </c>
      <c r="B843" s="98">
        <v>1</v>
      </c>
      <c r="C843" s="98">
        <f t="shared" si="236"/>
        <v>7</v>
      </c>
      <c r="D843" s="98">
        <f t="shared" si="237"/>
        <v>6</v>
      </c>
      <c r="E843" s="98">
        <f t="shared" si="238"/>
        <v>2</v>
      </c>
      <c r="F843" s="118">
        <f t="shared" ca="1" si="239"/>
        <v>2.7741495599999996E-2</v>
      </c>
      <c r="G843" s="98">
        <v>1</v>
      </c>
      <c r="H843" s="98">
        <v>1</v>
      </c>
      <c r="I843" s="98">
        <v>3</v>
      </c>
      <c r="J843" s="118">
        <f t="shared" ca="1" si="240"/>
        <v>0</v>
      </c>
      <c r="K843" s="118">
        <f t="shared" ca="1" si="241"/>
        <v>0</v>
      </c>
      <c r="L843" s="133">
        <f t="shared" ca="1" si="242"/>
        <v>372</v>
      </c>
      <c r="M843" s="130">
        <f t="shared" ca="1" si="243"/>
        <v>628</v>
      </c>
      <c r="N843" s="100">
        <f t="shared" ca="1" si="244"/>
        <v>3</v>
      </c>
      <c r="O843" s="136">
        <f t="shared" ca="1" si="245"/>
        <v>2.1177215542739054</v>
      </c>
      <c r="P843" s="136">
        <f t="shared" ca="1" si="246"/>
        <v>21.177215542739059</v>
      </c>
      <c r="Q843" s="136">
        <f t="shared" ca="1" si="247"/>
        <v>21.177215542739059</v>
      </c>
      <c r="R843" s="136">
        <f t="shared" ca="1" si="248"/>
        <v>2.1177215542739058</v>
      </c>
      <c r="S843" s="136">
        <f t="shared" ca="1" si="249"/>
        <v>2.1177215542739054</v>
      </c>
      <c r="T843" s="104">
        <f t="shared" ca="1" si="250"/>
        <v>0</v>
      </c>
      <c r="U843" s="120">
        <f t="shared" ca="1" si="251"/>
        <v>1179.5224659982036</v>
      </c>
      <c r="V843" s="104">
        <f t="shared" ca="1" si="252"/>
        <v>0</v>
      </c>
      <c r="W843" s="133">
        <f t="shared" ca="1" si="253"/>
        <v>11171.087443198263</v>
      </c>
      <c r="X843" s="104">
        <f t="shared" ca="1" si="254"/>
        <v>0</v>
      </c>
    </row>
    <row r="844" spans="1:24" x14ac:dyDescent="0.2">
      <c r="A844" s="98">
        <v>2</v>
      </c>
      <c r="B844" s="98">
        <v>1</v>
      </c>
      <c r="C844" s="98">
        <f t="shared" si="236"/>
        <v>7</v>
      </c>
      <c r="D844" s="98">
        <f t="shared" si="237"/>
        <v>6</v>
      </c>
      <c r="E844" s="98">
        <f t="shared" si="238"/>
        <v>2</v>
      </c>
      <c r="F844" s="118">
        <f t="shared" ca="1" si="239"/>
        <v>2.7741495599999996E-2</v>
      </c>
      <c r="G844" s="98">
        <v>1</v>
      </c>
      <c r="H844" s="98">
        <v>1</v>
      </c>
      <c r="I844" s="98">
        <v>2</v>
      </c>
      <c r="J844" s="118">
        <f t="shared" ca="1" si="240"/>
        <v>0</v>
      </c>
      <c r="K844" s="118">
        <f t="shared" ca="1" si="241"/>
        <v>0</v>
      </c>
      <c r="L844" s="133">
        <f t="shared" ca="1" si="242"/>
        <v>360</v>
      </c>
      <c r="M844" s="130">
        <f t="shared" ca="1" si="243"/>
        <v>640</v>
      </c>
      <c r="N844" s="100">
        <f t="shared" ca="1" si="244"/>
        <v>3</v>
      </c>
      <c r="O844" s="136">
        <f t="shared" ca="1" si="245"/>
        <v>2.1177215542739054</v>
      </c>
      <c r="P844" s="136">
        <f t="shared" ca="1" si="246"/>
        <v>21.177215542739059</v>
      </c>
      <c r="Q844" s="136">
        <f t="shared" ca="1" si="247"/>
        <v>21.177215542739059</v>
      </c>
      <c r="R844" s="136">
        <f t="shared" ca="1" si="248"/>
        <v>2.1177215542739058</v>
      </c>
      <c r="S844" s="136">
        <f t="shared" ca="1" si="249"/>
        <v>2.1177215542739054</v>
      </c>
      <c r="T844" s="104">
        <f t="shared" ca="1" si="250"/>
        <v>0</v>
      </c>
      <c r="U844" s="120">
        <f t="shared" ca="1" si="251"/>
        <v>1167.5224659982036</v>
      </c>
      <c r="V844" s="104">
        <f t="shared" ca="1" si="252"/>
        <v>0</v>
      </c>
      <c r="W844" s="133">
        <f t="shared" ca="1" si="253"/>
        <v>8993.4875517366127</v>
      </c>
      <c r="X844" s="104">
        <f t="shared" ca="1" si="254"/>
        <v>0</v>
      </c>
    </row>
    <row r="845" spans="1:24" x14ac:dyDescent="0.2">
      <c r="A845" s="98">
        <v>2</v>
      </c>
      <c r="B845" s="98">
        <v>1</v>
      </c>
      <c r="C845" s="98">
        <f t="shared" si="236"/>
        <v>7</v>
      </c>
      <c r="D845" s="98">
        <f t="shared" si="237"/>
        <v>6</v>
      </c>
      <c r="E845" s="98">
        <f t="shared" si="238"/>
        <v>2</v>
      </c>
      <c r="F845" s="118">
        <f t="shared" ca="1" si="239"/>
        <v>2.7741495599999996E-2</v>
      </c>
      <c r="G845" s="98">
        <v>1</v>
      </c>
      <c r="H845" s="98">
        <v>1</v>
      </c>
      <c r="I845" s="98">
        <v>1</v>
      </c>
      <c r="J845" s="118">
        <f t="shared" ca="1" si="240"/>
        <v>0</v>
      </c>
      <c r="K845" s="118">
        <f t="shared" ca="1" si="241"/>
        <v>0</v>
      </c>
      <c r="L845" s="133">
        <f t="shared" ca="1" si="242"/>
        <v>348</v>
      </c>
      <c r="M845" s="130">
        <f t="shared" ca="1" si="243"/>
        <v>652</v>
      </c>
      <c r="N845" s="100">
        <f t="shared" ca="1" si="244"/>
        <v>4</v>
      </c>
      <c r="O845" s="136">
        <f t="shared" ca="1" si="245"/>
        <v>2.6973744602864622</v>
      </c>
      <c r="P845" s="136">
        <f t="shared" ca="1" si="246"/>
        <v>21.177215542739059</v>
      </c>
      <c r="Q845" s="136">
        <f t="shared" ca="1" si="247"/>
        <v>21.177215542739059</v>
      </c>
      <c r="R845" s="136">
        <f t="shared" ca="1" si="248"/>
        <v>2.1177215542739058</v>
      </c>
      <c r="S845" s="136">
        <f t="shared" ca="1" si="249"/>
        <v>2.5060890013023185</v>
      </c>
      <c r="T845" s="104">
        <f t="shared" ca="1" si="250"/>
        <v>0</v>
      </c>
      <c r="U845" s="120">
        <f t="shared" ca="1" si="251"/>
        <v>1297.2589968903351</v>
      </c>
      <c r="V845" s="104">
        <f t="shared" ca="1" si="252"/>
        <v>0</v>
      </c>
      <c r="W845" s="133">
        <f t="shared" ca="1" si="253"/>
        <v>6815.8876602749624</v>
      </c>
      <c r="X845" s="104">
        <f t="shared" ca="1" si="254"/>
        <v>0</v>
      </c>
    </row>
    <row r="846" spans="1:24" x14ac:dyDescent="0.2">
      <c r="A846" s="98">
        <v>2</v>
      </c>
      <c r="B846" s="98">
        <v>1</v>
      </c>
      <c r="C846" s="98">
        <f t="shared" si="236"/>
        <v>7</v>
      </c>
      <c r="D846" s="98">
        <f t="shared" si="237"/>
        <v>6</v>
      </c>
      <c r="E846" s="98">
        <f t="shared" si="238"/>
        <v>2</v>
      </c>
      <c r="F846" s="118">
        <f t="shared" ca="1" si="239"/>
        <v>2.7741495599999996E-2</v>
      </c>
      <c r="G846" s="98">
        <v>1</v>
      </c>
      <c r="H846" s="98">
        <v>1</v>
      </c>
      <c r="I846" s="98">
        <v>0</v>
      </c>
      <c r="J846" s="118">
        <f t="shared" ca="1" si="240"/>
        <v>0</v>
      </c>
      <c r="K846" s="118">
        <f t="shared" ca="1" si="241"/>
        <v>0</v>
      </c>
      <c r="L846" s="133">
        <f t="shared" ca="1" si="242"/>
        <v>336</v>
      </c>
      <c r="M846" s="130">
        <f t="shared" ca="1" si="243"/>
        <v>664</v>
      </c>
      <c r="N846" s="100">
        <f t="shared" ca="1" si="244"/>
        <v>4</v>
      </c>
      <c r="O846" s="136">
        <f t="shared" ca="1" si="245"/>
        <v>2.6973744602864622</v>
      </c>
      <c r="P846" s="136">
        <f t="shared" ca="1" si="246"/>
        <v>26.973744602864617</v>
      </c>
      <c r="Q846" s="136">
        <f t="shared" ca="1" si="247"/>
        <v>22.336521354764173</v>
      </c>
      <c r="R846" s="136">
        <f t="shared" ca="1" si="248"/>
        <v>2.4655132978814391</v>
      </c>
      <c r="S846" s="136">
        <f t="shared" ca="1" si="249"/>
        <v>2.6208602766928046</v>
      </c>
      <c r="T846" s="104">
        <f t="shared" ca="1" si="250"/>
        <v>0</v>
      </c>
      <c r="U846" s="120">
        <f t="shared" ca="1" si="251"/>
        <v>1327.1453149748754</v>
      </c>
      <c r="V846" s="104">
        <f t="shared" ca="1" si="252"/>
        <v>0</v>
      </c>
      <c r="W846" s="133">
        <f t="shared" ca="1" si="253"/>
        <v>4638.2877688133131</v>
      </c>
      <c r="X846" s="104">
        <f t="shared" ca="1" si="254"/>
        <v>0</v>
      </c>
    </row>
    <row r="847" spans="1:24" x14ac:dyDescent="0.2">
      <c r="A847" s="98">
        <v>2</v>
      </c>
      <c r="B847" s="98">
        <v>1</v>
      </c>
      <c r="C847" s="98">
        <f t="shared" si="236"/>
        <v>7</v>
      </c>
      <c r="D847" s="98">
        <f t="shared" si="237"/>
        <v>6</v>
      </c>
      <c r="E847" s="98">
        <f t="shared" si="238"/>
        <v>2</v>
      </c>
      <c r="F847" s="118">
        <f t="shared" ca="1" si="239"/>
        <v>2.7741495599999996E-2</v>
      </c>
      <c r="G847" s="98">
        <v>1</v>
      </c>
      <c r="H847" s="98">
        <v>0</v>
      </c>
      <c r="I847" s="98">
        <v>7</v>
      </c>
      <c r="J847" s="118">
        <f t="shared" si="240"/>
        <v>0</v>
      </c>
      <c r="K847" s="118">
        <f t="shared" ca="1" si="241"/>
        <v>0</v>
      </c>
      <c r="L847" s="133">
        <f t="shared" ca="1" si="242"/>
        <v>252</v>
      </c>
      <c r="M847" s="130">
        <f t="shared" ca="1" si="243"/>
        <v>748</v>
      </c>
      <c r="N847" s="100">
        <f t="shared" ca="1" si="244"/>
        <v>4</v>
      </c>
      <c r="O847" s="136">
        <f t="shared" ca="1" si="245"/>
        <v>2.6973744602864622</v>
      </c>
      <c r="P847" s="136">
        <f t="shared" ca="1" si="246"/>
        <v>26.973744602864617</v>
      </c>
      <c r="Q847" s="136">
        <f t="shared" ca="1" si="247"/>
        <v>26.973744602864617</v>
      </c>
      <c r="R847" s="136">
        <f t="shared" ca="1" si="248"/>
        <v>2.6973744602864618</v>
      </c>
      <c r="S847" s="136">
        <f t="shared" ca="1" si="249"/>
        <v>2.6973744602864622</v>
      </c>
      <c r="T847" s="104">
        <f t="shared" ca="1" si="250"/>
        <v>0</v>
      </c>
      <c r="U847" s="120">
        <f t="shared" ca="1" si="251"/>
        <v>1271.0695270312358</v>
      </c>
      <c r="V847" s="104">
        <f t="shared" ca="1" si="252"/>
        <v>0</v>
      </c>
      <c r="W847" s="133">
        <f t="shared" ca="1" si="253"/>
        <v>17703.88711758321</v>
      </c>
      <c r="X847" s="104">
        <f t="shared" ca="1" si="254"/>
        <v>0</v>
      </c>
    </row>
    <row r="848" spans="1:24" x14ac:dyDescent="0.2">
      <c r="A848" s="98">
        <v>2</v>
      </c>
      <c r="B848" s="98">
        <v>1</v>
      </c>
      <c r="C848" s="98">
        <f t="shared" si="236"/>
        <v>7</v>
      </c>
      <c r="D848" s="98">
        <f t="shared" si="237"/>
        <v>6</v>
      </c>
      <c r="E848" s="98">
        <f t="shared" si="238"/>
        <v>2</v>
      </c>
      <c r="F848" s="118">
        <f t="shared" ca="1" si="239"/>
        <v>2.7741495599999996E-2</v>
      </c>
      <c r="G848" s="98">
        <v>1</v>
      </c>
      <c r="H848" s="98">
        <v>0</v>
      </c>
      <c r="I848" s="98">
        <v>6</v>
      </c>
      <c r="J848" s="118">
        <f t="shared" ca="1" si="240"/>
        <v>0.69833729609374984</v>
      </c>
      <c r="K848" s="118">
        <f t="shared" ca="1" si="241"/>
        <v>1.9372921026900657E-2</v>
      </c>
      <c r="L848" s="133">
        <f t="shared" ca="1" si="242"/>
        <v>240</v>
      </c>
      <c r="M848" s="130">
        <f t="shared" ca="1" si="243"/>
        <v>760</v>
      </c>
      <c r="N848" s="100">
        <f t="shared" ca="1" si="244"/>
        <v>4</v>
      </c>
      <c r="O848" s="136">
        <f t="shared" ca="1" si="245"/>
        <v>2.6973744602864622</v>
      </c>
      <c r="P848" s="136">
        <f t="shared" ca="1" si="246"/>
        <v>26.973744602864617</v>
      </c>
      <c r="Q848" s="136">
        <f t="shared" ca="1" si="247"/>
        <v>26.973744602864617</v>
      </c>
      <c r="R848" s="136">
        <f t="shared" ca="1" si="248"/>
        <v>2.6973744602864618</v>
      </c>
      <c r="S848" s="136">
        <f t="shared" ca="1" si="249"/>
        <v>2.6973744602864622</v>
      </c>
      <c r="T848" s="104">
        <f t="shared" ca="1" si="250"/>
        <v>5.2256022399108412E-2</v>
      </c>
      <c r="U848" s="120">
        <f t="shared" ca="1" si="251"/>
        <v>1259.0695270312358</v>
      </c>
      <c r="V848" s="104">
        <f t="shared" ca="1" si="252"/>
        <v>24.391854514553291</v>
      </c>
      <c r="W848" s="133">
        <f t="shared" ca="1" si="253"/>
        <v>15526.287226121562</v>
      </c>
      <c r="X848" s="104">
        <f t="shared" ca="1" si="254"/>
        <v>300.78953627262945</v>
      </c>
    </row>
    <row r="849" spans="1:24" x14ac:dyDescent="0.2">
      <c r="A849" s="98">
        <v>2</v>
      </c>
      <c r="B849" s="98">
        <v>1</v>
      </c>
      <c r="C849" s="98">
        <f t="shared" si="236"/>
        <v>7</v>
      </c>
      <c r="D849" s="98">
        <f t="shared" si="237"/>
        <v>6</v>
      </c>
      <c r="E849" s="98">
        <f t="shared" si="238"/>
        <v>2</v>
      </c>
      <c r="F849" s="118">
        <f t="shared" ca="1" si="239"/>
        <v>2.7741495599999996E-2</v>
      </c>
      <c r="G849" s="98">
        <v>1</v>
      </c>
      <c r="H849" s="98">
        <v>0</v>
      </c>
      <c r="I849" s="98">
        <v>5</v>
      </c>
      <c r="J849" s="118">
        <f t="shared" ca="1" si="240"/>
        <v>0.22052756718750019</v>
      </c>
      <c r="K849" s="118">
        <f t="shared" ca="1" si="241"/>
        <v>6.1177645348107403E-3</v>
      </c>
      <c r="L849" s="133">
        <f t="shared" ca="1" si="242"/>
        <v>228</v>
      </c>
      <c r="M849" s="130">
        <f t="shared" ca="1" si="243"/>
        <v>772</v>
      </c>
      <c r="N849" s="100">
        <f t="shared" ca="1" si="244"/>
        <v>4</v>
      </c>
      <c r="O849" s="136">
        <f t="shared" ca="1" si="245"/>
        <v>2.6973744602864622</v>
      </c>
      <c r="P849" s="136">
        <f t="shared" ca="1" si="246"/>
        <v>26.973744602864617</v>
      </c>
      <c r="Q849" s="136">
        <f t="shared" ca="1" si="247"/>
        <v>26.973744602864617</v>
      </c>
      <c r="R849" s="136">
        <f t="shared" ca="1" si="248"/>
        <v>2.6973744602864618</v>
      </c>
      <c r="S849" s="136">
        <f t="shared" ca="1" si="249"/>
        <v>2.6973744602864622</v>
      </c>
      <c r="T849" s="104">
        <f t="shared" ca="1" si="250"/>
        <v>1.650190181024478E-2</v>
      </c>
      <c r="U849" s="120">
        <f t="shared" ca="1" si="251"/>
        <v>1247.0695270312358</v>
      </c>
      <c r="V849" s="104">
        <f t="shared" ca="1" si="252"/>
        <v>7.629277724914898</v>
      </c>
      <c r="W849" s="133">
        <f t="shared" ca="1" si="253"/>
        <v>13348.687334659911</v>
      </c>
      <c r="X849" s="104">
        <f t="shared" ca="1" si="254"/>
        <v>81.664125962259718</v>
      </c>
    </row>
    <row r="850" spans="1:24" x14ac:dyDescent="0.2">
      <c r="A850" s="98">
        <v>2</v>
      </c>
      <c r="B850" s="98">
        <v>1</v>
      </c>
      <c r="C850" s="98">
        <f t="shared" si="236"/>
        <v>7</v>
      </c>
      <c r="D850" s="98">
        <f t="shared" si="237"/>
        <v>6</v>
      </c>
      <c r="E850" s="98">
        <f t="shared" si="238"/>
        <v>2</v>
      </c>
      <c r="F850" s="118">
        <f t="shared" ca="1" si="239"/>
        <v>2.7741495599999996E-2</v>
      </c>
      <c r="G850" s="98">
        <v>1</v>
      </c>
      <c r="H850" s="98">
        <v>0</v>
      </c>
      <c r="I850" s="98">
        <v>4</v>
      </c>
      <c r="J850" s="118">
        <f t="shared" ca="1" si="240"/>
        <v>2.9016785156250047E-2</v>
      </c>
      <c r="K850" s="118">
        <f t="shared" ca="1" si="241"/>
        <v>8.0496901773825585E-4</v>
      </c>
      <c r="L850" s="133">
        <f t="shared" ca="1" si="242"/>
        <v>216</v>
      </c>
      <c r="M850" s="130">
        <f t="shared" ca="1" si="243"/>
        <v>784</v>
      </c>
      <c r="N850" s="100">
        <f t="shared" ca="1" si="244"/>
        <v>4</v>
      </c>
      <c r="O850" s="136">
        <f t="shared" ca="1" si="245"/>
        <v>2.6973744602864622</v>
      </c>
      <c r="P850" s="136">
        <f t="shared" ca="1" si="246"/>
        <v>26.973744602864617</v>
      </c>
      <c r="Q850" s="136">
        <f t="shared" ca="1" si="247"/>
        <v>26.973744602864617</v>
      </c>
      <c r="R850" s="136">
        <f t="shared" ca="1" si="248"/>
        <v>2.6973744602864618</v>
      </c>
      <c r="S850" s="136">
        <f t="shared" ca="1" si="249"/>
        <v>2.6973744602864622</v>
      </c>
      <c r="T850" s="104">
        <f t="shared" ca="1" si="250"/>
        <v>2.1713028697690514E-3</v>
      </c>
      <c r="U850" s="120">
        <f t="shared" ca="1" si="251"/>
        <v>1235.0695270312358</v>
      </c>
      <c r="V850" s="104">
        <f t="shared" ca="1" si="252"/>
        <v>0.99419270401278614</v>
      </c>
      <c r="W850" s="133">
        <f t="shared" ca="1" si="253"/>
        <v>11171.087443198261</v>
      </c>
      <c r="X850" s="104">
        <f t="shared" ca="1" si="254"/>
        <v>8.9923792862194674</v>
      </c>
    </row>
    <row r="851" spans="1:24" x14ac:dyDescent="0.2">
      <c r="A851" s="98">
        <v>2</v>
      </c>
      <c r="B851" s="98">
        <v>1</v>
      </c>
      <c r="C851" s="98">
        <f t="shared" si="236"/>
        <v>7</v>
      </c>
      <c r="D851" s="98">
        <f t="shared" si="237"/>
        <v>6</v>
      </c>
      <c r="E851" s="98">
        <f t="shared" si="238"/>
        <v>2</v>
      </c>
      <c r="F851" s="118">
        <f t="shared" ca="1" si="239"/>
        <v>2.7741495599999996E-2</v>
      </c>
      <c r="G851" s="98">
        <v>1</v>
      </c>
      <c r="H851" s="98">
        <v>0</v>
      </c>
      <c r="I851" s="98">
        <v>3</v>
      </c>
      <c r="J851" s="118">
        <f t="shared" ca="1" si="240"/>
        <v>2.0362656250000047E-3</v>
      </c>
      <c r="K851" s="118">
        <f t="shared" ca="1" si="241"/>
        <v>5.6489053876368869E-5</v>
      </c>
      <c r="L851" s="133">
        <f t="shared" ca="1" si="242"/>
        <v>204</v>
      </c>
      <c r="M851" s="130">
        <f t="shared" ca="1" si="243"/>
        <v>796</v>
      </c>
      <c r="N851" s="100">
        <f t="shared" ca="1" si="244"/>
        <v>4</v>
      </c>
      <c r="O851" s="136">
        <f t="shared" ca="1" si="245"/>
        <v>2.6973744602864622</v>
      </c>
      <c r="P851" s="136">
        <f t="shared" ca="1" si="246"/>
        <v>26.973744602864617</v>
      </c>
      <c r="Q851" s="136">
        <f t="shared" ca="1" si="247"/>
        <v>26.973744602864617</v>
      </c>
      <c r="R851" s="136">
        <f t="shared" ca="1" si="248"/>
        <v>2.6973744602864618</v>
      </c>
      <c r="S851" s="136">
        <f t="shared" ca="1" si="249"/>
        <v>2.6973744602864622</v>
      </c>
      <c r="T851" s="104">
        <f t="shared" ca="1" si="250"/>
        <v>1.5237213121186335E-4</v>
      </c>
      <c r="U851" s="120">
        <f t="shared" ca="1" si="251"/>
        <v>1223.0695270312358</v>
      </c>
      <c r="V851" s="104">
        <f t="shared" ca="1" si="252"/>
        <v>6.9090040407012471E-2</v>
      </c>
      <c r="W851" s="133">
        <f t="shared" ca="1" si="253"/>
        <v>8993.4875517366127</v>
      </c>
      <c r="X851" s="104">
        <f t="shared" ca="1" si="254"/>
        <v>0.50803360284650223</v>
      </c>
    </row>
    <row r="852" spans="1:24" x14ac:dyDescent="0.2">
      <c r="A852" s="98">
        <v>2</v>
      </c>
      <c r="B852" s="98">
        <v>1</v>
      </c>
      <c r="C852" s="98">
        <f t="shared" si="236"/>
        <v>7</v>
      </c>
      <c r="D852" s="98">
        <f t="shared" si="237"/>
        <v>6</v>
      </c>
      <c r="E852" s="98">
        <f t="shared" si="238"/>
        <v>2</v>
      </c>
      <c r="F852" s="118">
        <f t="shared" ca="1" si="239"/>
        <v>2.7741495599999996E-2</v>
      </c>
      <c r="G852" s="98">
        <v>1</v>
      </c>
      <c r="H852" s="98">
        <v>0</v>
      </c>
      <c r="I852" s="98">
        <v>2</v>
      </c>
      <c r="J852" s="118">
        <f t="shared" ca="1" si="240"/>
        <v>8.0378906250000291E-5</v>
      </c>
      <c r="K852" s="118">
        <f t="shared" ca="1" si="241"/>
        <v>2.2298310740671952E-6</v>
      </c>
      <c r="L852" s="133">
        <f t="shared" ca="1" si="242"/>
        <v>192</v>
      </c>
      <c r="M852" s="130">
        <f t="shared" ca="1" si="243"/>
        <v>808</v>
      </c>
      <c r="N852" s="100">
        <f t="shared" ca="1" si="244"/>
        <v>4</v>
      </c>
      <c r="O852" s="136">
        <f t="shared" ca="1" si="245"/>
        <v>2.6973744602864622</v>
      </c>
      <c r="P852" s="136">
        <f t="shared" ca="1" si="246"/>
        <v>26.973744602864617</v>
      </c>
      <c r="Q852" s="136">
        <f t="shared" ca="1" si="247"/>
        <v>26.973744602864617</v>
      </c>
      <c r="R852" s="136">
        <f t="shared" ca="1" si="248"/>
        <v>2.6973744602864618</v>
      </c>
      <c r="S852" s="136">
        <f t="shared" ca="1" si="249"/>
        <v>2.6973744602864622</v>
      </c>
      <c r="T852" s="104">
        <f t="shared" ca="1" si="250"/>
        <v>6.0146893899419834E-6</v>
      </c>
      <c r="U852" s="120">
        <f t="shared" ca="1" si="251"/>
        <v>1211.0695270312358</v>
      </c>
      <c r="V852" s="104">
        <f t="shared" ca="1" si="252"/>
        <v>2.7004804642301104E-3</v>
      </c>
      <c r="W852" s="133">
        <f t="shared" ca="1" si="253"/>
        <v>6815.8876602749624</v>
      </c>
      <c r="X852" s="104">
        <f t="shared" ca="1" si="254"/>
        <v>1.5198278102232262E-2</v>
      </c>
    </row>
    <row r="853" spans="1:24" x14ac:dyDescent="0.2">
      <c r="A853" s="98">
        <v>2</v>
      </c>
      <c r="B853" s="98">
        <v>1</v>
      </c>
      <c r="C853" s="98">
        <f t="shared" si="236"/>
        <v>7</v>
      </c>
      <c r="D853" s="98">
        <f t="shared" si="237"/>
        <v>6</v>
      </c>
      <c r="E853" s="98">
        <f t="shared" si="238"/>
        <v>2</v>
      </c>
      <c r="F853" s="118">
        <f t="shared" ca="1" si="239"/>
        <v>2.7741495599999996E-2</v>
      </c>
      <c r="G853" s="98">
        <v>1</v>
      </c>
      <c r="H853" s="98">
        <v>0</v>
      </c>
      <c r="I853" s="98">
        <v>1</v>
      </c>
      <c r="J853" s="118">
        <f t="shared" ca="1" si="240"/>
        <v>1.6921875000000077E-6</v>
      </c>
      <c r="K853" s="118">
        <f t="shared" ca="1" si="241"/>
        <v>4.6943812085625204E-8</v>
      </c>
      <c r="L853" s="133">
        <f t="shared" ca="1" si="242"/>
        <v>180</v>
      </c>
      <c r="M853" s="130">
        <f t="shared" ca="1" si="243"/>
        <v>820</v>
      </c>
      <c r="N853" s="100">
        <f t="shared" ca="1" si="244"/>
        <v>4</v>
      </c>
      <c r="O853" s="136">
        <f t="shared" ca="1" si="245"/>
        <v>2.6973744602864622</v>
      </c>
      <c r="P853" s="136">
        <f t="shared" ca="1" si="246"/>
        <v>26.973744602864617</v>
      </c>
      <c r="Q853" s="136">
        <f t="shared" ca="1" si="247"/>
        <v>26.973744602864617</v>
      </c>
      <c r="R853" s="136">
        <f t="shared" ca="1" si="248"/>
        <v>2.6973744602864618</v>
      </c>
      <c r="S853" s="136">
        <f t="shared" ca="1" si="249"/>
        <v>2.6973744602864622</v>
      </c>
      <c r="T853" s="104">
        <f t="shared" ca="1" si="250"/>
        <v>1.2662503978825237E-7</v>
      </c>
      <c r="U853" s="120">
        <f t="shared" ca="1" si="251"/>
        <v>1199.0695270312358</v>
      </c>
      <c r="V853" s="104">
        <f t="shared" ca="1" si="252"/>
        <v>5.6288894554553825E-5</v>
      </c>
      <c r="W853" s="133">
        <f t="shared" ca="1" si="253"/>
        <v>4638.2877688133131</v>
      </c>
      <c r="X853" s="104">
        <f t="shared" ca="1" si="254"/>
        <v>2.1773890941822595E-4</v>
      </c>
    </row>
    <row r="854" spans="1:24" x14ac:dyDescent="0.2">
      <c r="A854" s="98">
        <v>2</v>
      </c>
      <c r="B854" s="98">
        <v>1</v>
      </c>
      <c r="C854" s="98">
        <f t="shared" si="236"/>
        <v>7</v>
      </c>
      <c r="D854" s="98">
        <f t="shared" si="237"/>
        <v>6</v>
      </c>
      <c r="E854" s="98">
        <f t="shared" si="238"/>
        <v>2</v>
      </c>
      <c r="F854" s="118">
        <f t="shared" ca="1" si="239"/>
        <v>2.7741495599999996E-2</v>
      </c>
      <c r="G854" s="98">
        <v>1</v>
      </c>
      <c r="H854" s="98">
        <v>0</v>
      </c>
      <c r="I854" s="98">
        <v>0</v>
      </c>
      <c r="J854" s="118">
        <f t="shared" ca="1" si="240"/>
        <v>1.4843750000000078E-8</v>
      </c>
      <c r="K854" s="118">
        <f t="shared" ca="1" si="241"/>
        <v>4.1178782531250207E-10</v>
      </c>
      <c r="L854" s="133">
        <f t="shared" ca="1" si="242"/>
        <v>168</v>
      </c>
      <c r="M854" s="130">
        <f t="shared" ca="1" si="243"/>
        <v>832</v>
      </c>
      <c r="N854" s="100">
        <f t="shared" ca="1" si="244"/>
        <v>4</v>
      </c>
      <c r="O854" s="136">
        <f t="shared" ca="1" si="245"/>
        <v>2.6973744602864622</v>
      </c>
      <c r="P854" s="136">
        <f t="shared" ca="1" si="246"/>
        <v>26.973744602864617</v>
      </c>
      <c r="Q854" s="136">
        <f t="shared" ca="1" si="247"/>
        <v>26.973744602864617</v>
      </c>
      <c r="R854" s="136">
        <f t="shared" ca="1" si="248"/>
        <v>2.6973744602864618</v>
      </c>
      <c r="S854" s="136">
        <f t="shared" ca="1" si="249"/>
        <v>2.6973744602864622</v>
      </c>
      <c r="T854" s="104">
        <f t="shared" ca="1" si="250"/>
        <v>1.1107459630548464E-9</v>
      </c>
      <c r="U854" s="120">
        <f t="shared" ca="1" si="251"/>
        <v>1187.0695270312358</v>
      </c>
      <c r="V854" s="104">
        <f t="shared" ca="1" si="252"/>
        <v>4.8882077903093298E-7</v>
      </c>
      <c r="W854" s="133">
        <f t="shared" ca="1" si="253"/>
        <v>2460.6878773516637</v>
      </c>
      <c r="X854" s="104">
        <f t="shared" ca="1" si="254"/>
        <v>1.0132813097874784E-6</v>
      </c>
    </row>
    <row r="855" spans="1:24" x14ac:dyDescent="0.2">
      <c r="A855" s="98">
        <v>2</v>
      </c>
      <c r="B855" s="98">
        <v>1</v>
      </c>
      <c r="C855" s="98">
        <f t="shared" si="236"/>
        <v>7</v>
      </c>
      <c r="D855" s="98">
        <f t="shared" si="237"/>
        <v>6</v>
      </c>
      <c r="E855" s="98">
        <f t="shared" si="238"/>
        <v>2</v>
      </c>
      <c r="F855" s="118">
        <f t="shared" ca="1" si="239"/>
        <v>2.7741495599999996E-2</v>
      </c>
      <c r="G855" s="98">
        <v>0</v>
      </c>
      <c r="H855" s="98">
        <v>1</v>
      </c>
      <c r="I855" s="98">
        <v>7</v>
      </c>
      <c r="J855" s="118">
        <f t="shared" si="240"/>
        <v>0</v>
      </c>
      <c r="K855" s="118">
        <f t="shared" ca="1" si="241"/>
        <v>0</v>
      </c>
      <c r="L855" s="133">
        <f t="shared" ca="1" si="242"/>
        <v>252</v>
      </c>
      <c r="M855" s="130">
        <f t="shared" ca="1" si="243"/>
        <v>748</v>
      </c>
      <c r="N855" s="100">
        <f t="shared" ca="1" si="244"/>
        <v>4</v>
      </c>
      <c r="O855" s="136">
        <f t="shared" ca="1" si="245"/>
        <v>2.6973744602864622</v>
      </c>
      <c r="P855" s="136">
        <f t="shared" ca="1" si="246"/>
        <v>26.973744602864617</v>
      </c>
      <c r="Q855" s="136">
        <f t="shared" ca="1" si="247"/>
        <v>26.973744602864617</v>
      </c>
      <c r="R855" s="136">
        <f t="shared" ca="1" si="248"/>
        <v>2.6973744602864618</v>
      </c>
      <c r="S855" s="136">
        <f t="shared" ca="1" si="249"/>
        <v>2.6973744602864622</v>
      </c>
      <c r="T855" s="104">
        <f t="shared" ca="1" si="250"/>
        <v>0</v>
      </c>
      <c r="U855" s="120">
        <f t="shared" ca="1" si="251"/>
        <v>1271.0695270312358</v>
      </c>
      <c r="V855" s="104">
        <f t="shared" ca="1" si="252"/>
        <v>0</v>
      </c>
      <c r="W855" s="133">
        <f t="shared" ca="1" si="253"/>
        <v>17420.799131693195</v>
      </c>
      <c r="X855" s="104">
        <f t="shared" ca="1" si="254"/>
        <v>0</v>
      </c>
    </row>
    <row r="856" spans="1:24" x14ac:dyDescent="0.2">
      <c r="A856" s="98">
        <v>2</v>
      </c>
      <c r="B856" s="98">
        <v>1</v>
      </c>
      <c r="C856" s="98">
        <f t="shared" si="236"/>
        <v>7</v>
      </c>
      <c r="D856" s="98">
        <f t="shared" si="237"/>
        <v>6</v>
      </c>
      <c r="E856" s="98">
        <f t="shared" si="238"/>
        <v>2</v>
      </c>
      <c r="F856" s="118">
        <f t="shared" ca="1" si="239"/>
        <v>2.7741495599999996E-2</v>
      </c>
      <c r="G856" s="98">
        <v>0</v>
      </c>
      <c r="H856" s="98">
        <v>1</v>
      </c>
      <c r="I856" s="98">
        <v>6</v>
      </c>
      <c r="J856" s="118">
        <f t="shared" ca="1" si="240"/>
        <v>0</v>
      </c>
      <c r="K856" s="118">
        <f t="shared" ca="1" si="241"/>
        <v>0</v>
      </c>
      <c r="L856" s="133">
        <f t="shared" ca="1" si="242"/>
        <v>240</v>
      </c>
      <c r="M856" s="130">
        <f t="shared" ca="1" si="243"/>
        <v>760</v>
      </c>
      <c r="N856" s="100">
        <f t="shared" ca="1" si="244"/>
        <v>4</v>
      </c>
      <c r="O856" s="136">
        <f t="shared" ca="1" si="245"/>
        <v>2.6973744602864622</v>
      </c>
      <c r="P856" s="136">
        <f t="shared" ca="1" si="246"/>
        <v>26.973744602864617</v>
      </c>
      <c r="Q856" s="136">
        <f t="shared" ca="1" si="247"/>
        <v>26.973744602864617</v>
      </c>
      <c r="R856" s="136">
        <f t="shared" ca="1" si="248"/>
        <v>2.6973744602864618</v>
      </c>
      <c r="S856" s="136">
        <f t="shared" ca="1" si="249"/>
        <v>2.6973744602864622</v>
      </c>
      <c r="T856" s="104">
        <f t="shared" ca="1" si="250"/>
        <v>0</v>
      </c>
      <c r="U856" s="120">
        <f t="shared" ca="1" si="251"/>
        <v>1259.0695270312358</v>
      </c>
      <c r="V856" s="104">
        <f t="shared" ca="1" si="252"/>
        <v>0</v>
      </c>
      <c r="W856" s="133">
        <f t="shared" ca="1" si="253"/>
        <v>15243.199240231548</v>
      </c>
      <c r="X856" s="104">
        <f t="shared" ca="1" si="254"/>
        <v>0</v>
      </c>
    </row>
    <row r="857" spans="1:24" x14ac:dyDescent="0.2">
      <c r="A857" s="98">
        <v>2</v>
      </c>
      <c r="B857" s="98">
        <v>1</v>
      </c>
      <c r="C857" s="98">
        <f t="shared" si="236"/>
        <v>7</v>
      </c>
      <c r="D857" s="98">
        <f t="shared" si="237"/>
        <v>6</v>
      </c>
      <c r="E857" s="98">
        <f t="shared" si="238"/>
        <v>2</v>
      </c>
      <c r="F857" s="118">
        <f t="shared" ca="1" si="239"/>
        <v>2.7741495599999996E-2</v>
      </c>
      <c r="G857" s="98">
        <v>0</v>
      </c>
      <c r="H857" s="98">
        <v>1</v>
      </c>
      <c r="I857" s="98">
        <v>5</v>
      </c>
      <c r="J857" s="118">
        <f t="shared" ca="1" si="240"/>
        <v>0</v>
      </c>
      <c r="K857" s="118">
        <f t="shared" ca="1" si="241"/>
        <v>0</v>
      </c>
      <c r="L857" s="133">
        <f t="shared" ca="1" si="242"/>
        <v>228</v>
      </c>
      <c r="M857" s="130">
        <f t="shared" ca="1" si="243"/>
        <v>772</v>
      </c>
      <c r="N857" s="100">
        <f t="shared" ca="1" si="244"/>
        <v>4</v>
      </c>
      <c r="O857" s="136">
        <f t="shared" ca="1" si="245"/>
        <v>2.6973744602864622</v>
      </c>
      <c r="P857" s="136">
        <f t="shared" ca="1" si="246"/>
        <v>26.973744602864617</v>
      </c>
      <c r="Q857" s="136">
        <f t="shared" ca="1" si="247"/>
        <v>26.973744602864617</v>
      </c>
      <c r="R857" s="136">
        <f t="shared" ca="1" si="248"/>
        <v>2.6973744602864618</v>
      </c>
      <c r="S857" s="136">
        <f t="shared" ca="1" si="249"/>
        <v>2.6973744602864622</v>
      </c>
      <c r="T857" s="104">
        <f t="shared" ca="1" si="250"/>
        <v>0</v>
      </c>
      <c r="U857" s="120">
        <f t="shared" ca="1" si="251"/>
        <v>1247.0695270312358</v>
      </c>
      <c r="V857" s="104">
        <f t="shared" ca="1" si="252"/>
        <v>0</v>
      </c>
      <c r="W857" s="133">
        <f t="shared" ca="1" si="253"/>
        <v>13065.599348769898</v>
      </c>
      <c r="X857" s="104">
        <f t="shared" ca="1" si="254"/>
        <v>0</v>
      </c>
    </row>
    <row r="858" spans="1:24" x14ac:dyDescent="0.2">
      <c r="A858" s="98">
        <v>2</v>
      </c>
      <c r="B858" s="98">
        <v>1</v>
      </c>
      <c r="C858" s="98">
        <f t="shared" si="236"/>
        <v>7</v>
      </c>
      <c r="D858" s="98">
        <f t="shared" si="237"/>
        <v>6</v>
      </c>
      <c r="E858" s="98">
        <f t="shared" si="238"/>
        <v>2</v>
      </c>
      <c r="F858" s="118">
        <f t="shared" ca="1" si="239"/>
        <v>2.7741495599999996E-2</v>
      </c>
      <c r="G858" s="98">
        <v>0</v>
      </c>
      <c r="H858" s="98">
        <v>1</v>
      </c>
      <c r="I858" s="98">
        <v>4</v>
      </c>
      <c r="J858" s="118">
        <f t="shared" ca="1" si="240"/>
        <v>0</v>
      </c>
      <c r="K858" s="118">
        <f t="shared" ca="1" si="241"/>
        <v>0</v>
      </c>
      <c r="L858" s="133">
        <f t="shared" ca="1" si="242"/>
        <v>216</v>
      </c>
      <c r="M858" s="130">
        <f t="shared" ca="1" si="243"/>
        <v>784</v>
      </c>
      <c r="N858" s="100">
        <f t="shared" ca="1" si="244"/>
        <v>4</v>
      </c>
      <c r="O858" s="136">
        <f t="shared" ca="1" si="245"/>
        <v>2.6973744602864622</v>
      </c>
      <c r="P858" s="136">
        <f t="shared" ca="1" si="246"/>
        <v>26.973744602864617</v>
      </c>
      <c r="Q858" s="136">
        <f t="shared" ca="1" si="247"/>
        <v>26.973744602864617</v>
      </c>
      <c r="R858" s="136">
        <f t="shared" ca="1" si="248"/>
        <v>2.6973744602864618</v>
      </c>
      <c r="S858" s="136">
        <f t="shared" ca="1" si="249"/>
        <v>2.6973744602864622</v>
      </c>
      <c r="T858" s="104">
        <f t="shared" ca="1" si="250"/>
        <v>0</v>
      </c>
      <c r="U858" s="120">
        <f t="shared" ca="1" si="251"/>
        <v>1235.0695270312358</v>
      </c>
      <c r="V858" s="104">
        <f t="shared" ca="1" si="252"/>
        <v>0</v>
      </c>
      <c r="W858" s="133">
        <f t="shared" ca="1" si="253"/>
        <v>10887.999457308248</v>
      </c>
      <c r="X858" s="104">
        <f t="shared" ca="1" si="254"/>
        <v>0</v>
      </c>
    </row>
    <row r="859" spans="1:24" x14ac:dyDescent="0.2">
      <c r="A859" s="98">
        <v>2</v>
      </c>
      <c r="B859" s="98">
        <v>1</v>
      </c>
      <c r="C859" s="98">
        <f t="shared" si="236"/>
        <v>7</v>
      </c>
      <c r="D859" s="98">
        <f t="shared" si="237"/>
        <v>6</v>
      </c>
      <c r="E859" s="98">
        <f t="shared" si="238"/>
        <v>2</v>
      </c>
      <c r="F859" s="118">
        <f t="shared" ca="1" si="239"/>
        <v>2.7741495599999996E-2</v>
      </c>
      <c r="G859" s="98">
        <v>0</v>
      </c>
      <c r="H859" s="98">
        <v>1</v>
      </c>
      <c r="I859" s="98">
        <v>3</v>
      </c>
      <c r="J859" s="118">
        <f t="shared" ca="1" si="240"/>
        <v>0</v>
      </c>
      <c r="K859" s="118">
        <f t="shared" ca="1" si="241"/>
        <v>0</v>
      </c>
      <c r="L859" s="133">
        <f t="shared" ca="1" si="242"/>
        <v>204</v>
      </c>
      <c r="M859" s="130">
        <f t="shared" ca="1" si="243"/>
        <v>796</v>
      </c>
      <c r="N859" s="100">
        <f t="shared" ca="1" si="244"/>
        <v>4</v>
      </c>
      <c r="O859" s="136">
        <f t="shared" ca="1" si="245"/>
        <v>2.6973744602864622</v>
      </c>
      <c r="P859" s="136">
        <f t="shared" ca="1" si="246"/>
        <v>26.973744602864617</v>
      </c>
      <c r="Q859" s="136">
        <f t="shared" ca="1" si="247"/>
        <v>26.973744602864617</v>
      </c>
      <c r="R859" s="136">
        <f t="shared" ca="1" si="248"/>
        <v>2.6973744602864618</v>
      </c>
      <c r="S859" s="136">
        <f t="shared" ca="1" si="249"/>
        <v>2.6973744602864622</v>
      </c>
      <c r="T859" s="104">
        <f t="shared" ca="1" si="250"/>
        <v>0</v>
      </c>
      <c r="U859" s="120">
        <f t="shared" ca="1" si="251"/>
        <v>1223.0695270312358</v>
      </c>
      <c r="V859" s="104">
        <f t="shared" ca="1" si="252"/>
        <v>0</v>
      </c>
      <c r="W859" s="133">
        <f t="shared" ca="1" si="253"/>
        <v>8710.3995658465974</v>
      </c>
      <c r="X859" s="104">
        <f t="shared" ca="1" si="254"/>
        <v>0</v>
      </c>
    </row>
    <row r="860" spans="1:24" x14ac:dyDescent="0.2">
      <c r="A860" s="98">
        <v>2</v>
      </c>
      <c r="B860" s="98">
        <v>1</v>
      </c>
      <c r="C860" s="98">
        <f t="shared" si="236"/>
        <v>7</v>
      </c>
      <c r="D860" s="98">
        <f t="shared" si="237"/>
        <v>6</v>
      </c>
      <c r="E860" s="98">
        <f t="shared" si="238"/>
        <v>2</v>
      </c>
      <c r="F860" s="118">
        <f t="shared" ca="1" si="239"/>
        <v>2.7741495599999996E-2</v>
      </c>
      <c r="G860" s="98">
        <v>0</v>
      </c>
      <c r="H860" s="98">
        <v>1</v>
      </c>
      <c r="I860" s="98">
        <v>2</v>
      </c>
      <c r="J860" s="118">
        <f t="shared" ca="1" si="240"/>
        <v>0</v>
      </c>
      <c r="K860" s="118">
        <f t="shared" ca="1" si="241"/>
        <v>0</v>
      </c>
      <c r="L860" s="133">
        <f t="shared" ca="1" si="242"/>
        <v>192</v>
      </c>
      <c r="M860" s="130">
        <f t="shared" ca="1" si="243"/>
        <v>808</v>
      </c>
      <c r="N860" s="100">
        <f t="shared" ca="1" si="244"/>
        <v>4</v>
      </c>
      <c r="O860" s="136">
        <f t="shared" ca="1" si="245"/>
        <v>2.6973744602864622</v>
      </c>
      <c r="P860" s="136">
        <f t="shared" ca="1" si="246"/>
        <v>26.973744602864617</v>
      </c>
      <c r="Q860" s="136">
        <f t="shared" ca="1" si="247"/>
        <v>26.973744602864617</v>
      </c>
      <c r="R860" s="136">
        <f t="shared" ca="1" si="248"/>
        <v>2.6973744602864618</v>
      </c>
      <c r="S860" s="136">
        <f t="shared" ca="1" si="249"/>
        <v>2.6973744602864622</v>
      </c>
      <c r="T860" s="104">
        <f t="shared" ca="1" si="250"/>
        <v>0</v>
      </c>
      <c r="U860" s="120">
        <f t="shared" ca="1" si="251"/>
        <v>1211.0695270312358</v>
      </c>
      <c r="V860" s="104">
        <f t="shared" ca="1" si="252"/>
        <v>0</v>
      </c>
      <c r="W860" s="133">
        <f t="shared" ca="1" si="253"/>
        <v>6532.799674384948</v>
      </c>
      <c r="X860" s="104">
        <f t="shared" ca="1" si="254"/>
        <v>0</v>
      </c>
    </row>
    <row r="861" spans="1:24" x14ac:dyDescent="0.2">
      <c r="A861" s="98">
        <v>2</v>
      </c>
      <c r="B861" s="98">
        <v>1</v>
      </c>
      <c r="C861" s="98">
        <f t="shared" si="236"/>
        <v>7</v>
      </c>
      <c r="D861" s="98">
        <f t="shared" si="237"/>
        <v>6</v>
      </c>
      <c r="E861" s="98">
        <f t="shared" si="238"/>
        <v>2</v>
      </c>
      <c r="F861" s="118">
        <f t="shared" ca="1" si="239"/>
        <v>2.7741495599999996E-2</v>
      </c>
      <c r="G861" s="98">
        <v>0</v>
      </c>
      <c r="H861" s="98">
        <v>1</v>
      </c>
      <c r="I861" s="98">
        <v>1</v>
      </c>
      <c r="J861" s="118">
        <f t="shared" ca="1" si="240"/>
        <v>0</v>
      </c>
      <c r="K861" s="118">
        <f t="shared" ca="1" si="241"/>
        <v>0</v>
      </c>
      <c r="L861" s="133">
        <f t="shared" ca="1" si="242"/>
        <v>180</v>
      </c>
      <c r="M861" s="130">
        <f t="shared" ca="1" si="243"/>
        <v>820</v>
      </c>
      <c r="N861" s="100">
        <f t="shared" ca="1" si="244"/>
        <v>4</v>
      </c>
      <c r="O861" s="136">
        <f t="shared" ca="1" si="245"/>
        <v>2.6973744602864622</v>
      </c>
      <c r="P861" s="136">
        <f t="shared" ca="1" si="246"/>
        <v>26.973744602864617</v>
      </c>
      <c r="Q861" s="136">
        <f t="shared" ca="1" si="247"/>
        <v>26.973744602864617</v>
      </c>
      <c r="R861" s="136">
        <f t="shared" ca="1" si="248"/>
        <v>2.6973744602864618</v>
      </c>
      <c r="S861" s="136">
        <f t="shared" ca="1" si="249"/>
        <v>2.6973744602864622</v>
      </c>
      <c r="T861" s="104">
        <f t="shared" ca="1" si="250"/>
        <v>0</v>
      </c>
      <c r="U861" s="120">
        <f t="shared" ca="1" si="251"/>
        <v>1199.0695270312358</v>
      </c>
      <c r="V861" s="104">
        <f t="shared" ca="1" si="252"/>
        <v>0</v>
      </c>
      <c r="W861" s="133">
        <f t="shared" ca="1" si="253"/>
        <v>4355.1997829232987</v>
      </c>
      <c r="X861" s="104">
        <f t="shared" ca="1" si="254"/>
        <v>0</v>
      </c>
    </row>
    <row r="862" spans="1:24" x14ac:dyDescent="0.2">
      <c r="A862" s="98">
        <v>2</v>
      </c>
      <c r="B862" s="98">
        <v>1</v>
      </c>
      <c r="C862" s="98">
        <f t="shared" si="236"/>
        <v>7</v>
      </c>
      <c r="D862" s="98">
        <f t="shared" si="237"/>
        <v>6</v>
      </c>
      <c r="E862" s="98">
        <f t="shared" si="238"/>
        <v>2</v>
      </c>
      <c r="F862" s="118">
        <f t="shared" ca="1" si="239"/>
        <v>2.7741495599999996E-2</v>
      </c>
      <c r="G862" s="98">
        <v>0</v>
      </c>
      <c r="H862" s="98">
        <v>1</v>
      </c>
      <c r="I862" s="98">
        <v>0</v>
      </c>
      <c r="J862" s="118">
        <f t="shared" ca="1" si="240"/>
        <v>0</v>
      </c>
      <c r="K862" s="118">
        <f t="shared" ca="1" si="241"/>
        <v>0</v>
      </c>
      <c r="L862" s="133">
        <f t="shared" ca="1" si="242"/>
        <v>168</v>
      </c>
      <c r="M862" s="130">
        <f t="shared" ca="1" si="243"/>
        <v>832</v>
      </c>
      <c r="N862" s="100">
        <f t="shared" ca="1" si="244"/>
        <v>4</v>
      </c>
      <c r="O862" s="136">
        <f t="shared" ca="1" si="245"/>
        <v>2.6973744602864622</v>
      </c>
      <c r="P862" s="136">
        <f t="shared" ca="1" si="246"/>
        <v>26.973744602864617</v>
      </c>
      <c r="Q862" s="136">
        <f t="shared" ca="1" si="247"/>
        <v>26.973744602864617</v>
      </c>
      <c r="R862" s="136">
        <f t="shared" ca="1" si="248"/>
        <v>2.6973744602864618</v>
      </c>
      <c r="S862" s="136">
        <f t="shared" ca="1" si="249"/>
        <v>2.6973744602864622</v>
      </c>
      <c r="T862" s="104">
        <f t="shared" ca="1" si="250"/>
        <v>0</v>
      </c>
      <c r="U862" s="120">
        <f t="shared" ca="1" si="251"/>
        <v>1187.0695270312358</v>
      </c>
      <c r="V862" s="104">
        <f t="shared" ca="1" si="252"/>
        <v>0</v>
      </c>
      <c r="W862" s="133">
        <f t="shared" ca="1" si="253"/>
        <v>2177.5998914616493</v>
      </c>
      <c r="X862" s="104">
        <f t="shared" ca="1" si="254"/>
        <v>0</v>
      </c>
    </row>
    <row r="863" spans="1:24" x14ac:dyDescent="0.2">
      <c r="A863" s="98">
        <v>2</v>
      </c>
      <c r="B863" s="98">
        <v>1</v>
      </c>
      <c r="C863" s="98">
        <f t="shared" si="236"/>
        <v>7</v>
      </c>
      <c r="D863" s="98">
        <f t="shared" si="237"/>
        <v>6</v>
      </c>
      <c r="E863" s="98">
        <f t="shared" si="238"/>
        <v>2</v>
      </c>
      <c r="F863" s="118">
        <f t="shared" ca="1" si="239"/>
        <v>2.7741495599999996E-2</v>
      </c>
      <c r="G863" s="98">
        <v>0</v>
      </c>
      <c r="H863" s="98">
        <v>0</v>
      </c>
      <c r="I863" s="98">
        <v>7</v>
      </c>
      <c r="J863" s="118">
        <f t="shared" si="240"/>
        <v>0</v>
      </c>
      <c r="K863" s="118">
        <f t="shared" ca="1" si="241"/>
        <v>0</v>
      </c>
      <c r="L863" s="133">
        <f t="shared" ca="1" si="242"/>
        <v>84</v>
      </c>
      <c r="M863" s="130">
        <f t="shared" ca="1" si="243"/>
        <v>916</v>
      </c>
      <c r="N863" s="100">
        <f t="shared" ca="1" si="244"/>
        <v>5</v>
      </c>
      <c r="O863" s="136">
        <f t="shared" ca="1" si="245"/>
        <v>3.301004590397413</v>
      </c>
      <c r="P863" s="136">
        <f t="shared" ca="1" si="246"/>
        <v>33.010045903974124</v>
      </c>
      <c r="Q863" s="136">
        <f t="shared" ca="1" si="247"/>
        <v>33.010045903974124</v>
      </c>
      <c r="R863" s="136">
        <f t="shared" ca="1" si="248"/>
        <v>3.3010045903974126</v>
      </c>
      <c r="S863" s="136">
        <f t="shared" ca="1" si="249"/>
        <v>3.3010045903974126</v>
      </c>
      <c r="T863" s="104">
        <f t="shared" ca="1" si="250"/>
        <v>0</v>
      </c>
      <c r="U863" s="120">
        <f t="shared" ca="1" si="251"/>
        <v>1323.3671890482913</v>
      </c>
      <c r="V863" s="104">
        <f t="shared" ca="1" si="252"/>
        <v>0</v>
      </c>
      <c r="W863" s="133">
        <f t="shared" ca="1" si="253"/>
        <v>15243.199240231546</v>
      </c>
      <c r="X863" s="104">
        <f t="shared" ca="1" si="254"/>
        <v>0</v>
      </c>
    </row>
    <row r="864" spans="1:24" x14ac:dyDescent="0.2">
      <c r="A864" s="98">
        <v>2</v>
      </c>
      <c r="B864" s="98">
        <v>1</v>
      </c>
      <c r="C864" s="98">
        <f t="shared" si="236"/>
        <v>7</v>
      </c>
      <c r="D864" s="98">
        <f t="shared" si="237"/>
        <v>6</v>
      </c>
      <c r="E864" s="98">
        <f t="shared" si="238"/>
        <v>2</v>
      </c>
      <c r="F864" s="118">
        <f t="shared" ca="1" si="239"/>
        <v>2.7741495599999996E-2</v>
      </c>
      <c r="G864" s="98">
        <v>0</v>
      </c>
      <c r="H864" s="98">
        <v>0</v>
      </c>
      <c r="I864" s="98">
        <v>6</v>
      </c>
      <c r="J864" s="118">
        <f t="shared" ca="1" si="240"/>
        <v>3.6754594531249997E-2</v>
      </c>
      <c r="K864" s="118">
        <f t="shared" ca="1" si="241"/>
        <v>1.0196274224684558E-3</v>
      </c>
      <c r="L864" s="133">
        <f t="shared" ca="1" si="242"/>
        <v>72</v>
      </c>
      <c r="M864" s="130">
        <f t="shared" ca="1" si="243"/>
        <v>928</v>
      </c>
      <c r="N864" s="100">
        <f t="shared" ca="1" si="244"/>
        <v>5</v>
      </c>
      <c r="O864" s="136">
        <f t="shared" ca="1" si="245"/>
        <v>3.301004590397413</v>
      </c>
      <c r="P864" s="136">
        <f t="shared" ca="1" si="246"/>
        <v>33.010045903974124</v>
      </c>
      <c r="Q864" s="136">
        <f t="shared" ca="1" si="247"/>
        <v>33.010045903974124</v>
      </c>
      <c r="R864" s="136">
        <f t="shared" ca="1" si="248"/>
        <v>3.3010045903974126</v>
      </c>
      <c r="S864" s="136">
        <f t="shared" ca="1" si="249"/>
        <v>3.3010045903974126</v>
      </c>
      <c r="T864" s="104">
        <f t="shared" ca="1" si="250"/>
        <v>3.3657948020634544E-3</v>
      </c>
      <c r="U864" s="120">
        <f t="shared" ca="1" si="251"/>
        <v>1311.3671890482913</v>
      </c>
      <c r="V864" s="104">
        <f t="shared" ca="1" si="252"/>
        <v>1.3371059468790134</v>
      </c>
      <c r="W864" s="133">
        <f t="shared" ca="1" si="253"/>
        <v>13065.599348769898</v>
      </c>
      <c r="X864" s="104">
        <f t="shared" ca="1" si="254"/>
        <v>13.322043386991785</v>
      </c>
    </row>
    <row r="865" spans="1:24" x14ac:dyDescent="0.2">
      <c r="A865" s="98">
        <v>2</v>
      </c>
      <c r="B865" s="98">
        <v>1</v>
      </c>
      <c r="C865" s="98">
        <f t="shared" si="236"/>
        <v>7</v>
      </c>
      <c r="D865" s="98">
        <f t="shared" si="237"/>
        <v>6</v>
      </c>
      <c r="E865" s="98">
        <f t="shared" si="238"/>
        <v>2</v>
      </c>
      <c r="F865" s="118">
        <f t="shared" ca="1" si="239"/>
        <v>2.7741495599999996E-2</v>
      </c>
      <c r="G865" s="98">
        <v>0</v>
      </c>
      <c r="H865" s="98">
        <v>0</v>
      </c>
      <c r="I865" s="98">
        <v>5</v>
      </c>
      <c r="J865" s="118">
        <f t="shared" ca="1" si="240"/>
        <v>1.1606714062500011E-2</v>
      </c>
      <c r="K865" s="118">
        <f t="shared" ca="1" si="241"/>
        <v>3.2198760709530212E-4</v>
      </c>
      <c r="L865" s="133">
        <f t="shared" ca="1" si="242"/>
        <v>60</v>
      </c>
      <c r="M865" s="130">
        <f t="shared" ca="1" si="243"/>
        <v>940</v>
      </c>
      <c r="N865" s="100">
        <f t="shared" ca="1" si="244"/>
        <v>5</v>
      </c>
      <c r="O865" s="136">
        <f t="shared" ca="1" si="245"/>
        <v>3.301004590397413</v>
      </c>
      <c r="P865" s="136">
        <f t="shared" ca="1" si="246"/>
        <v>33.010045903974124</v>
      </c>
      <c r="Q865" s="136">
        <f t="shared" ca="1" si="247"/>
        <v>33.010045903974124</v>
      </c>
      <c r="R865" s="136">
        <f t="shared" ca="1" si="248"/>
        <v>3.3010045903974126</v>
      </c>
      <c r="S865" s="136">
        <f t="shared" ca="1" si="249"/>
        <v>3.3010045903974126</v>
      </c>
      <c r="T865" s="104">
        <f t="shared" ca="1" si="250"/>
        <v>1.0628825690726707E-3</v>
      </c>
      <c r="U865" s="120">
        <f t="shared" ca="1" si="251"/>
        <v>1299.3671890482913</v>
      </c>
      <c r="V865" s="104">
        <f t="shared" ca="1" si="252"/>
        <v>0.41838013193980839</v>
      </c>
      <c r="W865" s="133">
        <f t="shared" ca="1" si="253"/>
        <v>10887.999457308248</v>
      </c>
      <c r="X865" s="104">
        <f t="shared" ca="1" si="254"/>
        <v>3.5058008913136307</v>
      </c>
    </row>
    <row r="866" spans="1:24" x14ac:dyDescent="0.2">
      <c r="A866" s="98">
        <v>2</v>
      </c>
      <c r="B866" s="98">
        <v>1</v>
      </c>
      <c r="C866" s="98">
        <f t="shared" si="236"/>
        <v>7</v>
      </c>
      <c r="D866" s="98">
        <f t="shared" si="237"/>
        <v>6</v>
      </c>
      <c r="E866" s="98">
        <f t="shared" si="238"/>
        <v>2</v>
      </c>
      <c r="F866" s="118">
        <f t="shared" ca="1" si="239"/>
        <v>2.7741495599999996E-2</v>
      </c>
      <c r="G866" s="98">
        <v>0</v>
      </c>
      <c r="H866" s="98">
        <v>0</v>
      </c>
      <c r="I866" s="98">
        <v>4</v>
      </c>
      <c r="J866" s="118">
        <f t="shared" ca="1" si="240"/>
        <v>1.5271992187500026E-3</v>
      </c>
      <c r="K866" s="118">
        <f t="shared" ca="1" si="241"/>
        <v>4.2366790407276631E-5</v>
      </c>
      <c r="L866" s="133">
        <f t="shared" ca="1" si="242"/>
        <v>48</v>
      </c>
      <c r="M866" s="130">
        <f t="shared" ca="1" si="243"/>
        <v>952</v>
      </c>
      <c r="N866" s="100">
        <f t="shared" ca="1" si="244"/>
        <v>5</v>
      </c>
      <c r="O866" s="136">
        <f t="shared" ca="1" si="245"/>
        <v>3.301004590397413</v>
      </c>
      <c r="P866" s="136">
        <f t="shared" ca="1" si="246"/>
        <v>33.010045903974124</v>
      </c>
      <c r="Q866" s="136">
        <f t="shared" ca="1" si="247"/>
        <v>33.010045903974124</v>
      </c>
      <c r="R866" s="136">
        <f t="shared" ca="1" si="248"/>
        <v>3.3010045903974126</v>
      </c>
      <c r="S866" s="136">
        <f t="shared" ca="1" si="249"/>
        <v>3.3010045903974126</v>
      </c>
      <c r="T866" s="104">
        <f t="shared" ca="1" si="250"/>
        <v>1.3985296961482521E-4</v>
      </c>
      <c r="U866" s="120">
        <f t="shared" ca="1" si="251"/>
        <v>1287.3671890482913</v>
      </c>
      <c r="V866" s="104">
        <f t="shared" ca="1" si="252"/>
        <v>5.4541615875613826E-2</v>
      </c>
      <c r="W866" s="133">
        <f t="shared" ca="1" si="253"/>
        <v>8710.3995658465974</v>
      </c>
      <c r="X866" s="104">
        <f t="shared" ca="1" si="254"/>
        <v>0.36903167276985616</v>
      </c>
    </row>
    <row r="867" spans="1:24" x14ac:dyDescent="0.2">
      <c r="A867" s="98">
        <v>2</v>
      </c>
      <c r="B867" s="98">
        <v>1</v>
      </c>
      <c r="C867" s="98">
        <f t="shared" si="236"/>
        <v>7</v>
      </c>
      <c r="D867" s="98">
        <f t="shared" si="237"/>
        <v>6</v>
      </c>
      <c r="E867" s="98">
        <f t="shared" si="238"/>
        <v>2</v>
      </c>
      <c r="F867" s="118">
        <f t="shared" ca="1" si="239"/>
        <v>2.7741495599999996E-2</v>
      </c>
      <c r="G867" s="98">
        <v>0</v>
      </c>
      <c r="H867" s="98">
        <v>0</v>
      </c>
      <c r="I867" s="98">
        <v>3</v>
      </c>
      <c r="J867" s="118">
        <f t="shared" ca="1" si="240"/>
        <v>1.0717187500000027E-4</v>
      </c>
      <c r="K867" s="118">
        <f t="shared" ca="1" si="241"/>
        <v>2.9731080987562568E-6</v>
      </c>
      <c r="L867" s="133">
        <f t="shared" ca="1" si="242"/>
        <v>36</v>
      </c>
      <c r="M867" s="130">
        <f t="shared" ca="1" si="243"/>
        <v>964</v>
      </c>
      <c r="N867" s="100">
        <f t="shared" ca="1" si="244"/>
        <v>5</v>
      </c>
      <c r="O867" s="136">
        <f t="shared" ca="1" si="245"/>
        <v>3.301004590397413</v>
      </c>
      <c r="P867" s="136">
        <f t="shared" ca="1" si="246"/>
        <v>33.010045903974124</v>
      </c>
      <c r="Q867" s="136">
        <f t="shared" ca="1" si="247"/>
        <v>33.010045903974124</v>
      </c>
      <c r="R867" s="136">
        <f t="shared" ca="1" si="248"/>
        <v>3.3010045903974126</v>
      </c>
      <c r="S867" s="136">
        <f t="shared" ca="1" si="249"/>
        <v>3.3010045903974126</v>
      </c>
      <c r="T867" s="104">
        <f t="shared" ca="1" si="250"/>
        <v>9.8142434817421276E-6</v>
      </c>
      <c r="U867" s="120">
        <f t="shared" ca="1" si="251"/>
        <v>1275.3671890482913</v>
      </c>
      <c r="V867" s="104">
        <f t="shared" ca="1" si="252"/>
        <v>3.7918045186474767E-3</v>
      </c>
      <c r="W867" s="133">
        <f t="shared" ca="1" si="253"/>
        <v>6532.799674384949</v>
      </c>
      <c r="X867" s="104">
        <f t="shared" ca="1" si="254"/>
        <v>1.9422719619466129E-2</v>
      </c>
    </row>
    <row r="868" spans="1:24" x14ac:dyDescent="0.2">
      <c r="A868" s="98">
        <v>2</v>
      </c>
      <c r="B868" s="98">
        <v>1</v>
      </c>
      <c r="C868" s="98">
        <f t="shared" si="236"/>
        <v>7</v>
      </c>
      <c r="D868" s="98">
        <f t="shared" si="237"/>
        <v>6</v>
      </c>
      <c r="E868" s="98">
        <f t="shared" si="238"/>
        <v>2</v>
      </c>
      <c r="F868" s="118">
        <f t="shared" ca="1" si="239"/>
        <v>2.7741495599999996E-2</v>
      </c>
      <c r="G868" s="98">
        <v>0</v>
      </c>
      <c r="H868" s="98">
        <v>0</v>
      </c>
      <c r="I868" s="98">
        <v>2</v>
      </c>
      <c r="J868" s="118">
        <f t="shared" ca="1" si="240"/>
        <v>4.2304687500000152E-6</v>
      </c>
      <c r="K868" s="118">
        <f t="shared" ca="1" si="241"/>
        <v>1.173595302140629E-7</v>
      </c>
      <c r="L868" s="133">
        <f t="shared" ca="1" si="242"/>
        <v>24</v>
      </c>
      <c r="M868" s="130">
        <f t="shared" ca="1" si="243"/>
        <v>976</v>
      </c>
      <c r="N868" s="100">
        <f t="shared" ca="1" si="244"/>
        <v>5</v>
      </c>
      <c r="O868" s="136">
        <f t="shared" ca="1" si="245"/>
        <v>3.301004590397413</v>
      </c>
      <c r="P868" s="136">
        <f t="shared" ca="1" si="246"/>
        <v>33.010045903974124</v>
      </c>
      <c r="Q868" s="136">
        <f t="shared" ca="1" si="247"/>
        <v>33.010045903974124</v>
      </c>
      <c r="R868" s="136">
        <f t="shared" ca="1" si="248"/>
        <v>3.3010045903974126</v>
      </c>
      <c r="S868" s="136">
        <f t="shared" ca="1" si="249"/>
        <v>3.3010045903974126</v>
      </c>
      <c r="T868" s="104">
        <f t="shared" ca="1" si="250"/>
        <v>3.8740434796350546E-7</v>
      </c>
      <c r="U868" s="120">
        <f t="shared" ca="1" si="251"/>
        <v>1263.3671890482913</v>
      </c>
      <c r="V868" s="104">
        <f t="shared" ca="1" si="252"/>
        <v>1.4826817979456865E-4</v>
      </c>
      <c r="W868" s="133">
        <f t="shared" ca="1" si="253"/>
        <v>4355.1997829232987</v>
      </c>
      <c r="X868" s="104">
        <f t="shared" ca="1" si="254"/>
        <v>5.1112420051226701E-4</v>
      </c>
    </row>
    <row r="869" spans="1:24" x14ac:dyDescent="0.2">
      <c r="A869" s="98">
        <v>2</v>
      </c>
      <c r="B869" s="98">
        <v>1</v>
      </c>
      <c r="C869" s="98">
        <f t="shared" si="236"/>
        <v>7</v>
      </c>
      <c r="D869" s="98">
        <f t="shared" si="237"/>
        <v>6</v>
      </c>
      <c r="E869" s="98">
        <f t="shared" si="238"/>
        <v>2</v>
      </c>
      <c r="F869" s="118">
        <f t="shared" ca="1" si="239"/>
        <v>2.7741495599999996E-2</v>
      </c>
      <c r="G869" s="98">
        <v>0</v>
      </c>
      <c r="H869" s="98">
        <v>0</v>
      </c>
      <c r="I869" s="98">
        <v>1</v>
      </c>
      <c r="J869" s="118">
        <f t="shared" ca="1" si="240"/>
        <v>8.9062500000000418E-8</v>
      </c>
      <c r="K869" s="118">
        <f t="shared" ca="1" si="241"/>
        <v>2.4707269518750113E-9</v>
      </c>
      <c r="L869" s="133">
        <f t="shared" ca="1" si="242"/>
        <v>12</v>
      </c>
      <c r="M869" s="130">
        <f t="shared" ca="1" si="243"/>
        <v>988</v>
      </c>
      <c r="N869" s="100">
        <f t="shared" ca="1" si="244"/>
        <v>5</v>
      </c>
      <c r="O869" s="136">
        <f t="shared" ca="1" si="245"/>
        <v>3.301004590397413</v>
      </c>
      <c r="P869" s="136">
        <f t="shared" ca="1" si="246"/>
        <v>33.010045903974124</v>
      </c>
      <c r="Q869" s="136">
        <f t="shared" ca="1" si="247"/>
        <v>33.010045903974124</v>
      </c>
      <c r="R869" s="136">
        <f t="shared" ca="1" si="248"/>
        <v>3.3010045903974126</v>
      </c>
      <c r="S869" s="136">
        <f t="shared" ca="1" si="249"/>
        <v>3.3010045903974126</v>
      </c>
      <c r="T869" s="104">
        <f t="shared" ca="1" si="250"/>
        <v>8.1558810097580186E-9</v>
      </c>
      <c r="U869" s="120">
        <f t="shared" ca="1" si="251"/>
        <v>1251.3671890482913</v>
      </c>
      <c r="V869" s="104">
        <f t="shared" ca="1" si="252"/>
        <v>3.0917866406736856E-6</v>
      </c>
      <c r="W869" s="133">
        <f t="shared" ca="1" si="253"/>
        <v>2177.5998914616493</v>
      </c>
      <c r="X869" s="104">
        <f t="shared" ca="1" si="254"/>
        <v>5.3802547422343964E-6</v>
      </c>
    </row>
    <row r="870" spans="1:24" x14ac:dyDescent="0.2">
      <c r="A870" s="98">
        <v>2</v>
      </c>
      <c r="B870" s="98">
        <v>1</v>
      </c>
      <c r="C870" s="98">
        <f t="shared" si="236"/>
        <v>7</v>
      </c>
      <c r="D870" s="98">
        <f t="shared" si="237"/>
        <v>6</v>
      </c>
      <c r="E870" s="98">
        <f t="shared" si="238"/>
        <v>2</v>
      </c>
      <c r="F870" s="118">
        <f t="shared" ca="1" si="239"/>
        <v>2.7741495599999996E-2</v>
      </c>
      <c r="G870" s="98">
        <v>0</v>
      </c>
      <c r="H870" s="98">
        <v>0</v>
      </c>
      <c r="I870" s="98">
        <v>0</v>
      </c>
      <c r="J870" s="118">
        <f t="shared" ca="1" si="240"/>
        <v>7.812500000000041E-10</v>
      </c>
      <c r="K870" s="118">
        <f t="shared" ca="1" si="241"/>
        <v>2.1673043437500111E-11</v>
      </c>
      <c r="L870" s="133">
        <f t="shared" ca="1" si="242"/>
        <v>0</v>
      </c>
      <c r="M870" s="130">
        <f t="shared" ca="1" si="243"/>
        <v>1000</v>
      </c>
      <c r="N870" s="100">
        <f t="shared" ca="1" si="244"/>
        <v>5</v>
      </c>
      <c r="O870" s="136">
        <f t="shared" ca="1" si="245"/>
        <v>3.301004590397413</v>
      </c>
      <c r="P870" s="136">
        <f t="shared" ca="1" si="246"/>
        <v>33.010045903974124</v>
      </c>
      <c r="Q870" s="136">
        <f t="shared" ca="1" si="247"/>
        <v>33.010045903974124</v>
      </c>
      <c r="R870" s="136">
        <f t="shared" ca="1" si="248"/>
        <v>3.3010045903974126</v>
      </c>
      <c r="S870" s="136">
        <f t="shared" ca="1" si="249"/>
        <v>3.3010045903974126</v>
      </c>
      <c r="T870" s="104">
        <f t="shared" ca="1" si="250"/>
        <v>7.1542815875070385E-11</v>
      </c>
      <c r="U870" s="120">
        <f t="shared" ca="1" si="251"/>
        <v>1239.3671890482913</v>
      </c>
      <c r="V870" s="104">
        <f t="shared" ca="1" si="252"/>
        <v>2.6860858923256029E-8</v>
      </c>
      <c r="W870" s="133">
        <f t="shared" ca="1" si="253"/>
        <v>0</v>
      </c>
      <c r="X870" s="104">
        <f t="shared" ca="1" si="254"/>
        <v>0</v>
      </c>
    </row>
    <row r="871" spans="1:24" x14ac:dyDescent="0.2">
      <c r="A871" s="98">
        <v>2</v>
      </c>
      <c r="B871" s="98">
        <v>2</v>
      </c>
      <c r="C871" s="98">
        <f t="shared" ref="C871:C934" si="255">MIN(8, 1+$B$543+$B$542+A871+B871)</f>
        <v>8</v>
      </c>
      <c r="D871" s="98">
        <f t="shared" ref="D871:D934" si="256">C871-(1+$B$543)</f>
        <v>7</v>
      </c>
      <c r="E871" s="98">
        <f t="shared" ref="E871:E934" si="257">MIN(A871, C871-(1+$B$543+$B$542))</f>
        <v>2</v>
      </c>
      <c r="F871" s="118">
        <f t="shared" ref="F871:F934" ca="1" si="258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7.6212899999999984E-3</v>
      </c>
      <c r="G871" s="98">
        <v>1</v>
      </c>
      <c r="H871" s="98">
        <v>1</v>
      </c>
      <c r="I871" s="98">
        <v>7</v>
      </c>
      <c r="J871" s="118">
        <f t="shared" ref="J871:J934" ca="1" si="259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18">
        <f t="shared" ref="K871:K934" ca="1" si="260">F871*J871</f>
        <v>0</v>
      </c>
      <c r="L871" s="133">
        <f t="shared" ref="L871:L934" ca="1" si="261">MAX((G871+H871)*Set2WSTP + I871*$B$539, Set2SaveTP)</f>
        <v>420</v>
      </c>
      <c r="M871" s="130">
        <f t="shared" ref="M871:M934" ca="1" si="262">MAX(Set2MinTP-(L871+Set2Regain), 0)</f>
        <v>580</v>
      </c>
      <c r="N871" s="100">
        <f t="shared" ref="N871:N934" ca="1" si="263">CEILING(M871/Set2MeleeTP, 1)</f>
        <v>3</v>
      </c>
      <c r="O871" s="136">
        <f t="shared" ref="O871:O934" ca="1" si="264">VLOOKUP(N871, AvgRoundsSet2, 2)</f>
        <v>2.1177215542739054</v>
      </c>
      <c r="P871" s="136">
        <f t="shared" ref="P871:P934" ca="1" si="265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21.177215542739059</v>
      </c>
      <c r="Q871" s="136">
        <f t="shared" ref="Q871:Q934" ca="1" si="266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21.177215542739059</v>
      </c>
      <c r="R871" s="136">
        <f t="shared" ref="R871:R934" ca="1" si="267">(P871+Q871)/20</f>
        <v>2.1177215542739058</v>
      </c>
      <c r="S871" s="136">
        <f t="shared" ref="S871:S934" ca="1" si="268">R871*Set2ConserveTP + O871*(1-Set2ConserveTP)</f>
        <v>2.1177215542739054</v>
      </c>
      <c r="T871" s="104">
        <f t="shared" ref="T871:T934" ca="1" si="269">K871*S871</f>
        <v>0</v>
      </c>
      <c r="U871" s="120">
        <f t="shared" ref="U871:U934" ca="1" si="270">MIN(L871+(S871+Set2OverTP)*AvgHitsPerRound2*Set2MeleeTP + Set2Regain + 105*Set2ConserveTP, 3000)</f>
        <v>1227.5224659982036</v>
      </c>
      <c r="V871" s="104">
        <f t="shared" ref="V871:V934" ca="1" si="271">U871*K871</f>
        <v>0</v>
      </c>
      <c r="W871" s="133">
        <f t="shared" ref="W871:W934" ca="1" si="272">G871*$K$543*((1-$L$543)*$L$547 + $L$543*$M$547*$M$543)*Set2WSDmg + H871*$K$546*((1-$L$546)*$L$547 + $L$546*$M$547*$M$544) + I871*$K$544*((1-$L$544)*$L$547 + $L$544*$M$547*$M$544) + E871*$K$545*$L$545*$M$543</f>
        <v>19881.48700904486</v>
      </c>
      <c r="X871" s="104">
        <f t="shared" ref="X871:X934" ca="1" si="273">K871*W871</f>
        <v>0</v>
      </c>
    </row>
    <row r="872" spans="1:24" x14ac:dyDescent="0.2">
      <c r="A872" s="98">
        <v>2</v>
      </c>
      <c r="B872" s="98">
        <v>2</v>
      </c>
      <c r="C872" s="98">
        <f t="shared" si="255"/>
        <v>8</v>
      </c>
      <c r="D872" s="98">
        <f t="shared" si="256"/>
        <v>7</v>
      </c>
      <c r="E872" s="98">
        <f t="shared" si="257"/>
        <v>2</v>
      </c>
      <c r="F872" s="118">
        <f t="shared" ca="1" si="258"/>
        <v>7.6212899999999984E-3</v>
      </c>
      <c r="G872" s="98">
        <v>1</v>
      </c>
      <c r="H872" s="98">
        <v>1</v>
      </c>
      <c r="I872" s="98">
        <v>6</v>
      </c>
      <c r="J872" s="118">
        <f t="shared" ca="1" si="259"/>
        <v>0</v>
      </c>
      <c r="K872" s="118">
        <f t="shared" ca="1" si="260"/>
        <v>0</v>
      </c>
      <c r="L872" s="133">
        <f t="shared" ca="1" si="261"/>
        <v>408</v>
      </c>
      <c r="M872" s="130">
        <f t="shared" ca="1" si="262"/>
        <v>592</v>
      </c>
      <c r="N872" s="100">
        <f t="shared" ca="1" si="263"/>
        <v>3</v>
      </c>
      <c r="O872" s="136">
        <f t="shared" ca="1" si="264"/>
        <v>2.1177215542739054</v>
      </c>
      <c r="P872" s="136">
        <f t="shared" ca="1" si="265"/>
        <v>21.177215542739059</v>
      </c>
      <c r="Q872" s="136">
        <f t="shared" ca="1" si="266"/>
        <v>21.177215542739059</v>
      </c>
      <c r="R872" s="136">
        <f t="shared" ca="1" si="267"/>
        <v>2.1177215542739058</v>
      </c>
      <c r="S872" s="136">
        <f t="shared" ca="1" si="268"/>
        <v>2.1177215542739054</v>
      </c>
      <c r="T872" s="104">
        <f t="shared" ca="1" si="269"/>
        <v>0</v>
      </c>
      <c r="U872" s="120">
        <f t="shared" ca="1" si="270"/>
        <v>1215.5224659982036</v>
      </c>
      <c r="V872" s="104">
        <f t="shared" ca="1" si="271"/>
        <v>0</v>
      </c>
      <c r="W872" s="133">
        <f t="shared" ca="1" si="272"/>
        <v>17703.88711758321</v>
      </c>
      <c r="X872" s="104">
        <f t="shared" ca="1" si="273"/>
        <v>0</v>
      </c>
    </row>
    <row r="873" spans="1:24" x14ac:dyDescent="0.2">
      <c r="A873" s="98">
        <v>2</v>
      </c>
      <c r="B873" s="98">
        <v>2</v>
      </c>
      <c r="C873" s="98">
        <f t="shared" si="255"/>
        <v>8</v>
      </c>
      <c r="D873" s="98">
        <f t="shared" si="256"/>
        <v>7</v>
      </c>
      <c r="E873" s="98">
        <f t="shared" si="257"/>
        <v>2</v>
      </c>
      <c r="F873" s="118">
        <f t="shared" ca="1" si="258"/>
        <v>7.6212899999999984E-3</v>
      </c>
      <c r="G873" s="98">
        <v>1</v>
      </c>
      <c r="H873" s="98">
        <v>1</v>
      </c>
      <c r="I873" s="98">
        <v>5</v>
      </c>
      <c r="J873" s="118">
        <f t="shared" ca="1" si="259"/>
        <v>0</v>
      </c>
      <c r="K873" s="118">
        <f t="shared" ca="1" si="260"/>
        <v>0</v>
      </c>
      <c r="L873" s="133">
        <f t="shared" ca="1" si="261"/>
        <v>396</v>
      </c>
      <c r="M873" s="130">
        <f t="shared" ca="1" si="262"/>
        <v>604</v>
      </c>
      <c r="N873" s="100">
        <f t="shared" ca="1" si="263"/>
        <v>3</v>
      </c>
      <c r="O873" s="136">
        <f t="shared" ca="1" si="264"/>
        <v>2.1177215542739054</v>
      </c>
      <c r="P873" s="136">
        <f t="shared" ca="1" si="265"/>
        <v>21.177215542739059</v>
      </c>
      <c r="Q873" s="136">
        <f t="shared" ca="1" si="266"/>
        <v>21.177215542739059</v>
      </c>
      <c r="R873" s="136">
        <f t="shared" ca="1" si="267"/>
        <v>2.1177215542739058</v>
      </c>
      <c r="S873" s="136">
        <f t="shared" ca="1" si="268"/>
        <v>2.1177215542739054</v>
      </c>
      <c r="T873" s="104">
        <f t="shared" ca="1" si="269"/>
        <v>0</v>
      </c>
      <c r="U873" s="120">
        <f t="shared" ca="1" si="270"/>
        <v>1203.5224659982036</v>
      </c>
      <c r="V873" s="104">
        <f t="shared" ca="1" si="271"/>
        <v>0</v>
      </c>
      <c r="W873" s="133">
        <f t="shared" ca="1" si="272"/>
        <v>15526.28722612156</v>
      </c>
      <c r="X873" s="104">
        <f t="shared" ca="1" si="273"/>
        <v>0</v>
      </c>
    </row>
    <row r="874" spans="1:24" x14ac:dyDescent="0.2">
      <c r="A874" s="98">
        <v>2</v>
      </c>
      <c r="B874" s="98">
        <v>2</v>
      </c>
      <c r="C874" s="98">
        <f t="shared" si="255"/>
        <v>8</v>
      </c>
      <c r="D874" s="98">
        <f t="shared" si="256"/>
        <v>7</v>
      </c>
      <c r="E874" s="98">
        <f t="shared" si="257"/>
        <v>2</v>
      </c>
      <c r="F874" s="118">
        <f t="shared" ca="1" si="258"/>
        <v>7.6212899999999984E-3</v>
      </c>
      <c r="G874" s="98">
        <v>1</v>
      </c>
      <c r="H874" s="98">
        <v>1</v>
      </c>
      <c r="I874" s="98">
        <v>4</v>
      </c>
      <c r="J874" s="118">
        <f t="shared" ca="1" si="259"/>
        <v>0</v>
      </c>
      <c r="K874" s="118">
        <f t="shared" ca="1" si="260"/>
        <v>0</v>
      </c>
      <c r="L874" s="133">
        <f t="shared" ca="1" si="261"/>
        <v>384</v>
      </c>
      <c r="M874" s="130">
        <f t="shared" ca="1" si="262"/>
        <v>616</v>
      </c>
      <c r="N874" s="100">
        <f t="shared" ca="1" si="263"/>
        <v>3</v>
      </c>
      <c r="O874" s="136">
        <f t="shared" ca="1" si="264"/>
        <v>2.1177215542739054</v>
      </c>
      <c r="P874" s="136">
        <f t="shared" ca="1" si="265"/>
        <v>21.177215542739059</v>
      </c>
      <c r="Q874" s="136">
        <f t="shared" ca="1" si="266"/>
        <v>21.177215542739059</v>
      </c>
      <c r="R874" s="136">
        <f t="shared" ca="1" si="267"/>
        <v>2.1177215542739058</v>
      </c>
      <c r="S874" s="136">
        <f t="shared" ca="1" si="268"/>
        <v>2.1177215542739054</v>
      </c>
      <c r="T874" s="104">
        <f t="shared" ca="1" si="269"/>
        <v>0</v>
      </c>
      <c r="U874" s="120">
        <f t="shared" ca="1" si="270"/>
        <v>1191.5224659982036</v>
      </c>
      <c r="V874" s="104">
        <f t="shared" ca="1" si="271"/>
        <v>0</v>
      </c>
      <c r="W874" s="133">
        <f t="shared" ca="1" si="272"/>
        <v>13348.68733465991</v>
      </c>
      <c r="X874" s="104">
        <f t="shared" ca="1" si="273"/>
        <v>0</v>
      </c>
    </row>
    <row r="875" spans="1:24" x14ac:dyDescent="0.2">
      <c r="A875" s="98">
        <v>2</v>
      </c>
      <c r="B875" s="98">
        <v>2</v>
      </c>
      <c r="C875" s="98">
        <f t="shared" si="255"/>
        <v>8</v>
      </c>
      <c r="D875" s="98">
        <f t="shared" si="256"/>
        <v>7</v>
      </c>
      <c r="E875" s="98">
        <f t="shared" si="257"/>
        <v>2</v>
      </c>
      <c r="F875" s="118">
        <f t="shared" ca="1" si="258"/>
        <v>7.6212899999999984E-3</v>
      </c>
      <c r="G875" s="98">
        <v>1</v>
      </c>
      <c r="H875" s="98">
        <v>1</v>
      </c>
      <c r="I875" s="98">
        <v>3</v>
      </c>
      <c r="J875" s="118">
        <f t="shared" ca="1" si="259"/>
        <v>0</v>
      </c>
      <c r="K875" s="118">
        <f t="shared" ca="1" si="260"/>
        <v>0</v>
      </c>
      <c r="L875" s="133">
        <f t="shared" ca="1" si="261"/>
        <v>372</v>
      </c>
      <c r="M875" s="130">
        <f t="shared" ca="1" si="262"/>
        <v>628</v>
      </c>
      <c r="N875" s="100">
        <f t="shared" ca="1" si="263"/>
        <v>3</v>
      </c>
      <c r="O875" s="136">
        <f t="shared" ca="1" si="264"/>
        <v>2.1177215542739054</v>
      </c>
      <c r="P875" s="136">
        <f t="shared" ca="1" si="265"/>
        <v>21.177215542739059</v>
      </c>
      <c r="Q875" s="136">
        <f t="shared" ca="1" si="266"/>
        <v>21.177215542739059</v>
      </c>
      <c r="R875" s="136">
        <f t="shared" ca="1" si="267"/>
        <v>2.1177215542739058</v>
      </c>
      <c r="S875" s="136">
        <f t="shared" ca="1" si="268"/>
        <v>2.1177215542739054</v>
      </c>
      <c r="T875" s="104">
        <f t="shared" ca="1" si="269"/>
        <v>0</v>
      </c>
      <c r="U875" s="120">
        <f t="shared" ca="1" si="270"/>
        <v>1179.5224659982036</v>
      </c>
      <c r="V875" s="104">
        <f t="shared" ca="1" si="271"/>
        <v>0</v>
      </c>
      <c r="W875" s="133">
        <f t="shared" ca="1" si="272"/>
        <v>11171.087443198263</v>
      </c>
      <c r="X875" s="104">
        <f t="shared" ca="1" si="273"/>
        <v>0</v>
      </c>
    </row>
    <row r="876" spans="1:24" x14ac:dyDescent="0.2">
      <c r="A876" s="98">
        <v>2</v>
      </c>
      <c r="B876" s="98">
        <v>2</v>
      </c>
      <c r="C876" s="98">
        <f t="shared" si="255"/>
        <v>8</v>
      </c>
      <c r="D876" s="98">
        <f t="shared" si="256"/>
        <v>7</v>
      </c>
      <c r="E876" s="98">
        <f t="shared" si="257"/>
        <v>2</v>
      </c>
      <c r="F876" s="118">
        <f t="shared" ca="1" si="258"/>
        <v>7.6212899999999984E-3</v>
      </c>
      <c r="G876" s="98">
        <v>1</v>
      </c>
      <c r="H876" s="98">
        <v>1</v>
      </c>
      <c r="I876" s="98">
        <v>2</v>
      </c>
      <c r="J876" s="118">
        <f t="shared" ca="1" si="259"/>
        <v>0</v>
      </c>
      <c r="K876" s="118">
        <f t="shared" ca="1" si="260"/>
        <v>0</v>
      </c>
      <c r="L876" s="133">
        <f t="shared" ca="1" si="261"/>
        <v>360</v>
      </c>
      <c r="M876" s="130">
        <f t="shared" ca="1" si="262"/>
        <v>640</v>
      </c>
      <c r="N876" s="100">
        <f t="shared" ca="1" si="263"/>
        <v>3</v>
      </c>
      <c r="O876" s="136">
        <f t="shared" ca="1" si="264"/>
        <v>2.1177215542739054</v>
      </c>
      <c r="P876" s="136">
        <f t="shared" ca="1" si="265"/>
        <v>21.177215542739059</v>
      </c>
      <c r="Q876" s="136">
        <f t="shared" ca="1" si="266"/>
        <v>21.177215542739059</v>
      </c>
      <c r="R876" s="136">
        <f t="shared" ca="1" si="267"/>
        <v>2.1177215542739058</v>
      </c>
      <c r="S876" s="136">
        <f t="shared" ca="1" si="268"/>
        <v>2.1177215542739054</v>
      </c>
      <c r="T876" s="104">
        <f t="shared" ca="1" si="269"/>
        <v>0</v>
      </c>
      <c r="U876" s="120">
        <f t="shared" ca="1" si="270"/>
        <v>1167.5224659982036</v>
      </c>
      <c r="V876" s="104">
        <f t="shared" ca="1" si="271"/>
        <v>0</v>
      </c>
      <c r="W876" s="133">
        <f t="shared" ca="1" si="272"/>
        <v>8993.4875517366127</v>
      </c>
      <c r="X876" s="104">
        <f t="shared" ca="1" si="273"/>
        <v>0</v>
      </c>
    </row>
    <row r="877" spans="1:24" x14ac:dyDescent="0.2">
      <c r="A877" s="98">
        <v>2</v>
      </c>
      <c r="B877" s="98">
        <v>2</v>
      </c>
      <c r="C877" s="98">
        <f t="shared" si="255"/>
        <v>8</v>
      </c>
      <c r="D877" s="98">
        <f t="shared" si="256"/>
        <v>7</v>
      </c>
      <c r="E877" s="98">
        <f t="shared" si="257"/>
        <v>2</v>
      </c>
      <c r="F877" s="118">
        <f t="shared" ca="1" si="258"/>
        <v>7.6212899999999984E-3</v>
      </c>
      <c r="G877" s="98">
        <v>1</v>
      </c>
      <c r="H877" s="98">
        <v>1</v>
      </c>
      <c r="I877" s="98">
        <v>1</v>
      </c>
      <c r="J877" s="118">
        <f t="shared" ca="1" si="259"/>
        <v>0</v>
      </c>
      <c r="K877" s="118">
        <f t="shared" ca="1" si="260"/>
        <v>0</v>
      </c>
      <c r="L877" s="133">
        <f t="shared" ca="1" si="261"/>
        <v>348</v>
      </c>
      <c r="M877" s="130">
        <f t="shared" ca="1" si="262"/>
        <v>652</v>
      </c>
      <c r="N877" s="100">
        <f t="shared" ca="1" si="263"/>
        <v>4</v>
      </c>
      <c r="O877" s="136">
        <f t="shared" ca="1" si="264"/>
        <v>2.6973744602864622</v>
      </c>
      <c r="P877" s="136">
        <f t="shared" ca="1" si="265"/>
        <v>21.177215542739059</v>
      </c>
      <c r="Q877" s="136">
        <f t="shared" ca="1" si="266"/>
        <v>21.177215542739059</v>
      </c>
      <c r="R877" s="136">
        <f t="shared" ca="1" si="267"/>
        <v>2.1177215542739058</v>
      </c>
      <c r="S877" s="136">
        <f t="shared" ca="1" si="268"/>
        <v>2.5060890013023185</v>
      </c>
      <c r="T877" s="104">
        <f t="shared" ca="1" si="269"/>
        <v>0</v>
      </c>
      <c r="U877" s="120">
        <f t="shared" ca="1" si="270"/>
        <v>1297.2589968903351</v>
      </c>
      <c r="V877" s="104">
        <f t="shared" ca="1" si="271"/>
        <v>0</v>
      </c>
      <c r="W877" s="133">
        <f t="shared" ca="1" si="272"/>
        <v>6815.8876602749624</v>
      </c>
      <c r="X877" s="104">
        <f t="shared" ca="1" si="273"/>
        <v>0</v>
      </c>
    </row>
    <row r="878" spans="1:24" x14ac:dyDescent="0.2">
      <c r="A878" s="98">
        <v>2</v>
      </c>
      <c r="B878" s="98">
        <v>2</v>
      </c>
      <c r="C878" s="98">
        <f t="shared" si="255"/>
        <v>8</v>
      </c>
      <c r="D878" s="98">
        <f t="shared" si="256"/>
        <v>7</v>
      </c>
      <c r="E878" s="98">
        <f t="shared" si="257"/>
        <v>2</v>
      </c>
      <c r="F878" s="118">
        <f t="shared" ca="1" si="258"/>
        <v>7.6212899999999984E-3</v>
      </c>
      <c r="G878" s="98">
        <v>1</v>
      </c>
      <c r="H878" s="98">
        <v>1</v>
      </c>
      <c r="I878" s="98">
        <v>0</v>
      </c>
      <c r="J878" s="118">
        <f t="shared" ca="1" si="259"/>
        <v>0</v>
      </c>
      <c r="K878" s="118">
        <f t="shared" ca="1" si="260"/>
        <v>0</v>
      </c>
      <c r="L878" s="133">
        <f t="shared" ca="1" si="261"/>
        <v>336</v>
      </c>
      <c r="M878" s="130">
        <f t="shared" ca="1" si="262"/>
        <v>664</v>
      </c>
      <c r="N878" s="100">
        <f t="shared" ca="1" si="263"/>
        <v>4</v>
      </c>
      <c r="O878" s="136">
        <f t="shared" ca="1" si="264"/>
        <v>2.6973744602864622</v>
      </c>
      <c r="P878" s="136">
        <f t="shared" ca="1" si="265"/>
        <v>26.973744602864617</v>
      </c>
      <c r="Q878" s="136">
        <f t="shared" ca="1" si="266"/>
        <v>22.336521354764173</v>
      </c>
      <c r="R878" s="136">
        <f t="shared" ca="1" si="267"/>
        <v>2.4655132978814391</v>
      </c>
      <c r="S878" s="136">
        <f t="shared" ca="1" si="268"/>
        <v>2.6208602766928046</v>
      </c>
      <c r="T878" s="104">
        <f t="shared" ca="1" si="269"/>
        <v>0</v>
      </c>
      <c r="U878" s="120">
        <f t="shared" ca="1" si="270"/>
        <v>1327.1453149748754</v>
      </c>
      <c r="V878" s="104">
        <f t="shared" ca="1" si="271"/>
        <v>0</v>
      </c>
      <c r="W878" s="133">
        <f t="shared" ca="1" si="272"/>
        <v>4638.2877688133131</v>
      </c>
      <c r="X878" s="104">
        <f t="shared" ca="1" si="273"/>
        <v>0</v>
      </c>
    </row>
    <row r="879" spans="1:24" x14ac:dyDescent="0.2">
      <c r="A879" s="98">
        <v>2</v>
      </c>
      <c r="B879" s="98">
        <v>2</v>
      </c>
      <c r="C879" s="98">
        <f t="shared" si="255"/>
        <v>8</v>
      </c>
      <c r="D879" s="98">
        <f t="shared" si="256"/>
        <v>7</v>
      </c>
      <c r="E879" s="98">
        <f t="shared" si="257"/>
        <v>2</v>
      </c>
      <c r="F879" s="118">
        <f t="shared" ca="1" si="258"/>
        <v>7.6212899999999984E-3</v>
      </c>
      <c r="G879" s="98">
        <v>1</v>
      </c>
      <c r="H879" s="98">
        <v>0</v>
      </c>
      <c r="I879" s="98">
        <v>7</v>
      </c>
      <c r="J879" s="118">
        <f t="shared" ca="1" si="259"/>
        <v>0.66342043128906247</v>
      </c>
      <c r="K879" s="118">
        <f t="shared" ca="1" si="260"/>
        <v>5.0561194987790176E-3</v>
      </c>
      <c r="L879" s="133">
        <f t="shared" ca="1" si="261"/>
        <v>252</v>
      </c>
      <c r="M879" s="130">
        <f t="shared" ca="1" si="262"/>
        <v>748</v>
      </c>
      <c r="N879" s="100">
        <f t="shared" ca="1" si="263"/>
        <v>4</v>
      </c>
      <c r="O879" s="136">
        <f t="shared" ca="1" si="264"/>
        <v>2.6973744602864622</v>
      </c>
      <c r="P879" s="136">
        <f t="shared" ca="1" si="265"/>
        <v>26.973744602864617</v>
      </c>
      <c r="Q879" s="136">
        <f t="shared" ca="1" si="266"/>
        <v>26.973744602864617</v>
      </c>
      <c r="R879" s="136">
        <f t="shared" ca="1" si="267"/>
        <v>2.6973744602864618</v>
      </c>
      <c r="S879" s="136">
        <f t="shared" ca="1" si="268"/>
        <v>2.6973744602864622</v>
      </c>
      <c r="T879" s="104">
        <f t="shared" ca="1" si="269"/>
        <v>1.363824760416291E-2</v>
      </c>
      <c r="U879" s="120">
        <f t="shared" ca="1" si="270"/>
        <v>1271.0695270312358</v>
      </c>
      <c r="V879" s="104">
        <f t="shared" ca="1" si="271"/>
        <v>6.4266794199264545</v>
      </c>
      <c r="W879" s="133">
        <f t="shared" ca="1" si="272"/>
        <v>17703.88711758321</v>
      </c>
      <c r="X879" s="104">
        <f t="shared" ca="1" si="273"/>
        <v>89.51296885939513</v>
      </c>
    </row>
    <row r="880" spans="1:24" x14ac:dyDescent="0.2">
      <c r="A880" s="98">
        <v>2</v>
      </c>
      <c r="B880" s="98">
        <v>2</v>
      </c>
      <c r="C880" s="98">
        <f t="shared" si="255"/>
        <v>8</v>
      </c>
      <c r="D880" s="98">
        <f t="shared" si="256"/>
        <v>7</v>
      </c>
      <c r="E880" s="98">
        <f t="shared" si="257"/>
        <v>2</v>
      </c>
      <c r="F880" s="118">
        <f t="shared" ca="1" si="258"/>
        <v>7.6212899999999984E-3</v>
      </c>
      <c r="G880" s="98">
        <v>1</v>
      </c>
      <c r="H880" s="98">
        <v>0</v>
      </c>
      <c r="I880" s="98">
        <v>6</v>
      </c>
      <c r="J880" s="118">
        <f t="shared" ca="1" si="259"/>
        <v>0.24441805363281272</v>
      </c>
      <c r="K880" s="118">
        <f t="shared" ca="1" si="260"/>
        <v>1.8627808679712188E-3</v>
      </c>
      <c r="L880" s="133">
        <f t="shared" ca="1" si="261"/>
        <v>240</v>
      </c>
      <c r="M880" s="130">
        <f t="shared" ca="1" si="262"/>
        <v>760</v>
      </c>
      <c r="N880" s="100">
        <f t="shared" ca="1" si="263"/>
        <v>4</v>
      </c>
      <c r="O880" s="136">
        <f t="shared" ca="1" si="264"/>
        <v>2.6973744602864622</v>
      </c>
      <c r="P880" s="136">
        <f t="shared" ca="1" si="265"/>
        <v>26.973744602864617</v>
      </c>
      <c r="Q880" s="136">
        <f t="shared" ca="1" si="266"/>
        <v>26.973744602864617</v>
      </c>
      <c r="R880" s="136">
        <f t="shared" ca="1" si="267"/>
        <v>2.6973744602864618</v>
      </c>
      <c r="S880" s="136">
        <f t="shared" ca="1" si="268"/>
        <v>2.6973744602864622</v>
      </c>
      <c r="T880" s="104">
        <f t="shared" ca="1" si="269"/>
        <v>5.0246175383758139E-3</v>
      </c>
      <c r="U880" s="120">
        <f t="shared" ca="1" si="270"/>
        <v>1259.0695270312358</v>
      </c>
      <c r="V880" s="104">
        <f t="shared" ca="1" si="271"/>
        <v>2.3453706263993572</v>
      </c>
      <c r="W880" s="133">
        <f t="shared" ca="1" si="272"/>
        <v>15526.287226121562</v>
      </c>
      <c r="X880" s="104">
        <f t="shared" ca="1" si="273"/>
        <v>28.922070795445169</v>
      </c>
    </row>
    <row r="881" spans="1:24" x14ac:dyDescent="0.2">
      <c r="A881" s="98">
        <v>2</v>
      </c>
      <c r="B881" s="98">
        <v>2</v>
      </c>
      <c r="C881" s="98">
        <f t="shared" si="255"/>
        <v>8</v>
      </c>
      <c r="D881" s="98">
        <f t="shared" si="256"/>
        <v>7</v>
      </c>
      <c r="E881" s="98">
        <f t="shared" si="257"/>
        <v>2</v>
      </c>
      <c r="F881" s="118">
        <f t="shared" ca="1" si="258"/>
        <v>7.6212899999999984E-3</v>
      </c>
      <c r="G881" s="98">
        <v>1</v>
      </c>
      <c r="H881" s="98">
        <v>0</v>
      </c>
      <c r="I881" s="98">
        <v>5</v>
      </c>
      <c r="J881" s="118">
        <f t="shared" ca="1" si="259"/>
        <v>3.8592324257812567E-2</v>
      </c>
      <c r="K881" s="118">
        <f t="shared" ca="1" si="260"/>
        <v>2.9412329494282426E-4</v>
      </c>
      <c r="L881" s="133">
        <f t="shared" ca="1" si="261"/>
        <v>228</v>
      </c>
      <c r="M881" s="130">
        <f t="shared" ca="1" si="262"/>
        <v>772</v>
      </c>
      <c r="N881" s="100">
        <f t="shared" ca="1" si="263"/>
        <v>4</v>
      </c>
      <c r="O881" s="136">
        <f t="shared" ca="1" si="264"/>
        <v>2.6973744602864622</v>
      </c>
      <c r="P881" s="136">
        <f t="shared" ca="1" si="265"/>
        <v>26.973744602864617</v>
      </c>
      <c r="Q881" s="136">
        <f t="shared" ca="1" si="266"/>
        <v>26.973744602864617</v>
      </c>
      <c r="R881" s="136">
        <f t="shared" ca="1" si="267"/>
        <v>2.6973744602864618</v>
      </c>
      <c r="S881" s="136">
        <f t="shared" ca="1" si="268"/>
        <v>2.6973744602864622</v>
      </c>
      <c r="T881" s="104">
        <f t="shared" ca="1" si="269"/>
        <v>7.9336066395407651E-4</v>
      </c>
      <c r="U881" s="120">
        <f t="shared" ca="1" si="270"/>
        <v>1247.0695270312358</v>
      </c>
      <c r="V881" s="104">
        <f t="shared" ca="1" si="271"/>
        <v>0.36679219831321652</v>
      </c>
      <c r="W881" s="133">
        <f t="shared" ca="1" si="272"/>
        <v>13348.687334659911</v>
      </c>
      <c r="X881" s="104">
        <f t="shared" ca="1" si="273"/>
        <v>3.9261599020317197</v>
      </c>
    </row>
    <row r="882" spans="1:24" x14ac:dyDescent="0.2">
      <c r="A882" s="98">
        <v>2</v>
      </c>
      <c r="B882" s="98">
        <v>2</v>
      </c>
      <c r="C882" s="98">
        <f t="shared" si="255"/>
        <v>8</v>
      </c>
      <c r="D882" s="98">
        <f t="shared" si="256"/>
        <v>7</v>
      </c>
      <c r="E882" s="98">
        <f t="shared" si="257"/>
        <v>2</v>
      </c>
      <c r="F882" s="118">
        <f t="shared" ca="1" si="258"/>
        <v>7.6212899999999984E-3</v>
      </c>
      <c r="G882" s="98">
        <v>1</v>
      </c>
      <c r="H882" s="98">
        <v>0</v>
      </c>
      <c r="I882" s="98">
        <v>4</v>
      </c>
      <c r="J882" s="118">
        <f t="shared" ca="1" si="259"/>
        <v>3.3852916015625085E-3</v>
      </c>
      <c r="K882" s="118">
        <f t="shared" ca="1" si="260"/>
        <v>2.5800289030072323E-5</v>
      </c>
      <c r="L882" s="133">
        <f t="shared" ca="1" si="261"/>
        <v>216</v>
      </c>
      <c r="M882" s="130">
        <f t="shared" ca="1" si="262"/>
        <v>784</v>
      </c>
      <c r="N882" s="100">
        <f t="shared" ca="1" si="263"/>
        <v>4</v>
      </c>
      <c r="O882" s="136">
        <f t="shared" ca="1" si="264"/>
        <v>2.6973744602864622</v>
      </c>
      <c r="P882" s="136">
        <f t="shared" ca="1" si="265"/>
        <v>26.973744602864617</v>
      </c>
      <c r="Q882" s="136">
        <f t="shared" ca="1" si="266"/>
        <v>26.973744602864617</v>
      </c>
      <c r="R882" s="136">
        <f t="shared" ca="1" si="267"/>
        <v>2.6973744602864618</v>
      </c>
      <c r="S882" s="136">
        <f t="shared" ca="1" si="268"/>
        <v>2.6973744602864622</v>
      </c>
      <c r="T882" s="104">
        <f t="shared" ca="1" si="269"/>
        <v>6.9593040697726069E-5</v>
      </c>
      <c r="U882" s="120">
        <f t="shared" ca="1" si="270"/>
        <v>1235.0695270312358</v>
      </c>
      <c r="V882" s="104">
        <f t="shared" ca="1" si="271"/>
        <v>3.1865150769640603E-2</v>
      </c>
      <c r="W882" s="133">
        <f t="shared" ca="1" si="272"/>
        <v>11171.087443198261</v>
      </c>
      <c r="X882" s="104">
        <f t="shared" ca="1" si="273"/>
        <v>0.28821728481472675</v>
      </c>
    </row>
    <row r="883" spans="1:24" x14ac:dyDescent="0.2">
      <c r="A883" s="98">
        <v>2</v>
      </c>
      <c r="B883" s="98">
        <v>2</v>
      </c>
      <c r="C883" s="98">
        <f t="shared" si="255"/>
        <v>8</v>
      </c>
      <c r="D883" s="98">
        <f t="shared" si="256"/>
        <v>7</v>
      </c>
      <c r="E883" s="98">
        <f t="shared" si="257"/>
        <v>2</v>
      </c>
      <c r="F883" s="118">
        <f t="shared" ca="1" si="258"/>
        <v>7.6212899999999984E-3</v>
      </c>
      <c r="G883" s="98">
        <v>1</v>
      </c>
      <c r="H883" s="98">
        <v>0</v>
      </c>
      <c r="I883" s="98">
        <v>3</v>
      </c>
      <c r="J883" s="118">
        <f t="shared" ca="1" si="259"/>
        <v>1.7817324218750058E-4</v>
      </c>
      <c r="K883" s="118">
        <f t="shared" ca="1" si="260"/>
        <v>1.3579099489511761E-6</v>
      </c>
      <c r="L883" s="133">
        <f t="shared" ca="1" si="261"/>
        <v>204</v>
      </c>
      <c r="M883" s="130">
        <f t="shared" ca="1" si="262"/>
        <v>796</v>
      </c>
      <c r="N883" s="100">
        <f t="shared" ca="1" si="263"/>
        <v>4</v>
      </c>
      <c r="O883" s="136">
        <f t="shared" ca="1" si="264"/>
        <v>2.6973744602864622</v>
      </c>
      <c r="P883" s="136">
        <f t="shared" ca="1" si="265"/>
        <v>26.973744602864617</v>
      </c>
      <c r="Q883" s="136">
        <f t="shared" ca="1" si="266"/>
        <v>26.973744602864617</v>
      </c>
      <c r="R883" s="136">
        <f t="shared" ca="1" si="267"/>
        <v>2.6973744602864618</v>
      </c>
      <c r="S883" s="136">
        <f t="shared" ca="1" si="268"/>
        <v>2.6973744602864622</v>
      </c>
      <c r="T883" s="104">
        <f t="shared" ca="1" si="269"/>
        <v>3.662791615669796E-6</v>
      </c>
      <c r="U883" s="120">
        <f t="shared" ca="1" si="270"/>
        <v>1223.0695270312358</v>
      </c>
      <c r="V883" s="104">
        <f t="shared" ca="1" si="271"/>
        <v>1.6608182790147244E-3</v>
      </c>
      <c r="W883" s="133">
        <f t="shared" ca="1" si="272"/>
        <v>8993.4875517366127</v>
      </c>
      <c r="X883" s="104">
        <f t="shared" ca="1" si="273"/>
        <v>1.2212346222271702E-2</v>
      </c>
    </row>
    <row r="884" spans="1:24" x14ac:dyDescent="0.2">
      <c r="A884" s="98">
        <v>2</v>
      </c>
      <c r="B884" s="98">
        <v>2</v>
      </c>
      <c r="C884" s="98">
        <f t="shared" si="255"/>
        <v>8</v>
      </c>
      <c r="D884" s="98">
        <f t="shared" si="256"/>
        <v>7</v>
      </c>
      <c r="E884" s="98">
        <f t="shared" si="257"/>
        <v>2</v>
      </c>
      <c r="F884" s="118">
        <f t="shared" ca="1" si="258"/>
        <v>7.6212899999999984E-3</v>
      </c>
      <c r="G884" s="98">
        <v>1</v>
      </c>
      <c r="H884" s="98">
        <v>0</v>
      </c>
      <c r="I884" s="98">
        <v>2</v>
      </c>
      <c r="J884" s="118">
        <f t="shared" ca="1" si="259"/>
        <v>5.6265234375000243E-6</v>
      </c>
      <c r="K884" s="118">
        <f t="shared" ca="1" si="260"/>
        <v>4.2881366808984554E-8</v>
      </c>
      <c r="L884" s="133">
        <f t="shared" ca="1" si="261"/>
        <v>192</v>
      </c>
      <c r="M884" s="130">
        <f t="shared" ca="1" si="262"/>
        <v>808</v>
      </c>
      <c r="N884" s="100">
        <f t="shared" ca="1" si="263"/>
        <v>4</v>
      </c>
      <c r="O884" s="136">
        <f t="shared" ca="1" si="264"/>
        <v>2.6973744602864622</v>
      </c>
      <c r="P884" s="136">
        <f t="shared" ca="1" si="265"/>
        <v>26.973744602864617</v>
      </c>
      <c r="Q884" s="136">
        <f t="shared" ca="1" si="266"/>
        <v>26.973744602864617</v>
      </c>
      <c r="R884" s="136">
        <f t="shared" ca="1" si="267"/>
        <v>2.6973744602864618</v>
      </c>
      <c r="S884" s="136">
        <f t="shared" ca="1" si="268"/>
        <v>2.6973744602864622</v>
      </c>
      <c r="T884" s="104">
        <f t="shared" ca="1" si="269"/>
        <v>1.1566710365273053E-7</v>
      </c>
      <c r="U884" s="120">
        <f t="shared" ca="1" si="270"/>
        <v>1211.0695270312358</v>
      </c>
      <c r="V884" s="104">
        <f t="shared" ca="1" si="271"/>
        <v>5.1932316619809855E-5</v>
      </c>
      <c r="W884" s="133">
        <f t="shared" ca="1" si="272"/>
        <v>6815.8876602749624</v>
      </c>
      <c r="X884" s="104">
        <f t="shared" ca="1" si="273"/>
        <v>2.9227457888908215E-4</v>
      </c>
    </row>
    <row r="885" spans="1:24" x14ac:dyDescent="0.2">
      <c r="A885" s="98">
        <v>2</v>
      </c>
      <c r="B885" s="98">
        <v>2</v>
      </c>
      <c r="C885" s="98">
        <f t="shared" si="255"/>
        <v>8</v>
      </c>
      <c r="D885" s="98">
        <f t="shared" si="256"/>
        <v>7</v>
      </c>
      <c r="E885" s="98">
        <f t="shared" si="257"/>
        <v>2</v>
      </c>
      <c r="F885" s="118">
        <f t="shared" ca="1" si="258"/>
        <v>7.6212899999999984E-3</v>
      </c>
      <c r="G885" s="98">
        <v>1</v>
      </c>
      <c r="H885" s="98">
        <v>0</v>
      </c>
      <c r="I885" s="98">
        <v>1</v>
      </c>
      <c r="J885" s="118">
        <f t="shared" ca="1" si="259"/>
        <v>9.8710937500000504E-8</v>
      </c>
      <c r="K885" s="118">
        <f t="shared" ca="1" si="260"/>
        <v>7.5230468085937866E-10</v>
      </c>
      <c r="L885" s="133">
        <f t="shared" ca="1" si="261"/>
        <v>180</v>
      </c>
      <c r="M885" s="130">
        <f t="shared" ca="1" si="262"/>
        <v>820</v>
      </c>
      <c r="N885" s="100">
        <f t="shared" ca="1" si="263"/>
        <v>4</v>
      </c>
      <c r="O885" s="136">
        <f t="shared" ca="1" si="264"/>
        <v>2.6973744602864622</v>
      </c>
      <c r="P885" s="136">
        <f t="shared" ca="1" si="265"/>
        <v>26.973744602864617</v>
      </c>
      <c r="Q885" s="136">
        <f t="shared" ca="1" si="266"/>
        <v>26.973744602864617</v>
      </c>
      <c r="R885" s="136">
        <f t="shared" ca="1" si="267"/>
        <v>2.6973744602864618</v>
      </c>
      <c r="S885" s="136">
        <f t="shared" ca="1" si="268"/>
        <v>2.6973744602864622</v>
      </c>
      <c r="T885" s="104">
        <f t="shared" ca="1" si="269"/>
        <v>2.0292474325040458E-9</v>
      </c>
      <c r="U885" s="120">
        <f t="shared" ca="1" si="270"/>
        <v>1199.0695270312358</v>
      </c>
      <c r="V885" s="104">
        <f t="shared" ca="1" si="271"/>
        <v>9.0206561786143993E-7</v>
      </c>
      <c r="W885" s="133">
        <f t="shared" ca="1" si="272"/>
        <v>4638.2877688133131</v>
      </c>
      <c r="X885" s="104">
        <f t="shared" ca="1" si="273"/>
        <v>3.4894055996510588E-6</v>
      </c>
    </row>
    <row r="886" spans="1:24" x14ac:dyDescent="0.2">
      <c r="A886" s="98">
        <v>2</v>
      </c>
      <c r="B886" s="98">
        <v>2</v>
      </c>
      <c r="C886" s="98">
        <f t="shared" si="255"/>
        <v>8</v>
      </c>
      <c r="D886" s="98">
        <f t="shared" si="256"/>
        <v>7</v>
      </c>
      <c r="E886" s="98">
        <f t="shared" si="257"/>
        <v>2</v>
      </c>
      <c r="F886" s="118">
        <f t="shared" ca="1" si="258"/>
        <v>7.6212899999999984E-3</v>
      </c>
      <c r="G886" s="98">
        <v>1</v>
      </c>
      <c r="H886" s="98">
        <v>0</v>
      </c>
      <c r="I886" s="98">
        <v>0</v>
      </c>
      <c r="J886" s="118">
        <f t="shared" ca="1" si="259"/>
        <v>7.4218750000000458E-10</v>
      </c>
      <c r="K886" s="118">
        <f t="shared" ca="1" si="260"/>
        <v>5.6564261718750334E-12</v>
      </c>
      <c r="L886" s="133">
        <f t="shared" ca="1" si="261"/>
        <v>168</v>
      </c>
      <c r="M886" s="130">
        <f t="shared" ca="1" si="262"/>
        <v>832</v>
      </c>
      <c r="N886" s="100">
        <f t="shared" ca="1" si="263"/>
        <v>4</v>
      </c>
      <c r="O886" s="136">
        <f t="shared" ca="1" si="264"/>
        <v>2.6973744602864622</v>
      </c>
      <c r="P886" s="136">
        <f t="shared" ca="1" si="265"/>
        <v>26.973744602864617</v>
      </c>
      <c r="Q886" s="136">
        <f t="shared" ca="1" si="266"/>
        <v>26.973744602864617</v>
      </c>
      <c r="R886" s="136">
        <f t="shared" ca="1" si="267"/>
        <v>2.6973744602864618</v>
      </c>
      <c r="S886" s="136">
        <f t="shared" ca="1" si="268"/>
        <v>2.6973744602864622</v>
      </c>
      <c r="T886" s="104">
        <f t="shared" ca="1" si="269"/>
        <v>1.5257499492511639E-11</v>
      </c>
      <c r="U886" s="120">
        <f t="shared" ca="1" si="270"/>
        <v>1187.0695270312358</v>
      </c>
      <c r="V886" s="104">
        <f t="shared" ca="1" si="271"/>
        <v>6.7145711405347996E-9</v>
      </c>
      <c r="W886" s="133">
        <f t="shared" ca="1" si="272"/>
        <v>2460.6878773516637</v>
      </c>
      <c r="X886" s="104">
        <f t="shared" ca="1" si="273"/>
        <v>1.3918699310267573E-8</v>
      </c>
    </row>
    <row r="887" spans="1:24" x14ac:dyDescent="0.2">
      <c r="A887" s="98">
        <v>2</v>
      </c>
      <c r="B887" s="98">
        <v>2</v>
      </c>
      <c r="C887" s="98">
        <f t="shared" si="255"/>
        <v>8</v>
      </c>
      <c r="D887" s="98">
        <f t="shared" si="256"/>
        <v>7</v>
      </c>
      <c r="E887" s="98">
        <f t="shared" si="257"/>
        <v>2</v>
      </c>
      <c r="F887" s="118">
        <f t="shared" ca="1" si="258"/>
        <v>7.6212899999999984E-3</v>
      </c>
      <c r="G887" s="98">
        <v>0</v>
      </c>
      <c r="H887" s="98">
        <v>1</v>
      </c>
      <c r="I887" s="98">
        <v>7</v>
      </c>
      <c r="J887" s="118">
        <f t="shared" ca="1" si="259"/>
        <v>0</v>
      </c>
      <c r="K887" s="118">
        <f t="shared" ca="1" si="260"/>
        <v>0</v>
      </c>
      <c r="L887" s="133">
        <f t="shared" ca="1" si="261"/>
        <v>252</v>
      </c>
      <c r="M887" s="130">
        <f t="shared" ca="1" si="262"/>
        <v>748</v>
      </c>
      <c r="N887" s="100">
        <f t="shared" ca="1" si="263"/>
        <v>4</v>
      </c>
      <c r="O887" s="136">
        <f t="shared" ca="1" si="264"/>
        <v>2.6973744602864622</v>
      </c>
      <c r="P887" s="136">
        <f t="shared" ca="1" si="265"/>
        <v>26.973744602864617</v>
      </c>
      <c r="Q887" s="136">
        <f t="shared" ca="1" si="266"/>
        <v>26.973744602864617</v>
      </c>
      <c r="R887" s="136">
        <f t="shared" ca="1" si="267"/>
        <v>2.6973744602864618</v>
      </c>
      <c r="S887" s="136">
        <f t="shared" ca="1" si="268"/>
        <v>2.6973744602864622</v>
      </c>
      <c r="T887" s="104">
        <f t="shared" ca="1" si="269"/>
        <v>0</v>
      </c>
      <c r="U887" s="120">
        <f t="shared" ca="1" si="270"/>
        <v>1271.0695270312358</v>
      </c>
      <c r="V887" s="104">
        <f t="shared" ca="1" si="271"/>
        <v>0</v>
      </c>
      <c r="W887" s="133">
        <f t="shared" ca="1" si="272"/>
        <v>17420.799131693195</v>
      </c>
      <c r="X887" s="104">
        <f t="shared" ca="1" si="273"/>
        <v>0</v>
      </c>
    </row>
    <row r="888" spans="1:24" x14ac:dyDescent="0.2">
      <c r="A888" s="98">
        <v>2</v>
      </c>
      <c r="B888" s="98">
        <v>2</v>
      </c>
      <c r="C888" s="98">
        <f t="shared" si="255"/>
        <v>8</v>
      </c>
      <c r="D888" s="98">
        <f t="shared" si="256"/>
        <v>7</v>
      </c>
      <c r="E888" s="98">
        <f t="shared" si="257"/>
        <v>2</v>
      </c>
      <c r="F888" s="118">
        <f t="shared" ca="1" si="258"/>
        <v>7.6212899999999984E-3</v>
      </c>
      <c r="G888" s="98">
        <v>0</v>
      </c>
      <c r="H888" s="98">
        <v>1</v>
      </c>
      <c r="I888" s="98">
        <v>6</v>
      </c>
      <c r="J888" s="118">
        <f t="shared" ca="1" si="259"/>
        <v>0</v>
      </c>
      <c r="K888" s="118">
        <f t="shared" ca="1" si="260"/>
        <v>0</v>
      </c>
      <c r="L888" s="133">
        <f t="shared" ca="1" si="261"/>
        <v>240</v>
      </c>
      <c r="M888" s="130">
        <f t="shared" ca="1" si="262"/>
        <v>760</v>
      </c>
      <c r="N888" s="100">
        <f t="shared" ca="1" si="263"/>
        <v>4</v>
      </c>
      <c r="O888" s="136">
        <f t="shared" ca="1" si="264"/>
        <v>2.6973744602864622</v>
      </c>
      <c r="P888" s="136">
        <f t="shared" ca="1" si="265"/>
        <v>26.973744602864617</v>
      </c>
      <c r="Q888" s="136">
        <f t="shared" ca="1" si="266"/>
        <v>26.973744602864617</v>
      </c>
      <c r="R888" s="136">
        <f t="shared" ca="1" si="267"/>
        <v>2.6973744602864618</v>
      </c>
      <c r="S888" s="136">
        <f t="shared" ca="1" si="268"/>
        <v>2.6973744602864622</v>
      </c>
      <c r="T888" s="104">
        <f t="shared" ca="1" si="269"/>
        <v>0</v>
      </c>
      <c r="U888" s="120">
        <f t="shared" ca="1" si="270"/>
        <v>1259.0695270312358</v>
      </c>
      <c r="V888" s="104">
        <f t="shared" ca="1" si="271"/>
        <v>0</v>
      </c>
      <c r="W888" s="133">
        <f t="shared" ca="1" si="272"/>
        <v>15243.199240231548</v>
      </c>
      <c r="X888" s="104">
        <f t="shared" ca="1" si="273"/>
        <v>0</v>
      </c>
    </row>
    <row r="889" spans="1:24" x14ac:dyDescent="0.2">
      <c r="A889" s="98">
        <v>2</v>
      </c>
      <c r="B889" s="98">
        <v>2</v>
      </c>
      <c r="C889" s="98">
        <f t="shared" si="255"/>
        <v>8</v>
      </c>
      <c r="D889" s="98">
        <f t="shared" si="256"/>
        <v>7</v>
      </c>
      <c r="E889" s="98">
        <f t="shared" si="257"/>
        <v>2</v>
      </c>
      <c r="F889" s="118">
        <f t="shared" ca="1" si="258"/>
        <v>7.6212899999999984E-3</v>
      </c>
      <c r="G889" s="98">
        <v>0</v>
      </c>
      <c r="H889" s="98">
        <v>1</v>
      </c>
      <c r="I889" s="98">
        <v>5</v>
      </c>
      <c r="J889" s="118">
        <f t="shared" ca="1" si="259"/>
        <v>0</v>
      </c>
      <c r="K889" s="118">
        <f t="shared" ca="1" si="260"/>
        <v>0</v>
      </c>
      <c r="L889" s="133">
        <f t="shared" ca="1" si="261"/>
        <v>228</v>
      </c>
      <c r="M889" s="130">
        <f t="shared" ca="1" si="262"/>
        <v>772</v>
      </c>
      <c r="N889" s="100">
        <f t="shared" ca="1" si="263"/>
        <v>4</v>
      </c>
      <c r="O889" s="136">
        <f t="shared" ca="1" si="264"/>
        <v>2.6973744602864622</v>
      </c>
      <c r="P889" s="136">
        <f t="shared" ca="1" si="265"/>
        <v>26.973744602864617</v>
      </c>
      <c r="Q889" s="136">
        <f t="shared" ca="1" si="266"/>
        <v>26.973744602864617</v>
      </c>
      <c r="R889" s="136">
        <f t="shared" ca="1" si="267"/>
        <v>2.6973744602864618</v>
      </c>
      <c r="S889" s="136">
        <f t="shared" ca="1" si="268"/>
        <v>2.6973744602864622</v>
      </c>
      <c r="T889" s="104">
        <f t="shared" ca="1" si="269"/>
        <v>0</v>
      </c>
      <c r="U889" s="120">
        <f t="shared" ca="1" si="270"/>
        <v>1247.0695270312358</v>
      </c>
      <c r="V889" s="104">
        <f t="shared" ca="1" si="271"/>
        <v>0</v>
      </c>
      <c r="W889" s="133">
        <f t="shared" ca="1" si="272"/>
        <v>13065.599348769898</v>
      </c>
      <c r="X889" s="104">
        <f t="shared" ca="1" si="273"/>
        <v>0</v>
      </c>
    </row>
    <row r="890" spans="1:24" x14ac:dyDescent="0.2">
      <c r="A890" s="98">
        <v>2</v>
      </c>
      <c r="B890" s="98">
        <v>2</v>
      </c>
      <c r="C890" s="98">
        <f t="shared" si="255"/>
        <v>8</v>
      </c>
      <c r="D890" s="98">
        <f t="shared" si="256"/>
        <v>7</v>
      </c>
      <c r="E890" s="98">
        <f t="shared" si="257"/>
        <v>2</v>
      </c>
      <c r="F890" s="118">
        <f t="shared" ca="1" si="258"/>
        <v>7.6212899999999984E-3</v>
      </c>
      <c r="G890" s="98">
        <v>0</v>
      </c>
      <c r="H890" s="98">
        <v>1</v>
      </c>
      <c r="I890" s="98">
        <v>4</v>
      </c>
      <c r="J890" s="118">
        <f t="shared" ca="1" si="259"/>
        <v>0</v>
      </c>
      <c r="K890" s="118">
        <f t="shared" ca="1" si="260"/>
        <v>0</v>
      </c>
      <c r="L890" s="133">
        <f t="shared" ca="1" si="261"/>
        <v>216</v>
      </c>
      <c r="M890" s="130">
        <f t="shared" ca="1" si="262"/>
        <v>784</v>
      </c>
      <c r="N890" s="100">
        <f t="shared" ca="1" si="263"/>
        <v>4</v>
      </c>
      <c r="O890" s="136">
        <f t="shared" ca="1" si="264"/>
        <v>2.6973744602864622</v>
      </c>
      <c r="P890" s="136">
        <f t="shared" ca="1" si="265"/>
        <v>26.973744602864617</v>
      </c>
      <c r="Q890" s="136">
        <f t="shared" ca="1" si="266"/>
        <v>26.973744602864617</v>
      </c>
      <c r="R890" s="136">
        <f t="shared" ca="1" si="267"/>
        <v>2.6973744602864618</v>
      </c>
      <c r="S890" s="136">
        <f t="shared" ca="1" si="268"/>
        <v>2.6973744602864622</v>
      </c>
      <c r="T890" s="104">
        <f t="shared" ca="1" si="269"/>
        <v>0</v>
      </c>
      <c r="U890" s="120">
        <f t="shared" ca="1" si="270"/>
        <v>1235.0695270312358</v>
      </c>
      <c r="V890" s="104">
        <f t="shared" ca="1" si="271"/>
        <v>0</v>
      </c>
      <c r="W890" s="133">
        <f t="shared" ca="1" si="272"/>
        <v>10887.999457308248</v>
      </c>
      <c r="X890" s="104">
        <f t="shared" ca="1" si="273"/>
        <v>0</v>
      </c>
    </row>
    <row r="891" spans="1:24" x14ac:dyDescent="0.2">
      <c r="A891" s="98">
        <v>2</v>
      </c>
      <c r="B891" s="98">
        <v>2</v>
      </c>
      <c r="C891" s="98">
        <f t="shared" si="255"/>
        <v>8</v>
      </c>
      <c r="D891" s="98">
        <f t="shared" si="256"/>
        <v>7</v>
      </c>
      <c r="E891" s="98">
        <f t="shared" si="257"/>
        <v>2</v>
      </c>
      <c r="F891" s="118">
        <f t="shared" ca="1" si="258"/>
        <v>7.6212899999999984E-3</v>
      </c>
      <c r="G891" s="98">
        <v>0</v>
      </c>
      <c r="H891" s="98">
        <v>1</v>
      </c>
      <c r="I891" s="98">
        <v>3</v>
      </c>
      <c r="J891" s="118">
        <f t="shared" ca="1" si="259"/>
        <v>0</v>
      </c>
      <c r="K891" s="118">
        <f t="shared" ca="1" si="260"/>
        <v>0</v>
      </c>
      <c r="L891" s="133">
        <f t="shared" ca="1" si="261"/>
        <v>204</v>
      </c>
      <c r="M891" s="130">
        <f t="shared" ca="1" si="262"/>
        <v>796</v>
      </c>
      <c r="N891" s="100">
        <f t="shared" ca="1" si="263"/>
        <v>4</v>
      </c>
      <c r="O891" s="136">
        <f t="shared" ca="1" si="264"/>
        <v>2.6973744602864622</v>
      </c>
      <c r="P891" s="136">
        <f t="shared" ca="1" si="265"/>
        <v>26.973744602864617</v>
      </c>
      <c r="Q891" s="136">
        <f t="shared" ca="1" si="266"/>
        <v>26.973744602864617</v>
      </c>
      <c r="R891" s="136">
        <f t="shared" ca="1" si="267"/>
        <v>2.6973744602864618</v>
      </c>
      <c r="S891" s="136">
        <f t="shared" ca="1" si="268"/>
        <v>2.6973744602864622</v>
      </c>
      <c r="T891" s="104">
        <f t="shared" ca="1" si="269"/>
        <v>0</v>
      </c>
      <c r="U891" s="120">
        <f t="shared" ca="1" si="270"/>
        <v>1223.0695270312358</v>
      </c>
      <c r="V891" s="104">
        <f t="shared" ca="1" si="271"/>
        <v>0</v>
      </c>
      <c r="W891" s="133">
        <f t="shared" ca="1" si="272"/>
        <v>8710.3995658465974</v>
      </c>
      <c r="X891" s="104">
        <f t="shared" ca="1" si="273"/>
        <v>0</v>
      </c>
    </row>
    <row r="892" spans="1:24" x14ac:dyDescent="0.2">
      <c r="A892" s="98">
        <v>2</v>
      </c>
      <c r="B892" s="98">
        <v>2</v>
      </c>
      <c r="C892" s="98">
        <f t="shared" si="255"/>
        <v>8</v>
      </c>
      <c r="D892" s="98">
        <f t="shared" si="256"/>
        <v>7</v>
      </c>
      <c r="E892" s="98">
        <f t="shared" si="257"/>
        <v>2</v>
      </c>
      <c r="F892" s="118">
        <f t="shared" ca="1" si="258"/>
        <v>7.6212899999999984E-3</v>
      </c>
      <c r="G892" s="98">
        <v>0</v>
      </c>
      <c r="H892" s="98">
        <v>1</v>
      </c>
      <c r="I892" s="98">
        <v>2</v>
      </c>
      <c r="J892" s="118">
        <f t="shared" ca="1" si="259"/>
        <v>0</v>
      </c>
      <c r="K892" s="118">
        <f t="shared" ca="1" si="260"/>
        <v>0</v>
      </c>
      <c r="L892" s="133">
        <f t="shared" ca="1" si="261"/>
        <v>192</v>
      </c>
      <c r="M892" s="130">
        <f t="shared" ca="1" si="262"/>
        <v>808</v>
      </c>
      <c r="N892" s="100">
        <f t="shared" ca="1" si="263"/>
        <v>4</v>
      </c>
      <c r="O892" s="136">
        <f t="shared" ca="1" si="264"/>
        <v>2.6973744602864622</v>
      </c>
      <c r="P892" s="136">
        <f t="shared" ca="1" si="265"/>
        <v>26.973744602864617</v>
      </c>
      <c r="Q892" s="136">
        <f t="shared" ca="1" si="266"/>
        <v>26.973744602864617</v>
      </c>
      <c r="R892" s="136">
        <f t="shared" ca="1" si="267"/>
        <v>2.6973744602864618</v>
      </c>
      <c r="S892" s="136">
        <f t="shared" ca="1" si="268"/>
        <v>2.6973744602864622</v>
      </c>
      <c r="T892" s="104">
        <f t="shared" ca="1" si="269"/>
        <v>0</v>
      </c>
      <c r="U892" s="120">
        <f t="shared" ca="1" si="270"/>
        <v>1211.0695270312358</v>
      </c>
      <c r="V892" s="104">
        <f t="shared" ca="1" si="271"/>
        <v>0</v>
      </c>
      <c r="W892" s="133">
        <f t="shared" ca="1" si="272"/>
        <v>6532.799674384948</v>
      </c>
      <c r="X892" s="104">
        <f t="shared" ca="1" si="273"/>
        <v>0</v>
      </c>
    </row>
    <row r="893" spans="1:24" x14ac:dyDescent="0.2">
      <c r="A893" s="98">
        <v>2</v>
      </c>
      <c r="B893" s="98">
        <v>2</v>
      </c>
      <c r="C893" s="98">
        <f t="shared" si="255"/>
        <v>8</v>
      </c>
      <c r="D893" s="98">
        <f t="shared" si="256"/>
        <v>7</v>
      </c>
      <c r="E893" s="98">
        <f t="shared" si="257"/>
        <v>2</v>
      </c>
      <c r="F893" s="118">
        <f t="shared" ca="1" si="258"/>
        <v>7.6212899999999984E-3</v>
      </c>
      <c r="G893" s="98">
        <v>0</v>
      </c>
      <c r="H893" s="98">
        <v>1</v>
      </c>
      <c r="I893" s="98">
        <v>1</v>
      </c>
      <c r="J893" s="118">
        <f t="shared" ca="1" si="259"/>
        <v>0</v>
      </c>
      <c r="K893" s="118">
        <f t="shared" ca="1" si="260"/>
        <v>0</v>
      </c>
      <c r="L893" s="133">
        <f t="shared" ca="1" si="261"/>
        <v>180</v>
      </c>
      <c r="M893" s="130">
        <f t="shared" ca="1" si="262"/>
        <v>820</v>
      </c>
      <c r="N893" s="100">
        <f t="shared" ca="1" si="263"/>
        <v>4</v>
      </c>
      <c r="O893" s="136">
        <f t="shared" ca="1" si="264"/>
        <v>2.6973744602864622</v>
      </c>
      <c r="P893" s="136">
        <f t="shared" ca="1" si="265"/>
        <v>26.973744602864617</v>
      </c>
      <c r="Q893" s="136">
        <f t="shared" ca="1" si="266"/>
        <v>26.973744602864617</v>
      </c>
      <c r="R893" s="136">
        <f t="shared" ca="1" si="267"/>
        <v>2.6973744602864618</v>
      </c>
      <c r="S893" s="136">
        <f t="shared" ca="1" si="268"/>
        <v>2.6973744602864622</v>
      </c>
      <c r="T893" s="104">
        <f t="shared" ca="1" si="269"/>
        <v>0</v>
      </c>
      <c r="U893" s="120">
        <f t="shared" ca="1" si="270"/>
        <v>1199.0695270312358</v>
      </c>
      <c r="V893" s="104">
        <f t="shared" ca="1" si="271"/>
        <v>0</v>
      </c>
      <c r="W893" s="133">
        <f t="shared" ca="1" si="272"/>
        <v>4355.1997829232987</v>
      </c>
      <c r="X893" s="104">
        <f t="shared" ca="1" si="273"/>
        <v>0</v>
      </c>
    </row>
    <row r="894" spans="1:24" x14ac:dyDescent="0.2">
      <c r="A894" s="98">
        <v>2</v>
      </c>
      <c r="B894" s="98">
        <v>2</v>
      </c>
      <c r="C894" s="98">
        <f t="shared" si="255"/>
        <v>8</v>
      </c>
      <c r="D894" s="98">
        <f t="shared" si="256"/>
        <v>7</v>
      </c>
      <c r="E894" s="98">
        <f t="shared" si="257"/>
        <v>2</v>
      </c>
      <c r="F894" s="118">
        <f t="shared" ca="1" si="258"/>
        <v>7.6212899999999984E-3</v>
      </c>
      <c r="G894" s="98">
        <v>0</v>
      </c>
      <c r="H894" s="98">
        <v>1</v>
      </c>
      <c r="I894" s="98">
        <v>0</v>
      </c>
      <c r="J894" s="118">
        <f t="shared" ca="1" si="259"/>
        <v>0</v>
      </c>
      <c r="K894" s="118">
        <f t="shared" ca="1" si="260"/>
        <v>0</v>
      </c>
      <c r="L894" s="133">
        <f t="shared" ca="1" si="261"/>
        <v>168</v>
      </c>
      <c r="M894" s="130">
        <f t="shared" ca="1" si="262"/>
        <v>832</v>
      </c>
      <c r="N894" s="100">
        <f t="shared" ca="1" si="263"/>
        <v>4</v>
      </c>
      <c r="O894" s="136">
        <f t="shared" ca="1" si="264"/>
        <v>2.6973744602864622</v>
      </c>
      <c r="P894" s="136">
        <f t="shared" ca="1" si="265"/>
        <v>26.973744602864617</v>
      </c>
      <c r="Q894" s="136">
        <f t="shared" ca="1" si="266"/>
        <v>26.973744602864617</v>
      </c>
      <c r="R894" s="136">
        <f t="shared" ca="1" si="267"/>
        <v>2.6973744602864618</v>
      </c>
      <c r="S894" s="136">
        <f t="shared" ca="1" si="268"/>
        <v>2.6973744602864622</v>
      </c>
      <c r="T894" s="104">
        <f t="shared" ca="1" si="269"/>
        <v>0</v>
      </c>
      <c r="U894" s="120">
        <f t="shared" ca="1" si="270"/>
        <v>1187.0695270312358</v>
      </c>
      <c r="V894" s="104">
        <f t="shared" ca="1" si="271"/>
        <v>0</v>
      </c>
      <c r="W894" s="133">
        <f t="shared" ca="1" si="272"/>
        <v>2177.5998914616493</v>
      </c>
      <c r="X894" s="104">
        <f t="shared" ca="1" si="273"/>
        <v>0</v>
      </c>
    </row>
    <row r="895" spans="1:24" x14ac:dyDescent="0.2">
      <c r="A895" s="98">
        <v>2</v>
      </c>
      <c r="B895" s="98">
        <v>2</v>
      </c>
      <c r="C895" s="98">
        <f t="shared" si="255"/>
        <v>8</v>
      </c>
      <c r="D895" s="98">
        <f t="shared" si="256"/>
        <v>7</v>
      </c>
      <c r="E895" s="98">
        <f t="shared" si="257"/>
        <v>2</v>
      </c>
      <c r="F895" s="118">
        <f t="shared" ca="1" si="258"/>
        <v>7.6212899999999984E-3</v>
      </c>
      <c r="G895" s="98">
        <v>0</v>
      </c>
      <c r="H895" s="98">
        <v>0</v>
      </c>
      <c r="I895" s="98">
        <v>7</v>
      </c>
      <c r="J895" s="118">
        <f t="shared" ca="1" si="259"/>
        <v>3.4916864804687496E-2</v>
      </c>
      <c r="K895" s="118">
        <f t="shared" ca="1" si="260"/>
        <v>2.6611155256731669E-4</v>
      </c>
      <c r="L895" s="133">
        <f t="shared" ca="1" si="261"/>
        <v>84</v>
      </c>
      <c r="M895" s="130">
        <f t="shared" ca="1" si="262"/>
        <v>916</v>
      </c>
      <c r="N895" s="100">
        <f t="shared" ca="1" si="263"/>
        <v>5</v>
      </c>
      <c r="O895" s="136">
        <f t="shared" ca="1" si="264"/>
        <v>3.301004590397413</v>
      </c>
      <c r="P895" s="136">
        <f t="shared" ca="1" si="265"/>
        <v>33.010045903974124</v>
      </c>
      <c r="Q895" s="136">
        <f t="shared" ca="1" si="266"/>
        <v>33.010045903974124</v>
      </c>
      <c r="R895" s="136">
        <f t="shared" ca="1" si="267"/>
        <v>3.3010045903974126</v>
      </c>
      <c r="S895" s="136">
        <f t="shared" ca="1" si="268"/>
        <v>3.3010045903974126</v>
      </c>
      <c r="T895" s="104">
        <f t="shared" ca="1" si="269"/>
        <v>8.784354565824948E-4</v>
      </c>
      <c r="U895" s="120">
        <f t="shared" ca="1" si="270"/>
        <v>1323.3671890482913</v>
      </c>
      <c r="V895" s="104">
        <f t="shared" ca="1" si="271"/>
        <v>0.35216329729428647</v>
      </c>
      <c r="W895" s="133">
        <f t="shared" ca="1" si="272"/>
        <v>15243.199240231546</v>
      </c>
      <c r="X895" s="104">
        <f t="shared" ca="1" si="273"/>
        <v>4.0563914159109586</v>
      </c>
    </row>
    <row r="896" spans="1:24" x14ac:dyDescent="0.2">
      <c r="A896" s="98">
        <v>2</v>
      </c>
      <c r="B896" s="98">
        <v>2</v>
      </c>
      <c r="C896" s="98">
        <f t="shared" si="255"/>
        <v>8</v>
      </c>
      <c r="D896" s="98">
        <f t="shared" si="256"/>
        <v>7</v>
      </c>
      <c r="E896" s="98">
        <f t="shared" si="257"/>
        <v>2</v>
      </c>
      <c r="F896" s="118">
        <f t="shared" ca="1" si="258"/>
        <v>7.6212899999999984E-3</v>
      </c>
      <c r="G896" s="98">
        <v>0</v>
      </c>
      <c r="H896" s="98">
        <v>0</v>
      </c>
      <c r="I896" s="98">
        <v>6</v>
      </c>
      <c r="J896" s="118">
        <f t="shared" ca="1" si="259"/>
        <v>1.2864108085937513E-2</v>
      </c>
      <c r="K896" s="118">
        <f t="shared" ca="1" si="260"/>
        <v>9.8041098314274695E-5</v>
      </c>
      <c r="L896" s="133">
        <f t="shared" ca="1" si="261"/>
        <v>72</v>
      </c>
      <c r="M896" s="130">
        <f t="shared" ca="1" si="262"/>
        <v>928</v>
      </c>
      <c r="N896" s="100">
        <f t="shared" ca="1" si="263"/>
        <v>5</v>
      </c>
      <c r="O896" s="136">
        <f t="shared" ca="1" si="264"/>
        <v>3.301004590397413</v>
      </c>
      <c r="P896" s="136">
        <f t="shared" ca="1" si="265"/>
        <v>33.010045903974124</v>
      </c>
      <c r="Q896" s="136">
        <f t="shared" ca="1" si="266"/>
        <v>33.010045903974124</v>
      </c>
      <c r="R896" s="136">
        <f t="shared" ca="1" si="267"/>
        <v>3.3010045903974126</v>
      </c>
      <c r="S896" s="136">
        <f t="shared" ca="1" si="268"/>
        <v>3.3010045903974126</v>
      </c>
      <c r="T896" s="104">
        <f t="shared" ca="1" si="269"/>
        <v>3.2363411558302481E-4</v>
      </c>
      <c r="U896" s="120">
        <f t="shared" ca="1" si="270"/>
        <v>1311.3671890482913</v>
      </c>
      <c r="V896" s="104">
        <f t="shared" ca="1" si="271"/>
        <v>0.12856787950759757</v>
      </c>
      <c r="W896" s="133">
        <f t="shared" ca="1" si="272"/>
        <v>13065.599348769898</v>
      </c>
      <c r="X896" s="104">
        <f t="shared" ca="1" si="273"/>
        <v>1.280965710287673</v>
      </c>
    </row>
    <row r="897" spans="1:24" x14ac:dyDescent="0.2">
      <c r="A897" s="98">
        <v>2</v>
      </c>
      <c r="B897" s="98">
        <v>2</v>
      </c>
      <c r="C897" s="98">
        <f t="shared" si="255"/>
        <v>8</v>
      </c>
      <c r="D897" s="98">
        <f t="shared" si="256"/>
        <v>7</v>
      </c>
      <c r="E897" s="98">
        <f t="shared" si="257"/>
        <v>2</v>
      </c>
      <c r="F897" s="118">
        <f t="shared" ca="1" si="258"/>
        <v>7.6212899999999984E-3</v>
      </c>
      <c r="G897" s="98">
        <v>0</v>
      </c>
      <c r="H897" s="98">
        <v>0</v>
      </c>
      <c r="I897" s="98">
        <v>5</v>
      </c>
      <c r="J897" s="118">
        <f t="shared" ca="1" si="259"/>
        <v>2.0311749609375038E-3</v>
      </c>
      <c r="K897" s="118">
        <f t="shared" ca="1" si="260"/>
        <v>1.5480173418043385E-5</v>
      </c>
      <c r="L897" s="133">
        <f t="shared" ca="1" si="261"/>
        <v>60</v>
      </c>
      <c r="M897" s="130">
        <f t="shared" ca="1" si="262"/>
        <v>940</v>
      </c>
      <c r="N897" s="100">
        <f t="shared" ca="1" si="263"/>
        <v>5</v>
      </c>
      <c r="O897" s="136">
        <f t="shared" ca="1" si="264"/>
        <v>3.301004590397413</v>
      </c>
      <c r="P897" s="136">
        <f t="shared" ca="1" si="265"/>
        <v>33.010045903974124</v>
      </c>
      <c r="Q897" s="136">
        <f t="shared" ca="1" si="266"/>
        <v>33.010045903974124</v>
      </c>
      <c r="R897" s="136">
        <f t="shared" ca="1" si="267"/>
        <v>3.3010045903974126</v>
      </c>
      <c r="S897" s="136">
        <f t="shared" ca="1" si="268"/>
        <v>3.3010045903974126</v>
      </c>
      <c r="T897" s="104">
        <f t="shared" ca="1" si="269"/>
        <v>5.1100123513109214E-5</v>
      </c>
      <c r="U897" s="120">
        <f t="shared" ca="1" si="270"/>
        <v>1299.3671890482913</v>
      </c>
      <c r="V897" s="104">
        <f t="shared" ca="1" si="271"/>
        <v>2.011442942018311E-2</v>
      </c>
      <c r="W897" s="133">
        <f t="shared" ca="1" si="272"/>
        <v>10887.999457308248</v>
      </c>
      <c r="X897" s="104">
        <f t="shared" ca="1" si="273"/>
        <v>0.16854811977469394</v>
      </c>
    </row>
    <row r="898" spans="1:24" x14ac:dyDescent="0.2">
      <c r="A898" s="98">
        <v>2</v>
      </c>
      <c r="B898" s="98">
        <v>2</v>
      </c>
      <c r="C898" s="98">
        <f t="shared" si="255"/>
        <v>8</v>
      </c>
      <c r="D898" s="98">
        <f t="shared" si="256"/>
        <v>7</v>
      </c>
      <c r="E898" s="98">
        <f t="shared" si="257"/>
        <v>2</v>
      </c>
      <c r="F898" s="118">
        <f t="shared" ca="1" si="258"/>
        <v>7.6212899999999984E-3</v>
      </c>
      <c r="G898" s="98">
        <v>0</v>
      </c>
      <c r="H898" s="98">
        <v>0</v>
      </c>
      <c r="I898" s="98">
        <v>4</v>
      </c>
      <c r="J898" s="118">
        <f t="shared" ca="1" si="259"/>
        <v>1.7817324218750047E-4</v>
      </c>
      <c r="K898" s="118">
        <f t="shared" ca="1" si="260"/>
        <v>1.3579099489511753E-6</v>
      </c>
      <c r="L898" s="133">
        <f t="shared" ca="1" si="261"/>
        <v>48</v>
      </c>
      <c r="M898" s="130">
        <f t="shared" ca="1" si="262"/>
        <v>952</v>
      </c>
      <c r="N898" s="100">
        <f t="shared" ca="1" si="263"/>
        <v>5</v>
      </c>
      <c r="O898" s="136">
        <f t="shared" ca="1" si="264"/>
        <v>3.301004590397413</v>
      </c>
      <c r="P898" s="136">
        <f t="shared" ca="1" si="265"/>
        <v>33.010045903974124</v>
      </c>
      <c r="Q898" s="136">
        <f t="shared" ca="1" si="266"/>
        <v>33.010045903974124</v>
      </c>
      <c r="R898" s="136">
        <f t="shared" ca="1" si="267"/>
        <v>3.3010045903974126</v>
      </c>
      <c r="S898" s="136">
        <f t="shared" ca="1" si="268"/>
        <v>3.3010045903974126</v>
      </c>
      <c r="T898" s="104">
        <f t="shared" ca="1" si="269"/>
        <v>4.4824669748341459E-6</v>
      </c>
      <c r="U898" s="120">
        <f t="shared" ca="1" si="270"/>
        <v>1287.3671890482913</v>
      </c>
      <c r="V898" s="104">
        <f t="shared" ca="1" si="271"/>
        <v>1.7481287139619831E-3</v>
      </c>
      <c r="W898" s="133">
        <f t="shared" ca="1" si="272"/>
        <v>8710.3995658465974</v>
      </c>
      <c r="X898" s="104">
        <f t="shared" ca="1" si="273"/>
        <v>1.1827938229803093E-2</v>
      </c>
    </row>
    <row r="899" spans="1:24" x14ac:dyDescent="0.2">
      <c r="A899" s="98">
        <v>2</v>
      </c>
      <c r="B899" s="98">
        <v>2</v>
      </c>
      <c r="C899" s="98">
        <f t="shared" si="255"/>
        <v>8</v>
      </c>
      <c r="D899" s="98">
        <f t="shared" si="256"/>
        <v>7</v>
      </c>
      <c r="E899" s="98">
        <f t="shared" si="257"/>
        <v>2</v>
      </c>
      <c r="F899" s="118">
        <f t="shared" ca="1" si="258"/>
        <v>7.6212899999999984E-3</v>
      </c>
      <c r="G899" s="98">
        <v>0</v>
      </c>
      <c r="H899" s="98">
        <v>0</v>
      </c>
      <c r="I899" s="98">
        <v>3</v>
      </c>
      <c r="J899" s="118">
        <f t="shared" ca="1" si="259"/>
        <v>9.3775390625000315E-6</v>
      </c>
      <c r="K899" s="118">
        <f t="shared" ca="1" si="260"/>
        <v>7.1468944681640856E-8</v>
      </c>
      <c r="L899" s="133">
        <f t="shared" ca="1" si="261"/>
        <v>36</v>
      </c>
      <c r="M899" s="130">
        <f t="shared" ca="1" si="262"/>
        <v>964</v>
      </c>
      <c r="N899" s="100">
        <f t="shared" ca="1" si="263"/>
        <v>5</v>
      </c>
      <c r="O899" s="136">
        <f t="shared" ca="1" si="264"/>
        <v>3.301004590397413</v>
      </c>
      <c r="P899" s="136">
        <f t="shared" ca="1" si="265"/>
        <v>33.010045903974124</v>
      </c>
      <c r="Q899" s="136">
        <f t="shared" ca="1" si="266"/>
        <v>33.010045903974124</v>
      </c>
      <c r="R899" s="136">
        <f t="shared" ca="1" si="267"/>
        <v>3.3010045903974126</v>
      </c>
      <c r="S899" s="136">
        <f t="shared" ca="1" si="268"/>
        <v>3.3010045903974126</v>
      </c>
      <c r="T899" s="104">
        <f t="shared" ca="1" si="269"/>
        <v>2.3591931446495522E-7</v>
      </c>
      <c r="U899" s="120">
        <f t="shared" ca="1" si="270"/>
        <v>1275.3671890482913</v>
      </c>
      <c r="V899" s="104">
        <f t="shared" ca="1" si="271"/>
        <v>9.1149147082872118E-5</v>
      </c>
      <c r="W899" s="133">
        <f t="shared" ca="1" si="272"/>
        <v>6532.799674384949</v>
      </c>
      <c r="X899" s="104">
        <f t="shared" ca="1" si="273"/>
        <v>4.668922985448593E-4</v>
      </c>
    </row>
    <row r="900" spans="1:24" x14ac:dyDescent="0.2">
      <c r="A900" s="98">
        <v>2</v>
      </c>
      <c r="B900" s="98">
        <v>2</v>
      </c>
      <c r="C900" s="98">
        <f t="shared" si="255"/>
        <v>8</v>
      </c>
      <c r="D900" s="98">
        <f t="shared" si="256"/>
        <v>7</v>
      </c>
      <c r="E900" s="98">
        <f t="shared" si="257"/>
        <v>2</v>
      </c>
      <c r="F900" s="118">
        <f t="shared" ca="1" si="258"/>
        <v>7.6212899999999984E-3</v>
      </c>
      <c r="G900" s="98">
        <v>0</v>
      </c>
      <c r="H900" s="98">
        <v>0</v>
      </c>
      <c r="I900" s="98">
        <v>2</v>
      </c>
      <c r="J900" s="118">
        <f t="shared" ca="1" si="259"/>
        <v>2.961328125000013E-7</v>
      </c>
      <c r="K900" s="118">
        <f t="shared" ca="1" si="260"/>
        <v>2.2569140425781346E-9</v>
      </c>
      <c r="L900" s="133">
        <f t="shared" ca="1" si="261"/>
        <v>24</v>
      </c>
      <c r="M900" s="130">
        <f t="shared" ca="1" si="262"/>
        <v>976</v>
      </c>
      <c r="N900" s="100">
        <f t="shared" ca="1" si="263"/>
        <v>5</v>
      </c>
      <c r="O900" s="136">
        <f t="shared" ca="1" si="264"/>
        <v>3.301004590397413</v>
      </c>
      <c r="P900" s="136">
        <f t="shared" ca="1" si="265"/>
        <v>33.010045903974124</v>
      </c>
      <c r="Q900" s="136">
        <f t="shared" ca="1" si="266"/>
        <v>33.010045903974124</v>
      </c>
      <c r="R900" s="136">
        <f t="shared" ca="1" si="267"/>
        <v>3.3010045903974126</v>
      </c>
      <c r="S900" s="136">
        <f t="shared" ca="1" si="268"/>
        <v>3.3010045903974126</v>
      </c>
      <c r="T900" s="104">
        <f t="shared" ca="1" si="269"/>
        <v>7.450083614682804E-9</v>
      </c>
      <c r="U900" s="120">
        <f t="shared" ca="1" si="270"/>
        <v>1263.3671890482913</v>
      </c>
      <c r="V900" s="104">
        <f t="shared" ca="1" si="271"/>
        <v>2.8513111498955533E-6</v>
      </c>
      <c r="W900" s="133">
        <f t="shared" ca="1" si="272"/>
        <v>4355.1997829232987</v>
      </c>
      <c r="X900" s="104">
        <f t="shared" ca="1" si="273"/>
        <v>9.8293115483128372E-6</v>
      </c>
    </row>
    <row r="901" spans="1:24" x14ac:dyDescent="0.2">
      <c r="A901" s="98">
        <v>2</v>
      </c>
      <c r="B901" s="98">
        <v>2</v>
      </c>
      <c r="C901" s="98">
        <f t="shared" si="255"/>
        <v>8</v>
      </c>
      <c r="D901" s="98">
        <f t="shared" si="256"/>
        <v>7</v>
      </c>
      <c r="E901" s="98">
        <f t="shared" si="257"/>
        <v>2</v>
      </c>
      <c r="F901" s="118">
        <f t="shared" ca="1" si="258"/>
        <v>7.6212899999999984E-3</v>
      </c>
      <c r="G901" s="98">
        <v>0</v>
      </c>
      <c r="H901" s="98">
        <v>0</v>
      </c>
      <c r="I901" s="98">
        <v>1</v>
      </c>
      <c r="J901" s="118">
        <f t="shared" ca="1" si="259"/>
        <v>5.1953125000000272E-9</v>
      </c>
      <c r="K901" s="118">
        <f t="shared" ca="1" si="260"/>
        <v>3.9594983203125201E-11</v>
      </c>
      <c r="L901" s="133">
        <f t="shared" ca="1" si="261"/>
        <v>12</v>
      </c>
      <c r="M901" s="130">
        <f t="shared" ca="1" si="262"/>
        <v>988</v>
      </c>
      <c r="N901" s="100">
        <f t="shared" ca="1" si="263"/>
        <v>5</v>
      </c>
      <c r="O901" s="136">
        <f t="shared" ca="1" si="264"/>
        <v>3.301004590397413</v>
      </c>
      <c r="P901" s="136">
        <f t="shared" ca="1" si="265"/>
        <v>33.010045903974124</v>
      </c>
      <c r="Q901" s="136">
        <f t="shared" ca="1" si="266"/>
        <v>33.010045903974124</v>
      </c>
      <c r="R901" s="136">
        <f t="shared" ca="1" si="267"/>
        <v>3.3010045903974126</v>
      </c>
      <c r="S901" s="136">
        <f t="shared" ca="1" si="268"/>
        <v>3.3010045903974126</v>
      </c>
      <c r="T901" s="104">
        <f t="shared" ca="1" si="269"/>
        <v>1.3070322131022475E-10</v>
      </c>
      <c r="U901" s="120">
        <f t="shared" ca="1" si="270"/>
        <v>1251.3671890482913</v>
      </c>
      <c r="V901" s="104">
        <f t="shared" ca="1" si="271"/>
        <v>4.9547862831309088E-8</v>
      </c>
      <c r="W901" s="133">
        <f t="shared" ca="1" si="272"/>
        <v>2177.5998914616493</v>
      </c>
      <c r="X901" s="104">
        <f t="shared" ca="1" si="273"/>
        <v>8.6222031125551269E-8</v>
      </c>
    </row>
    <row r="902" spans="1:24" x14ac:dyDescent="0.2">
      <c r="A902" s="98">
        <v>2</v>
      </c>
      <c r="B902" s="98">
        <v>2</v>
      </c>
      <c r="C902" s="98">
        <f t="shared" si="255"/>
        <v>8</v>
      </c>
      <c r="D902" s="98">
        <f t="shared" si="256"/>
        <v>7</v>
      </c>
      <c r="E902" s="98">
        <f t="shared" si="257"/>
        <v>2</v>
      </c>
      <c r="F902" s="118">
        <f t="shared" ca="1" si="258"/>
        <v>7.6212899999999984E-3</v>
      </c>
      <c r="G902" s="98">
        <v>0</v>
      </c>
      <c r="H902" s="98">
        <v>0</v>
      </c>
      <c r="I902" s="98">
        <v>0</v>
      </c>
      <c r="J902" s="118">
        <f t="shared" ca="1" si="259"/>
        <v>3.9062500000000246E-11</v>
      </c>
      <c r="K902" s="118">
        <f t="shared" ca="1" si="260"/>
        <v>2.977066406250018E-13</v>
      </c>
      <c r="L902" s="133">
        <f t="shared" ca="1" si="261"/>
        <v>0</v>
      </c>
      <c r="M902" s="130">
        <f t="shared" ca="1" si="262"/>
        <v>1000</v>
      </c>
      <c r="N902" s="100">
        <f t="shared" ca="1" si="263"/>
        <v>5</v>
      </c>
      <c r="O902" s="136">
        <f t="shared" ca="1" si="264"/>
        <v>3.301004590397413</v>
      </c>
      <c r="P902" s="136">
        <f t="shared" ca="1" si="265"/>
        <v>33.010045903974124</v>
      </c>
      <c r="Q902" s="136">
        <f t="shared" ca="1" si="266"/>
        <v>33.010045903974124</v>
      </c>
      <c r="R902" s="136">
        <f t="shared" ca="1" si="267"/>
        <v>3.3010045903974126</v>
      </c>
      <c r="S902" s="136">
        <f t="shared" ca="1" si="268"/>
        <v>3.3010045903974126</v>
      </c>
      <c r="T902" s="104">
        <f t="shared" ca="1" si="269"/>
        <v>9.8273098729492379E-13</v>
      </c>
      <c r="U902" s="120">
        <f t="shared" ca="1" si="270"/>
        <v>1239.3671890482913</v>
      </c>
      <c r="V902" s="104">
        <f t="shared" ca="1" si="271"/>
        <v>3.6896784235241834E-10</v>
      </c>
      <c r="W902" s="133">
        <f t="shared" ca="1" si="272"/>
        <v>0</v>
      </c>
      <c r="X902" s="104">
        <f t="shared" ca="1" si="273"/>
        <v>0</v>
      </c>
    </row>
    <row r="903" spans="1:24" x14ac:dyDescent="0.2">
      <c r="A903" s="98">
        <v>2</v>
      </c>
      <c r="B903" s="98">
        <v>3</v>
      </c>
      <c r="C903" s="98">
        <f t="shared" si="255"/>
        <v>8</v>
      </c>
      <c r="D903" s="98">
        <f t="shared" si="256"/>
        <v>7</v>
      </c>
      <c r="E903" s="98">
        <f t="shared" si="257"/>
        <v>2</v>
      </c>
      <c r="F903" s="118">
        <f t="shared" ca="1" si="258"/>
        <v>2.6189999999999994E-3</v>
      </c>
      <c r="G903" s="98">
        <v>1</v>
      </c>
      <c r="H903" s="98">
        <v>1</v>
      </c>
      <c r="I903" s="98">
        <v>7</v>
      </c>
      <c r="J903" s="118">
        <f t="shared" ca="1" si="259"/>
        <v>0</v>
      </c>
      <c r="K903" s="118">
        <f t="shared" ca="1" si="260"/>
        <v>0</v>
      </c>
      <c r="L903" s="133">
        <f t="shared" ca="1" si="261"/>
        <v>420</v>
      </c>
      <c r="M903" s="130">
        <f t="shared" ca="1" si="262"/>
        <v>580</v>
      </c>
      <c r="N903" s="100">
        <f t="shared" ca="1" si="263"/>
        <v>3</v>
      </c>
      <c r="O903" s="136">
        <f t="shared" ca="1" si="264"/>
        <v>2.1177215542739054</v>
      </c>
      <c r="P903" s="136">
        <f t="shared" ca="1" si="265"/>
        <v>21.177215542739059</v>
      </c>
      <c r="Q903" s="136">
        <f t="shared" ca="1" si="266"/>
        <v>21.177215542739059</v>
      </c>
      <c r="R903" s="136">
        <f t="shared" ca="1" si="267"/>
        <v>2.1177215542739058</v>
      </c>
      <c r="S903" s="136">
        <f t="shared" ca="1" si="268"/>
        <v>2.1177215542739054</v>
      </c>
      <c r="T903" s="104">
        <f t="shared" ca="1" si="269"/>
        <v>0</v>
      </c>
      <c r="U903" s="120">
        <f t="shared" ca="1" si="270"/>
        <v>1227.5224659982036</v>
      </c>
      <c r="V903" s="104">
        <f t="shared" ca="1" si="271"/>
        <v>0</v>
      </c>
      <c r="W903" s="133">
        <f t="shared" ca="1" si="272"/>
        <v>19881.48700904486</v>
      </c>
      <c r="X903" s="104">
        <f t="shared" ca="1" si="273"/>
        <v>0</v>
      </c>
    </row>
    <row r="904" spans="1:24" x14ac:dyDescent="0.2">
      <c r="A904" s="98">
        <v>2</v>
      </c>
      <c r="B904" s="98">
        <v>3</v>
      </c>
      <c r="C904" s="98">
        <f t="shared" si="255"/>
        <v>8</v>
      </c>
      <c r="D904" s="98">
        <f t="shared" si="256"/>
        <v>7</v>
      </c>
      <c r="E904" s="98">
        <f t="shared" si="257"/>
        <v>2</v>
      </c>
      <c r="F904" s="118">
        <f t="shared" ca="1" si="258"/>
        <v>2.6189999999999994E-3</v>
      </c>
      <c r="G904" s="98">
        <v>1</v>
      </c>
      <c r="H904" s="98">
        <v>1</v>
      </c>
      <c r="I904" s="98">
        <v>6</v>
      </c>
      <c r="J904" s="118">
        <f t="shared" ca="1" si="259"/>
        <v>0</v>
      </c>
      <c r="K904" s="118">
        <f t="shared" ca="1" si="260"/>
        <v>0</v>
      </c>
      <c r="L904" s="133">
        <f t="shared" ca="1" si="261"/>
        <v>408</v>
      </c>
      <c r="M904" s="130">
        <f t="shared" ca="1" si="262"/>
        <v>592</v>
      </c>
      <c r="N904" s="100">
        <f t="shared" ca="1" si="263"/>
        <v>3</v>
      </c>
      <c r="O904" s="136">
        <f t="shared" ca="1" si="264"/>
        <v>2.1177215542739054</v>
      </c>
      <c r="P904" s="136">
        <f t="shared" ca="1" si="265"/>
        <v>21.177215542739059</v>
      </c>
      <c r="Q904" s="136">
        <f t="shared" ca="1" si="266"/>
        <v>21.177215542739059</v>
      </c>
      <c r="R904" s="136">
        <f t="shared" ca="1" si="267"/>
        <v>2.1177215542739058</v>
      </c>
      <c r="S904" s="136">
        <f t="shared" ca="1" si="268"/>
        <v>2.1177215542739054</v>
      </c>
      <c r="T904" s="104">
        <f t="shared" ca="1" si="269"/>
        <v>0</v>
      </c>
      <c r="U904" s="120">
        <f t="shared" ca="1" si="270"/>
        <v>1215.5224659982036</v>
      </c>
      <c r="V904" s="104">
        <f t="shared" ca="1" si="271"/>
        <v>0</v>
      </c>
      <c r="W904" s="133">
        <f t="shared" ca="1" si="272"/>
        <v>17703.88711758321</v>
      </c>
      <c r="X904" s="104">
        <f t="shared" ca="1" si="273"/>
        <v>0</v>
      </c>
    </row>
    <row r="905" spans="1:24" x14ac:dyDescent="0.2">
      <c r="A905" s="98">
        <v>2</v>
      </c>
      <c r="B905" s="98">
        <v>3</v>
      </c>
      <c r="C905" s="98">
        <f t="shared" si="255"/>
        <v>8</v>
      </c>
      <c r="D905" s="98">
        <f t="shared" si="256"/>
        <v>7</v>
      </c>
      <c r="E905" s="98">
        <f t="shared" si="257"/>
        <v>2</v>
      </c>
      <c r="F905" s="118">
        <f t="shared" ca="1" si="258"/>
        <v>2.6189999999999994E-3</v>
      </c>
      <c r="G905" s="98">
        <v>1</v>
      </c>
      <c r="H905" s="98">
        <v>1</v>
      </c>
      <c r="I905" s="98">
        <v>5</v>
      </c>
      <c r="J905" s="118">
        <f t="shared" ca="1" si="259"/>
        <v>0</v>
      </c>
      <c r="K905" s="118">
        <f t="shared" ca="1" si="260"/>
        <v>0</v>
      </c>
      <c r="L905" s="133">
        <f t="shared" ca="1" si="261"/>
        <v>396</v>
      </c>
      <c r="M905" s="130">
        <f t="shared" ca="1" si="262"/>
        <v>604</v>
      </c>
      <c r="N905" s="100">
        <f t="shared" ca="1" si="263"/>
        <v>3</v>
      </c>
      <c r="O905" s="136">
        <f t="shared" ca="1" si="264"/>
        <v>2.1177215542739054</v>
      </c>
      <c r="P905" s="136">
        <f t="shared" ca="1" si="265"/>
        <v>21.177215542739059</v>
      </c>
      <c r="Q905" s="136">
        <f t="shared" ca="1" si="266"/>
        <v>21.177215542739059</v>
      </c>
      <c r="R905" s="136">
        <f t="shared" ca="1" si="267"/>
        <v>2.1177215542739058</v>
      </c>
      <c r="S905" s="136">
        <f t="shared" ca="1" si="268"/>
        <v>2.1177215542739054</v>
      </c>
      <c r="T905" s="104">
        <f t="shared" ca="1" si="269"/>
        <v>0</v>
      </c>
      <c r="U905" s="120">
        <f t="shared" ca="1" si="270"/>
        <v>1203.5224659982036</v>
      </c>
      <c r="V905" s="104">
        <f t="shared" ca="1" si="271"/>
        <v>0</v>
      </c>
      <c r="W905" s="133">
        <f t="shared" ca="1" si="272"/>
        <v>15526.28722612156</v>
      </c>
      <c r="X905" s="104">
        <f t="shared" ca="1" si="273"/>
        <v>0</v>
      </c>
    </row>
    <row r="906" spans="1:24" x14ac:dyDescent="0.2">
      <c r="A906" s="98">
        <v>2</v>
      </c>
      <c r="B906" s="98">
        <v>3</v>
      </c>
      <c r="C906" s="98">
        <f t="shared" si="255"/>
        <v>8</v>
      </c>
      <c r="D906" s="98">
        <f t="shared" si="256"/>
        <v>7</v>
      </c>
      <c r="E906" s="98">
        <f t="shared" si="257"/>
        <v>2</v>
      </c>
      <c r="F906" s="118">
        <f t="shared" ca="1" si="258"/>
        <v>2.6189999999999994E-3</v>
      </c>
      <c r="G906" s="98">
        <v>1</v>
      </c>
      <c r="H906" s="98">
        <v>1</v>
      </c>
      <c r="I906" s="98">
        <v>4</v>
      </c>
      <c r="J906" s="118">
        <f t="shared" ca="1" si="259"/>
        <v>0</v>
      </c>
      <c r="K906" s="118">
        <f t="shared" ca="1" si="260"/>
        <v>0</v>
      </c>
      <c r="L906" s="133">
        <f t="shared" ca="1" si="261"/>
        <v>384</v>
      </c>
      <c r="M906" s="130">
        <f t="shared" ca="1" si="262"/>
        <v>616</v>
      </c>
      <c r="N906" s="100">
        <f t="shared" ca="1" si="263"/>
        <v>3</v>
      </c>
      <c r="O906" s="136">
        <f t="shared" ca="1" si="264"/>
        <v>2.1177215542739054</v>
      </c>
      <c r="P906" s="136">
        <f t="shared" ca="1" si="265"/>
        <v>21.177215542739059</v>
      </c>
      <c r="Q906" s="136">
        <f t="shared" ca="1" si="266"/>
        <v>21.177215542739059</v>
      </c>
      <c r="R906" s="136">
        <f t="shared" ca="1" si="267"/>
        <v>2.1177215542739058</v>
      </c>
      <c r="S906" s="136">
        <f t="shared" ca="1" si="268"/>
        <v>2.1177215542739054</v>
      </c>
      <c r="T906" s="104">
        <f t="shared" ca="1" si="269"/>
        <v>0</v>
      </c>
      <c r="U906" s="120">
        <f t="shared" ca="1" si="270"/>
        <v>1191.5224659982036</v>
      </c>
      <c r="V906" s="104">
        <f t="shared" ca="1" si="271"/>
        <v>0</v>
      </c>
      <c r="W906" s="133">
        <f t="shared" ca="1" si="272"/>
        <v>13348.68733465991</v>
      </c>
      <c r="X906" s="104">
        <f t="shared" ca="1" si="273"/>
        <v>0</v>
      </c>
    </row>
    <row r="907" spans="1:24" x14ac:dyDescent="0.2">
      <c r="A907" s="98">
        <v>2</v>
      </c>
      <c r="B907" s="98">
        <v>3</v>
      </c>
      <c r="C907" s="98">
        <f t="shared" si="255"/>
        <v>8</v>
      </c>
      <c r="D907" s="98">
        <f t="shared" si="256"/>
        <v>7</v>
      </c>
      <c r="E907" s="98">
        <f t="shared" si="257"/>
        <v>2</v>
      </c>
      <c r="F907" s="118">
        <f t="shared" ca="1" si="258"/>
        <v>2.6189999999999994E-3</v>
      </c>
      <c r="G907" s="98">
        <v>1</v>
      </c>
      <c r="H907" s="98">
        <v>1</v>
      </c>
      <c r="I907" s="98">
        <v>3</v>
      </c>
      <c r="J907" s="118">
        <f t="shared" ca="1" si="259"/>
        <v>0</v>
      </c>
      <c r="K907" s="118">
        <f t="shared" ca="1" si="260"/>
        <v>0</v>
      </c>
      <c r="L907" s="133">
        <f t="shared" ca="1" si="261"/>
        <v>372</v>
      </c>
      <c r="M907" s="130">
        <f t="shared" ca="1" si="262"/>
        <v>628</v>
      </c>
      <c r="N907" s="100">
        <f t="shared" ca="1" si="263"/>
        <v>3</v>
      </c>
      <c r="O907" s="136">
        <f t="shared" ca="1" si="264"/>
        <v>2.1177215542739054</v>
      </c>
      <c r="P907" s="136">
        <f t="shared" ca="1" si="265"/>
        <v>21.177215542739059</v>
      </c>
      <c r="Q907" s="136">
        <f t="shared" ca="1" si="266"/>
        <v>21.177215542739059</v>
      </c>
      <c r="R907" s="136">
        <f t="shared" ca="1" si="267"/>
        <v>2.1177215542739058</v>
      </c>
      <c r="S907" s="136">
        <f t="shared" ca="1" si="268"/>
        <v>2.1177215542739054</v>
      </c>
      <c r="T907" s="104">
        <f t="shared" ca="1" si="269"/>
        <v>0</v>
      </c>
      <c r="U907" s="120">
        <f t="shared" ca="1" si="270"/>
        <v>1179.5224659982036</v>
      </c>
      <c r="V907" s="104">
        <f t="shared" ca="1" si="271"/>
        <v>0</v>
      </c>
      <c r="W907" s="133">
        <f t="shared" ca="1" si="272"/>
        <v>11171.087443198263</v>
      </c>
      <c r="X907" s="104">
        <f t="shared" ca="1" si="273"/>
        <v>0</v>
      </c>
    </row>
    <row r="908" spans="1:24" x14ac:dyDescent="0.2">
      <c r="A908" s="98">
        <v>2</v>
      </c>
      <c r="B908" s="98">
        <v>3</v>
      </c>
      <c r="C908" s="98">
        <f t="shared" si="255"/>
        <v>8</v>
      </c>
      <c r="D908" s="98">
        <f t="shared" si="256"/>
        <v>7</v>
      </c>
      <c r="E908" s="98">
        <f t="shared" si="257"/>
        <v>2</v>
      </c>
      <c r="F908" s="118">
        <f t="shared" ca="1" si="258"/>
        <v>2.6189999999999994E-3</v>
      </c>
      <c r="G908" s="98">
        <v>1</v>
      </c>
      <c r="H908" s="98">
        <v>1</v>
      </c>
      <c r="I908" s="98">
        <v>2</v>
      </c>
      <c r="J908" s="118">
        <f t="shared" ca="1" si="259"/>
        <v>0</v>
      </c>
      <c r="K908" s="118">
        <f t="shared" ca="1" si="260"/>
        <v>0</v>
      </c>
      <c r="L908" s="133">
        <f t="shared" ca="1" si="261"/>
        <v>360</v>
      </c>
      <c r="M908" s="130">
        <f t="shared" ca="1" si="262"/>
        <v>640</v>
      </c>
      <c r="N908" s="100">
        <f t="shared" ca="1" si="263"/>
        <v>3</v>
      </c>
      <c r="O908" s="136">
        <f t="shared" ca="1" si="264"/>
        <v>2.1177215542739054</v>
      </c>
      <c r="P908" s="136">
        <f t="shared" ca="1" si="265"/>
        <v>21.177215542739059</v>
      </c>
      <c r="Q908" s="136">
        <f t="shared" ca="1" si="266"/>
        <v>21.177215542739059</v>
      </c>
      <c r="R908" s="136">
        <f t="shared" ca="1" si="267"/>
        <v>2.1177215542739058</v>
      </c>
      <c r="S908" s="136">
        <f t="shared" ca="1" si="268"/>
        <v>2.1177215542739054</v>
      </c>
      <c r="T908" s="104">
        <f t="shared" ca="1" si="269"/>
        <v>0</v>
      </c>
      <c r="U908" s="120">
        <f t="shared" ca="1" si="270"/>
        <v>1167.5224659982036</v>
      </c>
      <c r="V908" s="104">
        <f t="shared" ca="1" si="271"/>
        <v>0</v>
      </c>
      <c r="W908" s="133">
        <f t="shared" ca="1" si="272"/>
        <v>8993.4875517366127</v>
      </c>
      <c r="X908" s="104">
        <f t="shared" ca="1" si="273"/>
        <v>0</v>
      </c>
    </row>
    <row r="909" spans="1:24" x14ac:dyDescent="0.2">
      <c r="A909" s="98">
        <v>2</v>
      </c>
      <c r="B909" s="98">
        <v>3</v>
      </c>
      <c r="C909" s="98">
        <f t="shared" si="255"/>
        <v>8</v>
      </c>
      <c r="D909" s="98">
        <f t="shared" si="256"/>
        <v>7</v>
      </c>
      <c r="E909" s="98">
        <f t="shared" si="257"/>
        <v>2</v>
      </c>
      <c r="F909" s="118">
        <f t="shared" ca="1" si="258"/>
        <v>2.6189999999999994E-3</v>
      </c>
      <c r="G909" s="98">
        <v>1</v>
      </c>
      <c r="H909" s="98">
        <v>1</v>
      </c>
      <c r="I909" s="98">
        <v>1</v>
      </c>
      <c r="J909" s="118">
        <f t="shared" ca="1" si="259"/>
        <v>0</v>
      </c>
      <c r="K909" s="118">
        <f t="shared" ca="1" si="260"/>
        <v>0</v>
      </c>
      <c r="L909" s="133">
        <f t="shared" ca="1" si="261"/>
        <v>348</v>
      </c>
      <c r="M909" s="130">
        <f t="shared" ca="1" si="262"/>
        <v>652</v>
      </c>
      <c r="N909" s="100">
        <f t="shared" ca="1" si="263"/>
        <v>4</v>
      </c>
      <c r="O909" s="136">
        <f t="shared" ca="1" si="264"/>
        <v>2.6973744602864622</v>
      </c>
      <c r="P909" s="136">
        <f t="shared" ca="1" si="265"/>
        <v>21.177215542739059</v>
      </c>
      <c r="Q909" s="136">
        <f t="shared" ca="1" si="266"/>
        <v>21.177215542739059</v>
      </c>
      <c r="R909" s="136">
        <f t="shared" ca="1" si="267"/>
        <v>2.1177215542739058</v>
      </c>
      <c r="S909" s="136">
        <f t="shared" ca="1" si="268"/>
        <v>2.5060890013023185</v>
      </c>
      <c r="T909" s="104">
        <f t="shared" ca="1" si="269"/>
        <v>0</v>
      </c>
      <c r="U909" s="120">
        <f t="shared" ca="1" si="270"/>
        <v>1297.2589968903351</v>
      </c>
      <c r="V909" s="104">
        <f t="shared" ca="1" si="271"/>
        <v>0</v>
      </c>
      <c r="W909" s="133">
        <f t="shared" ca="1" si="272"/>
        <v>6815.8876602749624</v>
      </c>
      <c r="X909" s="104">
        <f t="shared" ca="1" si="273"/>
        <v>0</v>
      </c>
    </row>
    <row r="910" spans="1:24" x14ac:dyDescent="0.2">
      <c r="A910" s="98">
        <v>2</v>
      </c>
      <c r="B910" s="98">
        <v>3</v>
      </c>
      <c r="C910" s="98">
        <f t="shared" si="255"/>
        <v>8</v>
      </c>
      <c r="D910" s="98">
        <f t="shared" si="256"/>
        <v>7</v>
      </c>
      <c r="E910" s="98">
        <f t="shared" si="257"/>
        <v>2</v>
      </c>
      <c r="F910" s="118">
        <f t="shared" ca="1" si="258"/>
        <v>2.6189999999999994E-3</v>
      </c>
      <c r="G910" s="98">
        <v>1</v>
      </c>
      <c r="H910" s="98">
        <v>1</v>
      </c>
      <c r="I910" s="98">
        <v>0</v>
      </c>
      <c r="J910" s="118">
        <f t="shared" ca="1" si="259"/>
        <v>0</v>
      </c>
      <c r="K910" s="118">
        <f t="shared" ca="1" si="260"/>
        <v>0</v>
      </c>
      <c r="L910" s="133">
        <f t="shared" ca="1" si="261"/>
        <v>336</v>
      </c>
      <c r="M910" s="130">
        <f t="shared" ca="1" si="262"/>
        <v>664</v>
      </c>
      <c r="N910" s="100">
        <f t="shared" ca="1" si="263"/>
        <v>4</v>
      </c>
      <c r="O910" s="136">
        <f t="shared" ca="1" si="264"/>
        <v>2.6973744602864622</v>
      </c>
      <c r="P910" s="136">
        <f t="shared" ca="1" si="265"/>
        <v>26.973744602864617</v>
      </c>
      <c r="Q910" s="136">
        <f t="shared" ca="1" si="266"/>
        <v>22.336521354764173</v>
      </c>
      <c r="R910" s="136">
        <f t="shared" ca="1" si="267"/>
        <v>2.4655132978814391</v>
      </c>
      <c r="S910" s="136">
        <f t="shared" ca="1" si="268"/>
        <v>2.6208602766928046</v>
      </c>
      <c r="T910" s="104">
        <f t="shared" ca="1" si="269"/>
        <v>0</v>
      </c>
      <c r="U910" s="120">
        <f t="shared" ca="1" si="270"/>
        <v>1327.1453149748754</v>
      </c>
      <c r="V910" s="104">
        <f t="shared" ca="1" si="271"/>
        <v>0</v>
      </c>
      <c r="W910" s="133">
        <f t="shared" ca="1" si="272"/>
        <v>4638.2877688133131</v>
      </c>
      <c r="X910" s="104">
        <f t="shared" ca="1" si="273"/>
        <v>0</v>
      </c>
    </row>
    <row r="911" spans="1:24" x14ac:dyDescent="0.2">
      <c r="A911" s="98">
        <v>2</v>
      </c>
      <c r="B911" s="98">
        <v>3</v>
      </c>
      <c r="C911" s="98">
        <f t="shared" si="255"/>
        <v>8</v>
      </c>
      <c r="D911" s="98">
        <f t="shared" si="256"/>
        <v>7</v>
      </c>
      <c r="E911" s="98">
        <f t="shared" si="257"/>
        <v>2</v>
      </c>
      <c r="F911" s="118">
        <f t="shared" ca="1" si="258"/>
        <v>2.6189999999999994E-3</v>
      </c>
      <c r="G911" s="98">
        <v>1</v>
      </c>
      <c r="H911" s="98">
        <v>0</v>
      </c>
      <c r="I911" s="98">
        <v>7</v>
      </c>
      <c r="J911" s="118">
        <f t="shared" ca="1" si="259"/>
        <v>0.66342043128906247</v>
      </c>
      <c r="K911" s="118">
        <f t="shared" ca="1" si="260"/>
        <v>1.7374981095460542E-3</v>
      </c>
      <c r="L911" s="133">
        <f t="shared" ca="1" si="261"/>
        <v>252</v>
      </c>
      <c r="M911" s="130">
        <f t="shared" ca="1" si="262"/>
        <v>748</v>
      </c>
      <c r="N911" s="100">
        <f t="shared" ca="1" si="263"/>
        <v>4</v>
      </c>
      <c r="O911" s="136">
        <f t="shared" ca="1" si="264"/>
        <v>2.6973744602864622</v>
      </c>
      <c r="P911" s="136">
        <f t="shared" ca="1" si="265"/>
        <v>26.973744602864617</v>
      </c>
      <c r="Q911" s="136">
        <f t="shared" ca="1" si="266"/>
        <v>26.973744602864617</v>
      </c>
      <c r="R911" s="136">
        <f t="shared" ca="1" si="267"/>
        <v>2.6973744602864618</v>
      </c>
      <c r="S911" s="136">
        <f t="shared" ca="1" si="268"/>
        <v>2.6973744602864622</v>
      </c>
      <c r="T911" s="104">
        <f t="shared" ca="1" si="269"/>
        <v>4.6866830254855361E-3</v>
      </c>
      <c r="U911" s="120">
        <f t="shared" ca="1" si="270"/>
        <v>1271.0695270312358</v>
      </c>
      <c r="V911" s="104">
        <f t="shared" ca="1" si="271"/>
        <v>2.2084809003183694</v>
      </c>
      <c r="W911" s="133">
        <f t="shared" ca="1" si="272"/>
        <v>17703.88711758321</v>
      </c>
      <c r="X911" s="104">
        <f t="shared" ca="1" si="273"/>
        <v>30.760470398417571</v>
      </c>
    </row>
    <row r="912" spans="1:24" x14ac:dyDescent="0.2">
      <c r="A912" s="98">
        <v>2</v>
      </c>
      <c r="B912" s="98">
        <v>3</v>
      </c>
      <c r="C912" s="98">
        <f t="shared" si="255"/>
        <v>8</v>
      </c>
      <c r="D912" s="98">
        <f t="shared" si="256"/>
        <v>7</v>
      </c>
      <c r="E912" s="98">
        <f t="shared" si="257"/>
        <v>2</v>
      </c>
      <c r="F912" s="118">
        <f t="shared" ca="1" si="258"/>
        <v>2.6189999999999994E-3</v>
      </c>
      <c r="G912" s="98">
        <v>1</v>
      </c>
      <c r="H912" s="98">
        <v>0</v>
      </c>
      <c r="I912" s="98">
        <v>6</v>
      </c>
      <c r="J912" s="118">
        <f t="shared" ca="1" si="259"/>
        <v>0.24441805363281272</v>
      </c>
      <c r="K912" s="118">
        <f t="shared" ca="1" si="260"/>
        <v>6.4013088246433634E-4</v>
      </c>
      <c r="L912" s="133">
        <f t="shared" ca="1" si="261"/>
        <v>240</v>
      </c>
      <c r="M912" s="130">
        <f t="shared" ca="1" si="262"/>
        <v>760</v>
      </c>
      <c r="N912" s="100">
        <f t="shared" ca="1" si="263"/>
        <v>4</v>
      </c>
      <c r="O912" s="136">
        <f t="shared" ca="1" si="264"/>
        <v>2.6973744602864622</v>
      </c>
      <c r="P912" s="136">
        <f t="shared" ca="1" si="265"/>
        <v>26.973744602864617</v>
      </c>
      <c r="Q912" s="136">
        <f t="shared" ca="1" si="266"/>
        <v>26.973744602864617</v>
      </c>
      <c r="R912" s="136">
        <f t="shared" ca="1" si="267"/>
        <v>2.6973744602864618</v>
      </c>
      <c r="S912" s="136">
        <f t="shared" ca="1" si="268"/>
        <v>2.6973744602864622</v>
      </c>
      <c r="T912" s="104">
        <f t="shared" ca="1" si="269"/>
        <v>1.726672693599936E-3</v>
      </c>
      <c r="U912" s="120">
        <f t="shared" ca="1" si="270"/>
        <v>1259.0695270312358</v>
      </c>
      <c r="V912" s="104">
        <f t="shared" ca="1" si="271"/>
        <v>0.80596928742245955</v>
      </c>
      <c r="W912" s="133">
        <f t="shared" ca="1" si="272"/>
        <v>15526.287226121562</v>
      </c>
      <c r="X912" s="104">
        <f t="shared" ca="1" si="273"/>
        <v>9.9388559434519479</v>
      </c>
    </row>
    <row r="913" spans="1:24" x14ac:dyDescent="0.2">
      <c r="A913" s="98">
        <v>2</v>
      </c>
      <c r="B913" s="98">
        <v>3</v>
      </c>
      <c r="C913" s="98">
        <f t="shared" si="255"/>
        <v>8</v>
      </c>
      <c r="D913" s="98">
        <f t="shared" si="256"/>
        <v>7</v>
      </c>
      <c r="E913" s="98">
        <f t="shared" si="257"/>
        <v>2</v>
      </c>
      <c r="F913" s="118">
        <f t="shared" ca="1" si="258"/>
        <v>2.6189999999999994E-3</v>
      </c>
      <c r="G913" s="98">
        <v>1</v>
      </c>
      <c r="H913" s="98">
        <v>0</v>
      </c>
      <c r="I913" s="98">
        <v>5</v>
      </c>
      <c r="J913" s="118">
        <f t="shared" ca="1" si="259"/>
        <v>3.8592324257812567E-2</v>
      </c>
      <c r="K913" s="118">
        <f t="shared" ca="1" si="260"/>
        <v>1.0107329723121109E-4</v>
      </c>
      <c r="L913" s="133">
        <f t="shared" ca="1" si="261"/>
        <v>228</v>
      </c>
      <c r="M913" s="130">
        <f t="shared" ca="1" si="262"/>
        <v>772</v>
      </c>
      <c r="N913" s="100">
        <f t="shared" ca="1" si="263"/>
        <v>4</v>
      </c>
      <c r="O913" s="136">
        <f t="shared" ca="1" si="264"/>
        <v>2.6973744602864622</v>
      </c>
      <c r="P913" s="136">
        <f t="shared" ca="1" si="265"/>
        <v>26.973744602864617</v>
      </c>
      <c r="Q913" s="136">
        <f t="shared" ca="1" si="266"/>
        <v>26.973744602864617</v>
      </c>
      <c r="R913" s="136">
        <f t="shared" ca="1" si="267"/>
        <v>2.6973744602864618</v>
      </c>
      <c r="S913" s="136">
        <f t="shared" ca="1" si="268"/>
        <v>2.6973744602864622</v>
      </c>
      <c r="T913" s="104">
        <f t="shared" ca="1" si="269"/>
        <v>2.7263253056841117E-4</v>
      </c>
      <c r="U913" s="120">
        <f t="shared" ca="1" si="270"/>
        <v>1247.0695270312358</v>
      </c>
      <c r="V913" s="104">
        <f t="shared" ca="1" si="271"/>
        <v>0.12604542897361393</v>
      </c>
      <c r="W913" s="133">
        <f t="shared" ca="1" si="272"/>
        <v>13348.687334659911</v>
      </c>
      <c r="X913" s="104">
        <f t="shared" ca="1" si="273"/>
        <v>1.3491958426225843</v>
      </c>
    </row>
    <row r="914" spans="1:24" x14ac:dyDescent="0.2">
      <c r="A914" s="98">
        <v>2</v>
      </c>
      <c r="B914" s="98">
        <v>3</v>
      </c>
      <c r="C914" s="98">
        <f t="shared" si="255"/>
        <v>8</v>
      </c>
      <c r="D914" s="98">
        <f t="shared" si="256"/>
        <v>7</v>
      </c>
      <c r="E914" s="98">
        <f t="shared" si="257"/>
        <v>2</v>
      </c>
      <c r="F914" s="118">
        <f t="shared" ca="1" si="258"/>
        <v>2.6189999999999994E-3</v>
      </c>
      <c r="G914" s="98">
        <v>1</v>
      </c>
      <c r="H914" s="98">
        <v>0</v>
      </c>
      <c r="I914" s="98">
        <v>4</v>
      </c>
      <c r="J914" s="118">
        <f t="shared" ca="1" si="259"/>
        <v>3.3852916015625085E-3</v>
      </c>
      <c r="K914" s="118">
        <f t="shared" ca="1" si="260"/>
        <v>8.8660787044922078E-6</v>
      </c>
      <c r="L914" s="133">
        <f t="shared" ca="1" si="261"/>
        <v>216</v>
      </c>
      <c r="M914" s="130">
        <f t="shared" ca="1" si="262"/>
        <v>784</v>
      </c>
      <c r="N914" s="100">
        <f t="shared" ca="1" si="263"/>
        <v>4</v>
      </c>
      <c r="O914" s="136">
        <f t="shared" ca="1" si="264"/>
        <v>2.6973744602864622</v>
      </c>
      <c r="P914" s="136">
        <f t="shared" ca="1" si="265"/>
        <v>26.973744602864617</v>
      </c>
      <c r="Q914" s="136">
        <f t="shared" ca="1" si="266"/>
        <v>26.973744602864617</v>
      </c>
      <c r="R914" s="136">
        <f t="shared" ca="1" si="267"/>
        <v>2.6973744602864618</v>
      </c>
      <c r="S914" s="136">
        <f t="shared" ca="1" si="268"/>
        <v>2.6973744602864622</v>
      </c>
      <c r="T914" s="104">
        <f t="shared" ca="1" si="269"/>
        <v>2.3915134260386965E-5</v>
      </c>
      <c r="U914" s="120">
        <f t="shared" ca="1" si="270"/>
        <v>1235.0695270312358</v>
      </c>
      <c r="V914" s="104">
        <f t="shared" ca="1" si="271"/>
        <v>1.0950223632178903E-2</v>
      </c>
      <c r="W914" s="133">
        <f t="shared" ca="1" si="272"/>
        <v>11171.087443198261</v>
      </c>
      <c r="X914" s="104">
        <f t="shared" ca="1" si="273"/>
        <v>9.9043740486160409E-2</v>
      </c>
    </row>
    <row r="915" spans="1:24" x14ac:dyDescent="0.2">
      <c r="A915" s="98">
        <v>2</v>
      </c>
      <c r="B915" s="98">
        <v>3</v>
      </c>
      <c r="C915" s="98">
        <f t="shared" si="255"/>
        <v>8</v>
      </c>
      <c r="D915" s="98">
        <f t="shared" si="256"/>
        <v>7</v>
      </c>
      <c r="E915" s="98">
        <f t="shared" si="257"/>
        <v>2</v>
      </c>
      <c r="F915" s="118">
        <f t="shared" ca="1" si="258"/>
        <v>2.6189999999999994E-3</v>
      </c>
      <c r="G915" s="98">
        <v>1</v>
      </c>
      <c r="H915" s="98">
        <v>0</v>
      </c>
      <c r="I915" s="98">
        <v>3</v>
      </c>
      <c r="J915" s="118">
        <f t="shared" ca="1" si="259"/>
        <v>1.7817324218750058E-4</v>
      </c>
      <c r="K915" s="118">
        <f t="shared" ca="1" si="260"/>
        <v>4.6663572128906391E-7</v>
      </c>
      <c r="L915" s="133">
        <f t="shared" ca="1" si="261"/>
        <v>204</v>
      </c>
      <c r="M915" s="130">
        <f t="shared" ca="1" si="262"/>
        <v>796</v>
      </c>
      <c r="N915" s="100">
        <f t="shared" ca="1" si="263"/>
        <v>4</v>
      </c>
      <c r="O915" s="136">
        <f t="shared" ca="1" si="264"/>
        <v>2.6973744602864622</v>
      </c>
      <c r="P915" s="136">
        <f t="shared" ca="1" si="265"/>
        <v>26.973744602864617</v>
      </c>
      <c r="Q915" s="136">
        <f t="shared" ca="1" si="266"/>
        <v>26.973744602864617</v>
      </c>
      <c r="R915" s="136">
        <f t="shared" ca="1" si="267"/>
        <v>2.6973744602864618</v>
      </c>
      <c r="S915" s="136">
        <f t="shared" ca="1" si="268"/>
        <v>2.6973744602864622</v>
      </c>
      <c r="T915" s="104">
        <f t="shared" ca="1" si="269"/>
        <v>1.2586912768624727E-6</v>
      </c>
      <c r="U915" s="120">
        <f t="shared" ca="1" si="270"/>
        <v>1223.0695270312358</v>
      </c>
      <c r="V915" s="104">
        <f t="shared" ca="1" si="271"/>
        <v>5.7072793093289494E-4</v>
      </c>
      <c r="W915" s="133">
        <f t="shared" ca="1" si="272"/>
        <v>8993.4875517366127</v>
      </c>
      <c r="X915" s="104">
        <f t="shared" ca="1" si="273"/>
        <v>4.1966825506088313E-3</v>
      </c>
    </row>
    <row r="916" spans="1:24" x14ac:dyDescent="0.2">
      <c r="A916" s="98">
        <v>2</v>
      </c>
      <c r="B916" s="98">
        <v>3</v>
      </c>
      <c r="C916" s="98">
        <f t="shared" si="255"/>
        <v>8</v>
      </c>
      <c r="D916" s="98">
        <f t="shared" si="256"/>
        <v>7</v>
      </c>
      <c r="E916" s="98">
        <f t="shared" si="257"/>
        <v>2</v>
      </c>
      <c r="F916" s="118">
        <f t="shared" ca="1" si="258"/>
        <v>2.6189999999999994E-3</v>
      </c>
      <c r="G916" s="98">
        <v>1</v>
      </c>
      <c r="H916" s="98">
        <v>0</v>
      </c>
      <c r="I916" s="98">
        <v>2</v>
      </c>
      <c r="J916" s="118">
        <f t="shared" ca="1" si="259"/>
        <v>5.6265234375000243E-6</v>
      </c>
      <c r="K916" s="118">
        <f t="shared" ca="1" si="260"/>
        <v>1.473586488281256E-8</v>
      </c>
      <c r="L916" s="133">
        <f t="shared" ca="1" si="261"/>
        <v>192</v>
      </c>
      <c r="M916" s="130">
        <f t="shared" ca="1" si="262"/>
        <v>808</v>
      </c>
      <c r="N916" s="100">
        <f t="shared" ca="1" si="263"/>
        <v>4</v>
      </c>
      <c r="O916" s="136">
        <f t="shared" ca="1" si="264"/>
        <v>2.6973744602864622</v>
      </c>
      <c r="P916" s="136">
        <f t="shared" ca="1" si="265"/>
        <v>26.973744602864617</v>
      </c>
      <c r="Q916" s="136">
        <f t="shared" ca="1" si="266"/>
        <v>26.973744602864617</v>
      </c>
      <c r="R916" s="136">
        <f t="shared" ca="1" si="267"/>
        <v>2.6973744602864618</v>
      </c>
      <c r="S916" s="136">
        <f t="shared" ca="1" si="268"/>
        <v>2.6973744602864622</v>
      </c>
      <c r="T916" s="104">
        <f t="shared" ca="1" si="269"/>
        <v>3.974814558513076E-8</v>
      </c>
      <c r="U916" s="120">
        <f t="shared" ca="1" si="270"/>
        <v>1211.0695270312358</v>
      </c>
      <c r="V916" s="104">
        <f t="shared" ca="1" si="271"/>
        <v>1.7846156914024005E-5</v>
      </c>
      <c r="W916" s="133">
        <f t="shared" ca="1" si="272"/>
        <v>6815.8876602749624</v>
      </c>
      <c r="X916" s="104">
        <f t="shared" ca="1" si="273"/>
        <v>1.0043799961824129E-4</v>
      </c>
    </row>
    <row r="917" spans="1:24" x14ac:dyDescent="0.2">
      <c r="A917" s="98">
        <v>2</v>
      </c>
      <c r="B917" s="98">
        <v>3</v>
      </c>
      <c r="C917" s="98">
        <f t="shared" si="255"/>
        <v>8</v>
      </c>
      <c r="D917" s="98">
        <f t="shared" si="256"/>
        <v>7</v>
      </c>
      <c r="E917" s="98">
        <f t="shared" si="257"/>
        <v>2</v>
      </c>
      <c r="F917" s="118">
        <f t="shared" ca="1" si="258"/>
        <v>2.6189999999999994E-3</v>
      </c>
      <c r="G917" s="98">
        <v>1</v>
      </c>
      <c r="H917" s="98">
        <v>0</v>
      </c>
      <c r="I917" s="98">
        <v>1</v>
      </c>
      <c r="J917" s="118">
        <f t="shared" ca="1" si="259"/>
        <v>9.8710937500000504E-8</v>
      </c>
      <c r="K917" s="118">
        <f t="shared" ca="1" si="260"/>
        <v>2.5852394531250123E-10</v>
      </c>
      <c r="L917" s="133">
        <f t="shared" ca="1" si="261"/>
        <v>180</v>
      </c>
      <c r="M917" s="130">
        <f t="shared" ca="1" si="262"/>
        <v>820</v>
      </c>
      <c r="N917" s="100">
        <f t="shared" ca="1" si="263"/>
        <v>4</v>
      </c>
      <c r="O917" s="136">
        <f t="shared" ca="1" si="264"/>
        <v>2.6973744602864622</v>
      </c>
      <c r="P917" s="136">
        <f t="shared" ca="1" si="265"/>
        <v>26.973744602864617</v>
      </c>
      <c r="Q917" s="136">
        <f t="shared" ca="1" si="266"/>
        <v>26.973744602864617</v>
      </c>
      <c r="R917" s="136">
        <f t="shared" ca="1" si="267"/>
        <v>2.6973744602864618</v>
      </c>
      <c r="S917" s="136">
        <f t="shared" ca="1" si="268"/>
        <v>2.6973744602864622</v>
      </c>
      <c r="T917" s="104">
        <f t="shared" ca="1" si="269"/>
        <v>6.9733588745843492E-10</v>
      </c>
      <c r="U917" s="120">
        <f t="shared" ca="1" si="270"/>
        <v>1199.0695270312358</v>
      </c>
      <c r="V917" s="104">
        <f t="shared" ca="1" si="271"/>
        <v>3.0998818483210994E-7</v>
      </c>
      <c r="W917" s="133">
        <f t="shared" ca="1" si="272"/>
        <v>4638.2877688133131</v>
      </c>
      <c r="X917" s="104">
        <f t="shared" ca="1" si="273"/>
        <v>1.1991084534883362E-6</v>
      </c>
    </row>
    <row r="918" spans="1:24" x14ac:dyDescent="0.2">
      <c r="A918" s="98">
        <v>2</v>
      </c>
      <c r="B918" s="98">
        <v>3</v>
      </c>
      <c r="C918" s="98">
        <f t="shared" si="255"/>
        <v>8</v>
      </c>
      <c r="D918" s="98">
        <f t="shared" si="256"/>
        <v>7</v>
      </c>
      <c r="E918" s="98">
        <f t="shared" si="257"/>
        <v>2</v>
      </c>
      <c r="F918" s="118">
        <f t="shared" ca="1" si="258"/>
        <v>2.6189999999999994E-3</v>
      </c>
      <c r="G918" s="98">
        <v>1</v>
      </c>
      <c r="H918" s="98">
        <v>0</v>
      </c>
      <c r="I918" s="98">
        <v>0</v>
      </c>
      <c r="J918" s="118">
        <f t="shared" ca="1" si="259"/>
        <v>7.4218750000000458E-10</v>
      </c>
      <c r="K918" s="118">
        <f t="shared" ca="1" si="260"/>
        <v>1.9437890625000117E-12</v>
      </c>
      <c r="L918" s="133">
        <f t="shared" ca="1" si="261"/>
        <v>168</v>
      </c>
      <c r="M918" s="130">
        <f t="shared" ca="1" si="262"/>
        <v>832</v>
      </c>
      <c r="N918" s="100">
        <f t="shared" ca="1" si="263"/>
        <v>4</v>
      </c>
      <c r="O918" s="136">
        <f t="shared" ca="1" si="264"/>
        <v>2.6973744602864622</v>
      </c>
      <c r="P918" s="136">
        <f t="shared" ca="1" si="265"/>
        <v>26.973744602864617</v>
      </c>
      <c r="Q918" s="136">
        <f t="shared" ca="1" si="266"/>
        <v>26.973744602864617</v>
      </c>
      <c r="R918" s="136">
        <f t="shared" ca="1" si="267"/>
        <v>2.6973744602864618</v>
      </c>
      <c r="S918" s="136">
        <f t="shared" ca="1" si="268"/>
        <v>2.6973744602864622</v>
      </c>
      <c r="T918" s="104">
        <f t="shared" ca="1" si="269"/>
        <v>5.2431269733716974E-12</v>
      </c>
      <c r="U918" s="120">
        <f t="shared" ca="1" si="270"/>
        <v>1187.0695270312358</v>
      </c>
      <c r="V918" s="104">
        <f t="shared" ca="1" si="271"/>
        <v>2.3074127630703781E-9</v>
      </c>
      <c r="W918" s="133">
        <f t="shared" ca="1" si="272"/>
        <v>2460.6878773516637</v>
      </c>
      <c r="X918" s="104">
        <f t="shared" ca="1" si="273"/>
        <v>4.7830581822225346E-9</v>
      </c>
    </row>
    <row r="919" spans="1:24" x14ac:dyDescent="0.2">
      <c r="A919" s="98">
        <v>2</v>
      </c>
      <c r="B919" s="98">
        <v>3</v>
      </c>
      <c r="C919" s="98">
        <f t="shared" si="255"/>
        <v>8</v>
      </c>
      <c r="D919" s="98">
        <f t="shared" si="256"/>
        <v>7</v>
      </c>
      <c r="E919" s="98">
        <f t="shared" si="257"/>
        <v>2</v>
      </c>
      <c r="F919" s="118">
        <f t="shared" ca="1" si="258"/>
        <v>2.6189999999999994E-3</v>
      </c>
      <c r="G919" s="98">
        <v>0</v>
      </c>
      <c r="H919" s="98">
        <v>1</v>
      </c>
      <c r="I919" s="98">
        <v>7</v>
      </c>
      <c r="J919" s="118">
        <f t="shared" ca="1" si="259"/>
        <v>0</v>
      </c>
      <c r="K919" s="118">
        <f t="shared" ca="1" si="260"/>
        <v>0</v>
      </c>
      <c r="L919" s="133">
        <f t="shared" ca="1" si="261"/>
        <v>252</v>
      </c>
      <c r="M919" s="130">
        <f t="shared" ca="1" si="262"/>
        <v>748</v>
      </c>
      <c r="N919" s="100">
        <f t="shared" ca="1" si="263"/>
        <v>4</v>
      </c>
      <c r="O919" s="136">
        <f t="shared" ca="1" si="264"/>
        <v>2.6973744602864622</v>
      </c>
      <c r="P919" s="136">
        <f t="shared" ca="1" si="265"/>
        <v>26.973744602864617</v>
      </c>
      <c r="Q919" s="136">
        <f t="shared" ca="1" si="266"/>
        <v>26.973744602864617</v>
      </c>
      <c r="R919" s="136">
        <f t="shared" ca="1" si="267"/>
        <v>2.6973744602864618</v>
      </c>
      <c r="S919" s="136">
        <f t="shared" ca="1" si="268"/>
        <v>2.6973744602864622</v>
      </c>
      <c r="T919" s="104">
        <f t="shared" ca="1" si="269"/>
        <v>0</v>
      </c>
      <c r="U919" s="120">
        <f t="shared" ca="1" si="270"/>
        <v>1271.0695270312358</v>
      </c>
      <c r="V919" s="104">
        <f t="shared" ca="1" si="271"/>
        <v>0</v>
      </c>
      <c r="W919" s="133">
        <f t="shared" ca="1" si="272"/>
        <v>17420.799131693195</v>
      </c>
      <c r="X919" s="104">
        <f t="shared" ca="1" si="273"/>
        <v>0</v>
      </c>
    </row>
    <row r="920" spans="1:24" x14ac:dyDescent="0.2">
      <c r="A920" s="98">
        <v>2</v>
      </c>
      <c r="B920" s="98">
        <v>3</v>
      </c>
      <c r="C920" s="98">
        <f t="shared" si="255"/>
        <v>8</v>
      </c>
      <c r="D920" s="98">
        <f t="shared" si="256"/>
        <v>7</v>
      </c>
      <c r="E920" s="98">
        <f t="shared" si="257"/>
        <v>2</v>
      </c>
      <c r="F920" s="118">
        <f t="shared" ca="1" si="258"/>
        <v>2.6189999999999994E-3</v>
      </c>
      <c r="G920" s="98">
        <v>0</v>
      </c>
      <c r="H920" s="98">
        <v>1</v>
      </c>
      <c r="I920" s="98">
        <v>6</v>
      </c>
      <c r="J920" s="118">
        <f t="shared" ca="1" si="259"/>
        <v>0</v>
      </c>
      <c r="K920" s="118">
        <f t="shared" ca="1" si="260"/>
        <v>0</v>
      </c>
      <c r="L920" s="133">
        <f t="shared" ca="1" si="261"/>
        <v>240</v>
      </c>
      <c r="M920" s="130">
        <f t="shared" ca="1" si="262"/>
        <v>760</v>
      </c>
      <c r="N920" s="100">
        <f t="shared" ca="1" si="263"/>
        <v>4</v>
      </c>
      <c r="O920" s="136">
        <f t="shared" ca="1" si="264"/>
        <v>2.6973744602864622</v>
      </c>
      <c r="P920" s="136">
        <f t="shared" ca="1" si="265"/>
        <v>26.973744602864617</v>
      </c>
      <c r="Q920" s="136">
        <f t="shared" ca="1" si="266"/>
        <v>26.973744602864617</v>
      </c>
      <c r="R920" s="136">
        <f t="shared" ca="1" si="267"/>
        <v>2.6973744602864618</v>
      </c>
      <c r="S920" s="136">
        <f t="shared" ca="1" si="268"/>
        <v>2.6973744602864622</v>
      </c>
      <c r="T920" s="104">
        <f t="shared" ca="1" si="269"/>
        <v>0</v>
      </c>
      <c r="U920" s="120">
        <f t="shared" ca="1" si="270"/>
        <v>1259.0695270312358</v>
      </c>
      <c r="V920" s="104">
        <f t="shared" ca="1" si="271"/>
        <v>0</v>
      </c>
      <c r="W920" s="133">
        <f t="shared" ca="1" si="272"/>
        <v>15243.199240231548</v>
      </c>
      <c r="X920" s="104">
        <f t="shared" ca="1" si="273"/>
        <v>0</v>
      </c>
    </row>
    <row r="921" spans="1:24" x14ac:dyDescent="0.2">
      <c r="A921" s="98">
        <v>2</v>
      </c>
      <c r="B921" s="98">
        <v>3</v>
      </c>
      <c r="C921" s="98">
        <f t="shared" si="255"/>
        <v>8</v>
      </c>
      <c r="D921" s="98">
        <f t="shared" si="256"/>
        <v>7</v>
      </c>
      <c r="E921" s="98">
        <f t="shared" si="257"/>
        <v>2</v>
      </c>
      <c r="F921" s="118">
        <f t="shared" ca="1" si="258"/>
        <v>2.6189999999999994E-3</v>
      </c>
      <c r="G921" s="98">
        <v>0</v>
      </c>
      <c r="H921" s="98">
        <v>1</v>
      </c>
      <c r="I921" s="98">
        <v>5</v>
      </c>
      <c r="J921" s="118">
        <f t="shared" ca="1" si="259"/>
        <v>0</v>
      </c>
      <c r="K921" s="118">
        <f t="shared" ca="1" si="260"/>
        <v>0</v>
      </c>
      <c r="L921" s="133">
        <f t="shared" ca="1" si="261"/>
        <v>228</v>
      </c>
      <c r="M921" s="130">
        <f t="shared" ca="1" si="262"/>
        <v>772</v>
      </c>
      <c r="N921" s="100">
        <f t="shared" ca="1" si="263"/>
        <v>4</v>
      </c>
      <c r="O921" s="136">
        <f t="shared" ca="1" si="264"/>
        <v>2.6973744602864622</v>
      </c>
      <c r="P921" s="136">
        <f t="shared" ca="1" si="265"/>
        <v>26.973744602864617</v>
      </c>
      <c r="Q921" s="136">
        <f t="shared" ca="1" si="266"/>
        <v>26.973744602864617</v>
      </c>
      <c r="R921" s="136">
        <f t="shared" ca="1" si="267"/>
        <v>2.6973744602864618</v>
      </c>
      <c r="S921" s="136">
        <f t="shared" ca="1" si="268"/>
        <v>2.6973744602864622</v>
      </c>
      <c r="T921" s="104">
        <f t="shared" ca="1" si="269"/>
        <v>0</v>
      </c>
      <c r="U921" s="120">
        <f t="shared" ca="1" si="270"/>
        <v>1247.0695270312358</v>
      </c>
      <c r="V921" s="104">
        <f t="shared" ca="1" si="271"/>
        <v>0</v>
      </c>
      <c r="W921" s="133">
        <f t="shared" ca="1" si="272"/>
        <v>13065.599348769898</v>
      </c>
      <c r="X921" s="104">
        <f t="shared" ca="1" si="273"/>
        <v>0</v>
      </c>
    </row>
    <row r="922" spans="1:24" x14ac:dyDescent="0.2">
      <c r="A922" s="98">
        <v>2</v>
      </c>
      <c r="B922" s="98">
        <v>3</v>
      </c>
      <c r="C922" s="98">
        <f t="shared" si="255"/>
        <v>8</v>
      </c>
      <c r="D922" s="98">
        <f t="shared" si="256"/>
        <v>7</v>
      </c>
      <c r="E922" s="98">
        <f t="shared" si="257"/>
        <v>2</v>
      </c>
      <c r="F922" s="118">
        <f t="shared" ca="1" si="258"/>
        <v>2.6189999999999994E-3</v>
      </c>
      <c r="G922" s="98">
        <v>0</v>
      </c>
      <c r="H922" s="98">
        <v>1</v>
      </c>
      <c r="I922" s="98">
        <v>4</v>
      </c>
      <c r="J922" s="118">
        <f t="shared" ca="1" si="259"/>
        <v>0</v>
      </c>
      <c r="K922" s="118">
        <f t="shared" ca="1" si="260"/>
        <v>0</v>
      </c>
      <c r="L922" s="133">
        <f t="shared" ca="1" si="261"/>
        <v>216</v>
      </c>
      <c r="M922" s="130">
        <f t="shared" ca="1" si="262"/>
        <v>784</v>
      </c>
      <c r="N922" s="100">
        <f t="shared" ca="1" si="263"/>
        <v>4</v>
      </c>
      <c r="O922" s="136">
        <f t="shared" ca="1" si="264"/>
        <v>2.6973744602864622</v>
      </c>
      <c r="P922" s="136">
        <f t="shared" ca="1" si="265"/>
        <v>26.973744602864617</v>
      </c>
      <c r="Q922" s="136">
        <f t="shared" ca="1" si="266"/>
        <v>26.973744602864617</v>
      </c>
      <c r="R922" s="136">
        <f t="shared" ca="1" si="267"/>
        <v>2.6973744602864618</v>
      </c>
      <c r="S922" s="136">
        <f t="shared" ca="1" si="268"/>
        <v>2.6973744602864622</v>
      </c>
      <c r="T922" s="104">
        <f t="shared" ca="1" si="269"/>
        <v>0</v>
      </c>
      <c r="U922" s="120">
        <f t="shared" ca="1" si="270"/>
        <v>1235.0695270312358</v>
      </c>
      <c r="V922" s="104">
        <f t="shared" ca="1" si="271"/>
        <v>0</v>
      </c>
      <c r="W922" s="133">
        <f t="shared" ca="1" si="272"/>
        <v>10887.999457308248</v>
      </c>
      <c r="X922" s="104">
        <f t="shared" ca="1" si="273"/>
        <v>0</v>
      </c>
    </row>
    <row r="923" spans="1:24" x14ac:dyDescent="0.2">
      <c r="A923" s="98">
        <v>2</v>
      </c>
      <c r="B923" s="98">
        <v>3</v>
      </c>
      <c r="C923" s="98">
        <f t="shared" si="255"/>
        <v>8</v>
      </c>
      <c r="D923" s="98">
        <f t="shared" si="256"/>
        <v>7</v>
      </c>
      <c r="E923" s="98">
        <f t="shared" si="257"/>
        <v>2</v>
      </c>
      <c r="F923" s="118">
        <f t="shared" ca="1" si="258"/>
        <v>2.6189999999999994E-3</v>
      </c>
      <c r="G923" s="98">
        <v>0</v>
      </c>
      <c r="H923" s="98">
        <v>1</v>
      </c>
      <c r="I923" s="98">
        <v>3</v>
      </c>
      <c r="J923" s="118">
        <f t="shared" ca="1" si="259"/>
        <v>0</v>
      </c>
      <c r="K923" s="118">
        <f t="shared" ca="1" si="260"/>
        <v>0</v>
      </c>
      <c r="L923" s="133">
        <f t="shared" ca="1" si="261"/>
        <v>204</v>
      </c>
      <c r="M923" s="130">
        <f t="shared" ca="1" si="262"/>
        <v>796</v>
      </c>
      <c r="N923" s="100">
        <f t="shared" ca="1" si="263"/>
        <v>4</v>
      </c>
      <c r="O923" s="136">
        <f t="shared" ca="1" si="264"/>
        <v>2.6973744602864622</v>
      </c>
      <c r="P923" s="136">
        <f t="shared" ca="1" si="265"/>
        <v>26.973744602864617</v>
      </c>
      <c r="Q923" s="136">
        <f t="shared" ca="1" si="266"/>
        <v>26.973744602864617</v>
      </c>
      <c r="R923" s="136">
        <f t="shared" ca="1" si="267"/>
        <v>2.6973744602864618</v>
      </c>
      <c r="S923" s="136">
        <f t="shared" ca="1" si="268"/>
        <v>2.6973744602864622</v>
      </c>
      <c r="T923" s="104">
        <f t="shared" ca="1" si="269"/>
        <v>0</v>
      </c>
      <c r="U923" s="120">
        <f t="shared" ca="1" si="270"/>
        <v>1223.0695270312358</v>
      </c>
      <c r="V923" s="104">
        <f t="shared" ca="1" si="271"/>
        <v>0</v>
      </c>
      <c r="W923" s="133">
        <f t="shared" ca="1" si="272"/>
        <v>8710.3995658465974</v>
      </c>
      <c r="X923" s="104">
        <f t="shared" ca="1" si="273"/>
        <v>0</v>
      </c>
    </row>
    <row r="924" spans="1:24" x14ac:dyDescent="0.2">
      <c r="A924" s="98">
        <v>2</v>
      </c>
      <c r="B924" s="98">
        <v>3</v>
      </c>
      <c r="C924" s="98">
        <f t="shared" si="255"/>
        <v>8</v>
      </c>
      <c r="D924" s="98">
        <f t="shared" si="256"/>
        <v>7</v>
      </c>
      <c r="E924" s="98">
        <f t="shared" si="257"/>
        <v>2</v>
      </c>
      <c r="F924" s="118">
        <f t="shared" ca="1" si="258"/>
        <v>2.6189999999999994E-3</v>
      </c>
      <c r="G924" s="98">
        <v>0</v>
      </c>
      <c r="H924" s="98">
        <v>1</v>
      </c>
      <c r="I924" s="98">
        <v>2</v>
      </c>
      <c r="J924" s="118">
        <f t="shared" ca="1" si="259"/>
        <v>0</v>
      </c>
      <c r="K924" s="118">
        <f t="shared" ca="1" si="260"/>
        <v>0</v>
      </c>
      <c r="L924" s="133">
        <f t="shared" ca="1" si="261"/>
        <v>192</v>
      </c>
      <c r="M924" s="130">
        <f t="shared" ca="1" si="262"/>
        <v>808</v>
      </c>
      <c r="N924" s="100">
        <f t="shared" ca="1" si="263"/>
        <v>4</v>
      </c>
      <c r="O924" s="136">
        <f t="shared" ca="1" si="264"/>
        <v>2.6973744602864622</v>
      </c>
      <c r="P924" s="136">
        <f t="shared" ca="1" si="265"/>
        <v>26.973744602864617</v>
      </c>
      <c r="Q924" s="136">
        <f t="shared" ca="1" si="266"/>
        <v>26.973744602864617</v>
      </c>
      <c r="R924" s="136">
        <f t="shared" ca="1" si="267"/>
        <v>2.6973744602864618</v>
      </c>
      <c r="S924" s="136">
        <f t="shared" ca="1" si="268"/>
        <v>2.6973744602864622</v>
      </c>
      <c r="T924" s="104">
        <f t="shared" ca="1" si="269"/>
        <v>0</v>
      </c>
      <c r="U924" s="120">
        <f t="shared" ca="1" si="270"/>
        <v>1211.0695270312358</v>
      </c>
      <c r="V924" s="104">
        <f t="shared" ca="1" si="271"/>
        <v>0</v>
      </c>
      <c r="W924" s="133">
        <f t="shared" ca="1" si="272"/>
        <v>6532.799674384948</v>
      </c>
      <c r="X924" s="104">
        <f t="shared" ca="1" si="273"/>
        <v>0</v>
      </c>
    </row>
    <row r="925" spans="1:24" x14ac:dyDescent="0.2">
      <c r="A925" s="98">
        <v>2</v>
      </c>
      <c r="B925" s="98">
        <v>3</v>
      </c>
      <c r="C925" s="98">
        <f t="shared" si="255"/>
        <v>8</v>
      </c>
      <c r="D925" s="98">
        <f t="shared" si="256"/>
        <v>7</v>
      </c>
      <c r="E925" s="98">
        <f t="shared" si="257"/>
        <v>2</v>
      </c>
      <c r="F925" s="118">
        <f t="shared" ca="1" si="258"/>
        <v>2.6189999999999994E-3</v>
      </c>
      <c r="G925" s="98">
        <v>0</v>
      </c>
      <c r="H925" s="98">
        <v>1</v>
      </c>
      <c r="I925" s="98">
        <v>1</v>
      </c>
      <c r="J925" s="118">
        <f t="shared" ca="1" si="259"/>
        <v>0</v>
      </c>
      <c r="K925" s="118">
        <f t="shared" ca="1" si="260"/>
        <v>0</v>
      </c>
      <c r="L925" s="133">
        <f t="shared" ca="1" si="261"/>
        <v>180</v>
      </c>
      <c r="M925" s="130">
        <f t="shared" ca="1" si="262"/>
        <v>820</v>
      </c>
      <c r="N925" s="100">
        <f t="shared" ca="1" si="263"/>
        <v>4</v>
      </c>
      <c r="O925" s="136">
        <f t="shared" ca="1" si="264"/>
        <v>2.6973744602864622</v>
      </c>
      <c r="P925" s="136">
        <f t="shared" ca="1" si="265"/>
        <v>26.973744602864617</v>
      </c>
      <c r="Q925" s="136">
        <f t="shared" ca="1" si="266"/>
        <v>26.973744602864617</v>
      </c>
      <c r="R925" s="136">
        <f t="shared" ca="1" si="267"/>
        <v>2.6973744602864618</v>
      </c>
      <c r="S925" s="136">
        <f t="shared" ca="1" si="268"/>
        <v>2.6973744602864622</v>
      </c>
      <c r="T925" s="104">
        <f t="shared" ca="1" si="269"/>
        <v>0</v>
      </c>
      <c r="U925" s="120">
        <f t="shared" ca="1" si="270"/>
        <v>1199.0695270312358</v>
      </c>
      <c r="V925" s="104">
        <f t="shared" ca="1" si="271"/>
        <v>0</v>
      </c>
      <c r="W925" s="133">
        <f t="shared" ca="1" si="272"/>
        <v>4355.1997829232987</v>
      </c>
      <c r="X925" s="104">
        <f t="shared" ca="1" si="273"/>
        <v>0</v>
      </c>
    </row>
    <row r="926" spans="1:24" x14ac:dyDescent="0.2">
      <c r="A926" s="98">
        <v>2</v>
      </c>
      <c r="B926" s="98">
        <v>3</v>
      </c>
      <c r="C926" s="98">
        <f t="shared" si="255"/>
        <v>8</v>
      </c>
      <c r="D926" s="98">
        <f t="shared" si="256"/>
        <v>7</v>
      </c>
      <c r="E926" s="98">
        <f t="shared" si="257"/>
        <v>2</v>
      </c>
      <c r="F926" s="118">
        <f t="shared" ca="1" si="258"/>
        <v>2.6189999999999994E-3</v>
      </c>
      <c r="G926" s="98">
        <v>0</v>
      </c>
      <c r="H926" s="98">
        <v>1</v>
      </c>
      <c r="I926" s="98">
        <v>0</v>
      </c>
      <c r="J926" s="118">
        <f t="shared" ca="1" si="259"/>
        <v>0</v>
      </c>
      <c r="K926" s="118">
        <f t="shared" ca="1" si="260"/>
        <v>0</v>
      </c>
      <c r="L926" s="133">
        <f t="shared" ca="1" si="261"/>
        <v>168</v>
      </c>
      <c r="M926" s="130">
        <f t="shared" ca="1" si="262"/>
        <v>832</v>
      </c>
      <c r="N926" s="100">
        <f t="shared" ca="1" si="263"/>
        <v>4</v>
      </c>
      <c r="O926" s="136">
        <f t="shared" ca="1" si="264"/>
        <v>2.6973744602864622</v>
      </c>
      <c r="P926" s="136">
        <f t="shared" ca="1" si="265"/>
        <v>26.973744602864617</v>
      </c>
      <c r="Q926" s="136">
        <f t="shared" ca="1" si="266"/>
        <v>26.973744602864617</v>
      </c>
      <c r="R926" s="136">
        <f t="shared" ca="1" si="267"/>
        <v>2.6973744602864618</v>
      </c>
      <c r="S926" s="136">
        <f t="shared" ca="1" si="268"/>
        <v>2.6973744602864622</v>
      </c>
      <c r="T926" s="104">
        <f t="shared" ca="1" si="269"/>
        <v>0</v>
      </c>
      <c r="U926" s="120">
        <f t="shared" ca="1" si="270"/>
        <v>1187.0695270312358</v>
      </c>
      <c r="V926" s="104">
        <f t="shared" ca="1" si="271"/>
        <v>0</v>
      </c>
      <c r="W926" s="133">
        <f t="shared" ca="1" si="272"/>
        <v>2177.5998914616493</v>
      </c>
      <c r="X926" s="104">
        <f t="shared" ca="1" si="273"/>
        <v>0</v>
      </c>
    </row>
    <row r="927" spans="1:24" x14ac:dyDescent="0.2">
      <c r="A927" s="98">
        <v>2</v>
      </c>
      <c r="B927" s="98">
        <v>3</v>
      </c>
      <c r="C927" s="98">
        <f t="shared" si="255"/>
        <v>8</v>
      </c>
      <c r="D927" s="98">
        <f t="shared" si="256"/>
        <v>7</v>
      </c>
      <c r="E927" s="98">
        <f t="shared" si="257"/>
        <v>2</v>
      </c>
      <c r="F927" s="118">
        <f t="shared" ca="1" si="258"/>
        <v>2.6189999999999994E-3</v>
      </c>
      <c r="G927" s="98">
        <v>0</v>
      </c>
      <c r="H927" s="98">
        <v>0</v>
      </c>
      <c r="I927" s="98">
        <v>7</v>
      </c>
      <c r="J927" s="118">
        <f t="shared" ca="1" si="259"/>
        <v>3.4916864804687496E-2</v>
      </c>
      <c r="K927" s="118">
        <f t="shared" ca="1" si="260"/>
        <v>9.1447268923476526E-5</v>
      </c>
      <c r="L927" s="133">
        <f t="shared" ca="1" si="261"/>
        <v>84</v>
      </c>
      <c r="M927" s="130">
        <f t="shared" ca="1" si="262"/>
        <v>916</v>
      </c>
      <c r="N927" s="100">
        <f t="shared" ca="1" si="263"/>
        <v>5</v>
      </c>
      <c r="O927" s="136">
        <f t="shared" ca="1" si="264"/>
        <v>3.301004590397413</v>
      </c>
      <c r="P927" s="136">
        <f t="shared" ca="1" si="265"/>
        <v>33.010045903974124</v>
      </c>
      <c r="Q927" s="136">
        <f t="shared" ca="1" si="266"/>
        <v>33.010045903974124</v>
      </c>
      <c r="R927" s="136">
        <f t="shared" ca="1" si="267"/>
        <v>3.3010045903974126</v>
      </c>
      <c r="S927" s="136">
        <f t="shared" ca="1" si="268"/>
        <v>3.3010045903974126</v>
      </c>
      <c r="T927" s="104">
        <f t="shared" ca="1" si="269"/>
        <v>3.0186785449570265E-4</v>
      </c>
      <c r="U927" s="120">
        <f t="shared" ca="1" si="270"/>
        <v>1323.3671890482913</v>
      </c>
      <c r="V927" s="104">
        <f t="shared" ca="1" si="271"/>
        <v>0.12101831522140429</v>
      </c>
      <c r="W927" s="133">
        <f t="shared" ca="1" si="272"/>
        <v>15243.199240231546</v>
      </c>
      <c r="X927" s="104">
        <f t="shared" ca="1" si="273"/>
        <v>1.3939489401755873</v>
      </c>
    </row>
    <row r="928" spans="1:24" x14ac:dyDescent="0.2">
      <c r="A928" s="98">
        <v>2</v>
      </c>
      <c r="B928" s="98">
        <v>3</v>
      </c>
      <c r="C928" s="98">
        <f t="shared" si="255"/>
        <v>8</v>
      </c>
      <c r="D928" s="98">
        <f t="shared" si="256"/>
        <v>7</v>
      </c>
      <c r="E928" s="98">
        <f t="shared" si="257"/>
        <v>2</v>
      </c>
      <c r="F928" s="118">
        <f t="shared" ca="1" si="258"/>
        <v>2.6189999999999994E-3</v>
      </c>
      <c r="G928" s="98">
        <v>0</v>
      </c>
      <c r="H928" s="98">
        <v>0</v>
      </c>
      <c r="I928" s="98">
        <v>6</v>
      </c>
      <c r="J928" s="118">
        <f t="shared" ca="1" si="259"/>
        <v>1.2864108085937513E-2</v>
      </c>
      <c r="K928" s="118">
        <f t="shared" ca="1" si="260"/>
        <v>3.3691099077070339E-5</v>
      </c>
      <c r="L928" s="133">
        <f t="shared" ca="1" si="261"/>
        <v>72</v>
      </c>
      <c r="M928" s="130">
        <f t="shared" ca="1" si="262"/>
        <v>928</v>
      </c>
      <c r="N928" s="100">
        <f t="shared" ca="1" si="263"/>
        <v>5</v>
      </c>
      <c r="O928" s="136">
        <f t="shared" ca="1" si="264"/>
        <v>3.301004590397413</v>
      </c>
      <c r="P928" s="136">
        <f t="shared" ca="1" si="265"/>
        <v>33.010045903974124</v>
      </c>
      <c r="Q928" s="136">
        <f t="shared" ca="1" si="266"/>
        <v>33.010045903974124</v>
      </c>
      <c r="R928" s="136">
        <f t="shared" ca="1" si="267"/>
        <v>3.3010045903974126</v>
      </c>
      <c r="S928" s="136">
        <f t="shared" ca="1" si="268"/>
        <v>3.3010045903974126</v>
      </c>
      <c r="T928" s="104">
        <f t="shared" ca="1" si="269"/>
        <v>1.1121447270894322E-4</v>
      </c>
      <c r="U928" s="120">
        <f t="shared" ca="1" si="270"/>
        <v>1311.3671890482913</v>
      </c>
      <c r="V928" s="104">
        <f t="shared" ca="1" si="271"/>
        <v>4.418140189264521E-2</v>
      </c>
      <c r="W928" s="133">
        <f t="shared" ca="1" si="272"/>
        <v>13065.599348769898</v>
      </c>
      <c r="X928" s="104">
        <f t="shared" ca="1" si="273"/>
        <v>0.44019440216071232</v>
      </c>
    </row>
    <row r="929" spans="1:24" x14ac:dyDescent="0.2">
      <c r="A929" s="98">
        <v>2</v>
      </c>
      <c r="B929" s="98">
        <v>3</v>
      </c>
      <c r="C929" s="98">
        <f t="shared" si="255"/>
        <v>8</v>
      </c>
      <c r="D929" s="98">
        <f t="shared" si="256"/>
        <v>7</v>
      </c>
      <c r="E929" s="98">
        <f t="shared" si="257"/>
        <v>2</v>
      </c>
      <c r="F929" s="118">
        <f t="shared" ca="1" si="258"/>
        <v>2.6189999999999994E-3</v>
      </c>
      <c r="G929" s="98">
        <v>0</v>
      </c>
      <c r="H929" s="98">
        <v>0</v>
      </c>
      <c r="I929" s="98">
        <v>5</v>
      </c>
      <c r="J929" s="118">
        <f t="shared" ca="1" si="259"/>
        <v>2.0311749609375038E-3</v>
      </c>
      <c r="K929" s="118">
        <f t="shared" ca="1" si="260"/>
        <v>5.3196472226953211E-6</v>
      </c>
      <c r="L929" s="133">
        <f t="shared" ca="1" si="261"/>
        <v>60</v>
      </c>
      <c r="M929" s="130">
        <f t="shared" ca="1" si="262"/>
        <v>940</v>
      </c>
      <c r="N929" s="100">
        <f t="shared" ca="1" si="263"/>
        <v>5</v>
      </c>
      <c r="O929" s="136">
        <f t="shared" ca="1" si="264"/>
        <v>3.301004590397413</v>
      </c>
      <c r="P929" s="136">
        <f t="shared" ca="1" si="265"/>
        <v>33.010045903974124</v>
      </c>
      <c r="Q929" s="136">
        <f t="shared" ca="1" si="266"/>
        <v>33.010045903974124</v>
      </c>
      <c r="R929" s="136">
        <f t="shared" ca="1" si="267"/>
        <v>3.3010045903974126</v>
      </c>
      <c r="S929" s="136">
        <f t="shared" ca="1" si="268"/>
        <v>3.3010045903974126</v>
      </c>
      <c r="T929" s="104">
        <f t="shared" ca="1" si="269"/>
        <v>1.7560179901412101E-5</v>
      </c>
      <c r="U929" s="120">
        <f t="shared" ca="1" si="270"/>
        <v>1299.3671890482913</v>
      </c>
      <c r="V929" s="104">
        <f t="shared" ca="1" si="271"/>
        <v>6.9121750584821692E-3</v>
      </c>
      <c r="W929" s="133">
        <f t="shared" ca="1" si="272"/>
        <v>10887.999457308248</v>
      </c>
      <c r="X929" s="104">
        <f t="shared" ca="1" si="273"/>
        <v>5.7920316073777983E-2</v>
      </c>
    </row>
    <row r="930" spans="1:24" x14ac:dyDescent="0.2">
      <c r="A930" s="98">
        <v>2</v>
      </c>
      <c r="B930" s="98">
        <v>3</v>
      </c>
      <c r="C930" s="98">
        <f t="shared" si="255"/>
        <v>8</v>
      </c>
      <c r="D930" s="98">
        <f t="shared" si="256"/>
        <v>7</v>
      </c>
      <c r="E930" s="98">
        <f t="shared" si="257"/>
        <v>2</v>
      </c>
      <c r="F930" s="118">
        <f t="shared" ca="1" si="258"/>
        <v>2.6189999999999994E-3</v>
      </c>
      <c r="G930" s="98">
        <v>0</v>
      </c>
      <c r="H930" s="98">
        <v>0</v>
      </c>
      <c r="I930" s="98">
        <v>4</v>
      </c>
      <c r="J930" s="118">
        <f t="shared" ca="1" si="259"/>
        <v>1.7817324218750047E-4</v>
      </c>
      <c r="K930" s="118">
        <f t="shared" ca="1" si="260"/>
        <v>4.6663572128906364E-7</v>
      </c>
      <c r="L930" s="133">
        <f t="shared" ca="1" si="261"/>
        <v>48</v>
      </c>
      <c r="M930" s="130">
        <f t="shared" ca="1" si="262"/>
        <v>952</v>
      </c>
      <c r="N930" s="100">
        <f t="shared" ca="1" si="263"/>
        <v>5</v>
      </c>
      <c r="O930" s="136">
        <f t="shared" ca="1" si="264"/>
        <v>3.301004590397413</v>
      </c>
      <c r="P930" s="136">
        <f t="shared" ca="1" si="265"/>
        <v>33.010045903974124</v>
      </c>
      <c r="Q930" s="136">
        <f t="shared" ca="1" si="266"/>
        <v>33.010045903974124</v>
      </c>
      <c r="R930" s="136">
        <f t="shared" ca="1" si="267"/>
        <v>3.3010045903974126</v>
      </c>
      <c r="S930" s="136">
        <f t="shared" ca="1" si="268"/>
        <v>3.3010045903974126</v>
      </c>
      <c r="T930" s="104">
        <f t="shared" ca="1" si="269"/>
        <v>1.5403666580186066E-6</v>
      </c>
      <c r="U930" s="120">
        <f t="shared" ca="1" si="270"/>
        <v>1287.3671890482913</v>
      </c>
      <c r="V930" s="104">
        <f t="shared" ca="1" si="271"/>
        <v>6.0073151682542378E-4</v>
      </c>
      <c r="W930" s="133">
        <f t="shared" ca="1" si="272"/>
        <v>8710.3995658465974</v>
      </c>
      <c r="X930" s="104">
        <f t="shared" ca="1" si="273"/>
        <v>4.0645835841247738E-3</v>
      </c>
    </row>
    <row r="931" spans="1:24" x14ac:dyDescent="0.2">
      <c r="A931" s="98">
        <v>2</v>
      </c>
      <c r="B931" s="98">
        <v>3</v>
      </c>
      <c r="C931" s="98">
        <f t="shared" si="255"/>
        <v>8</v>
      </c>
      <c r="D931" s="98">
        <f t="shared" si="256"/>
        <v>7</v>
      </c>
      <c r="E931" s="98">
        <f t="shared" si="257"/>
        <v>2</v>
      </c>
      <c r="F931" s="118">
        <f t="shared" ca="1" si="258"/>
        <v>2.6189999999999994E-3</v>
      </c>
      <c r="G931" s="98">
        <v>0</v>
      </c>
      <c r="H931" s="98">
        <v>0</v>
      </c>
      <c r="I931" s="98">
        <v>3</v>
      </c>
      <c r="J931" s="118">
        <f t="shared" ca="1" si="259"/>
        <v>9.3775390625000315E-6</v>
      </c>
      <c r="K931" s="118">
        <f t="shared" ca="1" si="260"/>
        <v>2.4559774804687577E-8</v>
      </c>
      <c r="L931" s="133">
        <f t="shared" ca="1" si="261"/>
        <v>36</v>
      </c>
      <c r="M931" s="130">
        <f t="shared" ca="1" si="262"/>
        <v>964</v>
      </c>
      <c r="N931" s="100">
        <f t="shared" ca="1" si="263"/>
        <v>5</v>
      </c>
      <c r="O931" s="136">
        <f t="shared" ca="1" si="264"/>
        <v>3.301004590397413</v>
      </c>
      <c r="P931" s="136">
        <f t="shared" ca="1" si="265"/>
        <v>33.010045903974124</v>
      </c>
      <c r="Q931" s="136">
        <f t="shared" ca="1" si="266"/>
        <v>33.010045903974124</v>
      </c>
      <c r="R931" s="136">
        <f t="shared" ca="1" si="267"/>
        <v>3.3010045903974126</v>
      </c>
      <c r="S931" s="136">
        <f t="shared" ca="1" si="268"/>
        <v>3.3010045903974126</v>
      </c>
      <c r="T931" s="104">
        <f t="shared" ca="1" si="269"/>
        <v>8.1071929369400406E-8</v>
      </c>
      <c r="U931" s="120">
        <f t="shared" ca="1" si="270"/>
        <v>1275.3671890482913</v>
      </c>
      <c r="V931" s="104">
        <f t="shared" ca="1" si="271"/>
        <v>3.1322730956313445E-5</v>
      </c>
      <c r="W931" s="133">
        <f t="shared" ca="1" si="272"/>
        <v>6532.799674384949</v>
      </c>
      <c r="X931" s="104">
        <f t="shared" ca="1" si="273"/>
        <v>1.6044408884703068E-4</v>
      </c>
    </row>
    <row r="932" spans="1:24" x14ac:dyDescent="0.2">
      <c r="A932" s="98">
        <v>2</v>
      </c>
      <c r="B932" s="98">
        <v>3</v>
      </c>
      <c r="C932" s="98">
        <f t="shared" si="255"/>
        <v>8</v>
      </c>
      <c r="D932" s="98">
        <f t="shared" si="256"/>
        <v>7</v>
      </c>
      <c r="E932" s="98">
        <f t="shared" si="257"/>
        <v>2</v>
      </c>
      <c r="F932" s="118">
        <f t="shared" ca="1" si="258"/>
        <v>2.6189999999999994E-3</v>
      </c>
      <c r="G932" s="98">
        <v>0</v>
      </c>
      <c r="H932" s="98">
        <v>0</v>
      </c>
      <c r="I932" s="98">
        <v>2</v>
      </c>
      <c r="J932" s="118">
        <f t="shared" ca="1" si="259"/>
        <v>2.961328125000013E-7</v>
      </c>
      <c r="K932" s="118">
        <f t="shared" ca="1" si="260"/>
        <v>7.7557183593750319E-10</v>
      </c>
      <c r="L932" s="133">
        <f t="shared" ca="1" si="261"/>
        <v>24</v>
      </c>
      <c r="M932" s="130">
        <f t="shared" ca="1" si="262"/>
        <v>976</v>
      </c>
      <c r="N932" s="100">
        <f t="shared" ca="1" si="263"/>
        <v>5</v>
      </c>
      <c r="O932" s="136">
        <f t="shared" ca="1" si="264"/>
        <v>3.301004590397413</v>
      </c>
      <c r="P932" s="136">
        <f t="shared" ca="1" si="265"/>
        <v>33.010045903974124</v>
      </c>
      <c r="Q932" s="136">
        <f t="shared" ca="1" si="266"/>
        <v>33.010045903974124</v>
      </c>
      <c r="R932" s="136">
        <f t="shared" ca="1" si="267"/>
        <v>3.3010045903974126</v>
      </c>
      <c r="S932" s="136">
        <f t="shared" ca="1" si="268"/>
        <v>3.3010045903974126</v>
      </c>
      <c r="T932" s="104">
        <f t="shared" ca="1" si="269"/>
        <v>2.5601661906126468E-9</v>
      </c>
      <c r="U932" s="120">
        <f t="shared" ca="1" si="270"/>
        <v>1263.3671890482913</v>
      </c>
      <c r="V932" s="104">
        <f t="shared" ca="1" si="271"/>
        <v>9.7983201027338602E-7</v>
      </c>
      <c r="W932" s="133">
        <f t="shared" ca="1" si="272"/>
        <v>4355.1997829232987</v>
      </c>
      <c r="X932" s="104">
        <f t="shared" ca="1" si="273"/>
        <v>3.3777702915164381E-6</v>
      </c>
    </row>
    <row r="933" spans="1:24" x14ac:dyDescent="0.2">
      <c r="A933" s="98">
        <v>2</v>
      </c>
      <c r="B933" s="98">
        <v>3</v>
      </c>
      <c r="C933" s="98">
        <f t="shared" si="255"/>
        <v>8</v>
      </c>
      <c r="D933" s="98">
        <f t="shared" si="256"/>
        <v>7</v>
      </c>
      <c r="E933" s="98">
        <f t="shared" si="257"/>
        <v>2</v>
      </c>
      <c r="F933" s="118">
        <f t="shared" ca="1" si="258"/>
        <v>2.6189999999999994E-3</v>
      </c>
      <c r="G933" s="98">
        <v>0</v>
      </c>
      <c r="H933" s="98">
        <v>0</v>
      </c>
      <c r="I933" s="98">
        <v>1</v>
      </c>
      <c r="J933" s="118">
        <f t="shared" ca="1" si="259"/>
        <v>5.1953125000000272E-9</v>
      </c>
      <c r="K933" s="118">
        <f t="shared" ca="1" si="260"/>
        <v>1.3606523437500068E-11</v>
      </c>
      <c r="L933" s="133">
        <f t="shared" ca="1" si="261"/>
        <v>12</v>
      </c>
      <c r="M933" s="130">
        <f t="shared" ca="1" si="262"/>
        <v>988</v>
      </c>
      <c r="N933" s="100">
        <f t="shared" ca="1" si="263"/>
        <v>5</v>
      </c>
      <c r="O933" s="136">
        <f t="shared" ca="1" si="264"/>
        <v>3.301004590397413</v>
      </c>
      <c r="P933" s="136">
        <f t="shared" ca="1" si="265"/>
        <v>33.010045903974124</v>
      </c>
      <c r="Q933" s="136">
        <f t="shared" ca="1" si="266"/>
        <v>33.010045903974124</v>
      </c>
      <c r="R933" s="136">
        <f t="shared" ca="1" si="267"/>
        <v>3.3010045903974126</v>
      </c>
      <c r="S933" s="136">
        <f t="shared" ca="1" si="268"/>
        <v>3.3010045903974126</v>
      </c>
      <c r="T933" s="104">
        <f t="shared" ca="1" si="269"/>
        <v>4.4915196326537706E-11</v>
      </c>
      <c r="U933" s="120">
        <f t="shared" ca="1" si="270"/>
        <v>1251.3671890482913</v>
      </c>
      <c r="V933" s="104">
        <f t="shared" ca="1" si="271"/>
        <v>1.7026756986704153E-8</v>
      </c>
      <c r="W933" s="133">
        <f t="shared" ca="1" si="272"/>
        <v>2177.5998914616493</v>
      </c>
      <c r="X933" s="104">
        <f t="shared" ca="1" si="273"/>
        <v>2.9629563960670538E-8</v>
      </c>
    </row>
    <row r="934" spans="1:24" x14ac:dyDescent="0.2">
      <c r="A934" s="98">
        <v>2</v>
      </c>
      <c r="B934" s="98">
        <v>3</v>
      </c>
      <c r="C934" s="98">
        <f t="shared" si="255"/>
        <v>8</v>
      </c>
      <c r="D934" s="98">
        <f t="shared" si="256"/>
        <v>7</v>
      </c>
      <c r="E934" s="98">
        <f t="shared" si="257"/>
        <v>2</v>
      </c>
      <c r="F934" s="118">
        <f t="shared" ca="1" si="258"/>
        <v>2.6189999999999994E-3</v>
      </c>
      <c r="G934" s="98">
        <v>0</v>
      </c>
      <c r="H934" s="98">
        <v>0</v>
      </c>
      <c r="I934" s="98">
        <v>0</v>
      </c>
      <c r="J934" s="118">
        <f t="shared" ca="1" si="259"/>
        <v>3.9062500000000246E-11</v>
      </c>
      <c r="K934" s="118">
        <f t="shared" ca="1" si="260"/>
        <v>1.0230468750000063E-13</v>
      </c>
      <c r="L934" s="133">
        <f t="shared" ca="1" si="261"/>
        <v>0</v>
      </c>
      <c r="M934" s="130">
        <f t="shared" ca="1" si="262"/>
        <v>1000</v>
      </c>
      <c r="N934" s="100">
        <f t="shared" ca="1" si="263"/>
        <v>5</v>
      </c>
      <c r="O934" s="136">
        <f t="shared" ca="1" si="264"/>
        <v>3.301004590397413</v>
      </c>
      <c r="P934" s="136">
        <f t="shared" ca="1" si="265"/>
        <v>33.010045903974124</v>
      </c>
      <c r="Q934" s="136">
        <f t="shared" ca="1" si="266"/>
        <v>33.010045903974124</v>
      </c>
      <c r="R934" s="136">
        <f t="shared" ca="1" si="267"/>
        <v>3.3010045903974126</v>
      </c>
      <c r="S934" s="136">
        <f t="shared" ca="1" si="268"/>
        <v>3.3010045903974126</v>
      </c>
      <c r="T934" s="104">
        <f t="shared" ca="1" si="269"/>
        <v>3.3770824305667485E-13</v>
      </c>
      <c r="U934" s="120">
        <f t="shared" ca="1" si="270"/>
        <v>1239.3671890482913</v>
      </c>
      <c r="V934" s="104">
        <f t="shared" ca="1" si="271"/>
        <v>1.2679307297333963E-10</v>
      </c>
      <c r="W934" s="133">
        <f t="shared" ca="1" si="272"/>
        <v>0</v>
      </c>
      <c r="X934" s="104">
        <f t="shared" ca="1" si="273"/>
        <v>0</v>
      </c>
    </row>
    <row r="935" spans="1:24" x14ac:dyDescent="0.2">
      <c r="A935" s="98">
        <v>3</v>
      </c>
      <c r="B935" s="98">
        <v>0</v>
      </c>
      <c r="C935" s="98">
        <f t="shared" ref="C935:C998" si="274">MIN(8, 1+$B$543+$B$542+A935+B935)</f>
        <v>7</v>
      </c>
      <c r="D935" s="98">
        <f t="shared" ref="D935:D998" si="275">C935-(1+$B$543)</f>
        <v>6</v>
      </c>
      <c r="E935" s="98">
        <f t="shared" ref="E935:E998" si="276">MIN(A935, C935-(1+$B$543+$B$542))</f>
        <v>3</v>
      </c>
      <c r="F935" s="118">
        <f t="shared" ref="F935:F998" ca="1" si="277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1.6947839999999999E-2</v>
      </c>
      <c r="G935" s="98">
        <v>1</v>
      </c>
      <c r="H935" s="98">
        <v>1</v>
      </c>
      <c r="I935" s="98">
        <v>7</v>
      </c>
      <c r="J935" s="118">
        <f t="shared" ref="J935:J998" si="278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18">
        <f t="shared" ref="K935:K998" ca="1" si="279">F935*J935</f>
        <v>0</v>
      </c>
      <c r="L935" s="133">
        <f t="shared" ref="L935:L998" ca="1" si="280">MAX((G935+H935)*Set2WSTP + I935*$B$539, Set2SaveTP)</f>
        <v>420</v>
      </c>
      <c r="M935" s="130">
        <f t="shared" ref="M935:M998" ca="1" si="281">MAX(Set2MinTP-(L935+Set2Regain), 0)</f>
        <v>580</v>
      </c>
      <c r="N935" s="100">
        <f t="shared" ref="N935:N998" ca="1" si="282">CEILING(M935/Set2MeleeTP, 1)</f>
        <v>3</v>
      </c>
      <c r="O935" s="136">
        <f t="shared" ref="O935:O998" ca="1" si="283">VLOOKUP(N935, AvgRoundsSet2, 2)</f>
        <v>2.1177215542739054</v>
      </c>
      <c r="P935" s="136">
        <f t="shared" ref="P935:P998" ca="1" si="284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21.177215542739059</v>
      </c>
      <c r="Q935" s="136">
        <f t="shared" ref="Q935:Q998" ca="1" si="285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21.177215542739059</v>
      </c>
      <c r="R935" s="136">
        <f t="shared" ref="R935:R998" ca="1" si="286">(P935+Q935)/20</f>
        <v>2.1177215542739058</v>
      </c>
      <c r="S935" s="136">
        <f t="shared" ref="S935:S998" ca="1" si="287">R935*Set2ConserveTP + O935*(1-Set2ConserveTP)</f>
        <v>2.1177215542739054</v>
      </c>
      <c r="T935" s="104">
        <f t="shared" ref="T935:T998" ca="1" si="288">K935*S935</f>
        <v>0</v>
      </c>
      <c r="U935" s="120">
        <f t="shared" ref="U935:U998" ca="1" si="289">MIN(L935+(S935+Set2OverTP)*AvgHitsPerRound2*Set2MeleeTP + Set2Regain + 105*Set2ConserveTP, 3000)</f>
        <v>1227.5224659982036</v>
      </c>
      <c r="V935" s="104">
        <f t="shared" ref="V935:V998" ca="1" si="290">U935*K935</f>
        <v>0</v>
      </c>
      <c r="W935" s="133">
        <f t="shared" ref="W935:W998" ca="1" si="291">G935*$K$543*((1-$L$543)*$L$547 + $L$543*$M$547*$M$543)*Set2WSDmg + H935*$K$546*((1-$L$546)*$L$547 + $L$546*$M$547*$M$544) + I935*$K$544*((1-$L$544)*$L$547 + $L$544*$M$547*$M$544) + E935*$K$545*$L$545*$M$543</f>
        <v>19881.48700904486</v>
      </c>
      <c r="X935" s="104">
        <f t="shared" ref="X935:X998" ca="1" si="292">K935*W935</f>
        <v>0</v>
      </c>
    </row>
    <row r="936" spans="1:24" x14ac:dyDescent="0.2">
      <c r="A936" s="98">
        <v>3</v>
      </c>
      <c r="B936" s="98">
        <v>0</v>
      </c>
      <c r="C936" s="98">
        <f t="shared" si="274"/>
        <v>7</v>
      </c>
      <c r="D936" s="98">
        <f t="shared" si="275"/>
        <v>6</v>
      </c>
      <c r="E936" s="98">
        <f t="shared" si="276"/>
        <v>3</v>
      </c>
      <c r="F936" s="118">
        <f t="shared" ca="1" si="277"/>
        <v>1.6947839999999999E-2</v>
      </c>
      <c r="G936" s="98">
        <v>1</v>
      </c>
      <c r="H936" s="98">
        <v>1</v>
      </c>
      <c r="I936" s="98">
        <v>6</v>
      </c>
      <c r="J936" s="118">
        <f t="shared" ca="1" si="278"/>
        <v>0</v>
      </c>
      <c r="K936" s="118">
        <f t="shared" ca="1" si="279"/>
        <v>0</v>
      </c>
      <c r="L936" s="133">
        <f t="shared" ca="1" si="280"/>
        <v>408</v>
      </c>
      <c r="M936" s="130">
        <f t="shared" ca="1" si="281"/>
        <v>592</v>
      </c>
      <c r="N936" s="100">
        <f t="shared" ca="1" si="282"/>
        <v>3</v>
      </c>
      <c r="O936" s="136">
        <f t="shared" ca="1" si="283"/>
        <v>2.1177215542739054</v>
      </c>
      <c r="P936" s="136">
        <f t="shared" ca="1" si="284"/>
        <v>21.177215542739059</v>
      </c>
      <c r="Q936" s="136">
        <f t="shared" ca="1" si="285"/>
        <v>21.177215542739059</v>
      </c>
      <c r="R936" s="136">
        <f t="shared" ca="1" si="286"/>
        <v>2.1177215542739058</v>
      </c>
      <c r="S936" s="136">
        <f t="shared" ca="1" si="287"/>
        <v>2.1177215542739054</v>
      </c>
      <c r="T936" s="104">
        <f t="shared" ca="1" si="288"/>
        <v>0</v>
      </c>
      <c r="U936" s="120">
        <f t="shared" ca="1" si="289"/>
        <v>1215.5224659982036</v>
      </c>
      <c r="V936" s="104">
        <f t="shared" ca="1" si="290"/>
        <v>0</v>
      </c>
      <c r="W936" s="133">
        <f t="shared" ca="1" si="291"/>
        <v>17703.88711758321</v>
      </c>
      <c r="X936" s="104">
        <f t="shared" ca="1" si="292"/>
        <v>0</v>
      </c>
    </row>
    <row r="937" spans="1:24" x14ac:dyDescent="0.2">
      <c r="A937" s="98">
        <v>3</v>
      </c>
      <c r="B937" s="98">
        <v>0</v>
      </c>
      <c r="C937" s="98">
        <f t="shared" si="274"/>
        <v>7</v>
      </c>
      <c r="D937" s="98">
        <f t="shared" si="275"/>
        <v>6</v>
      </c>
      <c r="E937" s="98">
        <f t="shared" si="276"/>
        <v>3</v>
      </c>
      <c r="F937" s="118">
        <f t="shared" ca="1" si="277"/>
        <v>1.6947839999999999E-2</v>
      </c>
      <c r="G937" s="98">
        <v>1</v>
      </c>
      <c r="H937" s="98">
        <v>1</v>
      </c>
      <c r="I937" s="98">
        <v>5</v>
      </c>
      <c r="J937" s="118">
        <f t="shared" ca="1" si="278"/>
        <v>0</v>
      </c>
      <c r="K937" s="118">
        <f t="shared" ca="1" si="279"/>
        <v>0</v>
      </c>
      <c r="L937" s="133">
        <f t="shared" ca="1" si="280"/>
        <v>396</v>
      </c>
      <c r="M937" s="130">
        <f t="shared" ca="1" si="281"/>
        <v>604</v>
      </c>
      <c r="N937" s="100">
        <f t="shared" ca="1" si="282"/>
        <v>3</v>
      </c>
      <c r="O937" s="136">
        <f t="shared" ca="1" si="283"/>
        <v>2.1177215542739054</v>
      </c>
      <c r="P937" s="136">
        <f t="shared" ca="1" si="284"/>
        <v>21.177215542739059</v>
      </c>
      <c r="Q937" s="136">
        <f t="shared" ca="1" si="285"/>
        <v>21.177215542739059</v>
      </c>
      <c r="R937" s="136">
        <f t="shared" ca="1" si="286"/>
        <v>2.1177215542739058</v>
      </c>
      <c r="S937" s="136">
        <f t="shared" ca="1" si="287"/>
        <v>2.1177215542739054</v>
      </c>
      <c r="T937" s="104">
        <f t="shared" ca="1" si="288"/>
        <v>0</v>
      </c>
      <c r="U937" s="120">
        <f t="shared" ca="1" si="289"/>
        <v>1203.5224659982036</v>
      </c>
      <c r="V937" s="104">
        <f t="shared" ca="1" si="290"/>
        <v>0</v>
      </c>
      <c r="W937" s="133">
        <f t="shared" ca="1" si="291"/>
        <v>15526.28722612156</v>
      </c>
      <c r="X937" s="104">
        <f t="shared" ca="1" si="292"/>
        <v>0</v>
      </c>
    </row>
    <row r="938" spans="1:24" x14ac:dyDescent="0.2">
      <c r="A938" s="98">
        <v>3</v>
      </c>
      <c r="B938" s="98">
        <v>0</v>
      </c>
      <c r="C938" s="98">
        <f t="shared" si="274"/>
        <v>7</v>
      </c>
      <c r="D938" s="98">
        <f t="shared" si="275"/>
        <v>6</v>
      </c>
      <c r="E938" s="98">
        <f t="shared" si="276"/>
        <v>3</v>
      </c>
      <c r="F938" s="118">
        <f t="shared" ca="1" si="277"/>
        <v>1.6947839999999999E-2</v>
      </c>
      <c r="G938" s="98">
        <v>1</v>
      </c>
      <c r="H938" s="98">
        <v>1</v>
      </c>
      <c r="I938" s="98">
        <v>4</v>
      </c>
      <c r="J938" s="118">
        <f t="shared" ca="1" si="278"/>
        <v>0</v>
      </c>
      <c r="K938" s="118">
        <f t="shared" ca="1" si="279"/>
        <v>0</v>
      </c>
      <c r="L938" s="133">
        <f t="shared" ca="1" si="280"/>
        <v>384</v>
      </c>
      <c r="M938" s="130">
        <f t="shared" ca="1" si="281"/>
        <v>616</v>
      </c>
      <c r="N938" s="100">
        <f t="shared" ca="1" si="282"/>
        <v>3</v>
      </c>
      <c r="O938" s="136">
        <f t="shared" ca="1" si="283"/>
        <v>2.1177215542739054</v>
      </c>
      <c r="P938" s="136">
        <f t="shared" ca="1" si="284"/>
        <v>21.177215542739059</v>
      </c>
      <c r="Q938" s="136">
        <f t="shared" ca="1" si="285"/>
        <v>21.177215542739059</v>
      </c>
      <c r="R938" s="136">
        <f t="shared" ca="1" si="286"/>
        <v>2.1177215542739058</v>
      </c>
      <c r="S938" s="136">
        <f t="shared" ca="1" si="287"/>
        <v>2.1177215542739054</v>
      </c>
      <c r="T938" s="104">
        <f t="shared" ca="1" si="288"/>
        <v>0</v>
      </c>
      <c r="U938" s="120">
        <f t="shared" ca="1" si="289"/>
        <v>1191.5224659982036</v>
      </c>
      <c r="V938" s="104">
        <f t="shared" ca="1" si="290"/>
        <v>0</v>
      </c>
      <c r="W938" s="133">
        <f t="shared" ca="1" si="291"/>
        <v>13348.68733465991</v>
      </c>
      <c r="X938" s="104">
        <f t="shared" ca="1" si="292"/>
        <v>0</v>
      </c>
    </row>
    <row r="939" spans="1:24" x14ac:dyDescent="0.2">
      <c r="A939" s="98">
        <v>3</v>
      </c>
      <c r="B939" s="98">
        <v>0</v>
      </c>
      <c r="C939" s="98">
        <f t="shared" si="274"/>
        <v>7</v>
      </c>
      <c r="D939" s="98">
        <f t="shared" si="275"/>
        <v>6</v>
      </c>
      <c r="E939" s="98">
        <f t="shared" si="276"/>
        <v>3</v>
      </c>
      <c r="F939" s="118">
        <f t="shared" ca="1" si="277"/>
        <v>1.6947839999999999E-2</v>
      </c>
      <c r="G939" s="98">
        <v>1</v>
      </c>
      <c r="H939" s="98">
        <v>1</v>
      </c>
      <c r="I939" s="98">
        <v>3</v>
      </c>
      <c r="J939" s="118">
        <f t="shared" ca="1" si="278"/>
        <v>0</v>
      </c>
      <c r="K939" s="118">
        <f t="shared" ca="1" si="279"/>
        <v>0</v>
      </c>
      <c r="L939" s="133">
        <f t="shared" ca="1" si="280"/>
        <v>372</v>
      </c>
      <c r="M939" s="130">
        <f t="shared" ca="1" si="281"/>
        <v>628</v>
      </c>
      <c r="N939" s="100">
        <f t="shared" ca="1" si="282"/>
        <v>3</v>
      </c>
      <c r="O939" s="136">
        <f t="shared" ca="1" si="283"/>
        <v>2.1177215542739054</v>
      </c>
      <c r="P939" s="136">
        <f t="shared" ca="1" si="284"/>
        <v>21.177215542739059</v>
      </c>
      <c r="Q939" s="136">
        <f t="shared" ca="1" si="285"/>
        <v>21.177215542739059</v>
      </c>
      <c r="R939" s="136">
        <f t="shared" ca="1" si="286"/>
        <v>2.1177215542739058</v>
      </c>
      <c r="S939" s="136">
        <f t="shared" ca="1" si="287"/>
        <v>2.1177215542739054</v>
      </c>
      <c r="T939" s="104">
        <f t="shared" ca="1" si="288"/>
        <v>0</v>
      </c>
      <c r="U939" s="120">
        <f t="shared" ca="1" si="289"/>
        <v>1179.5224659982036</v>
      </c>
      <c r="V939" s="104">
        <f t="shared" ca="1" si="290"/>
        <v>0</v>
      </c>
      <c r="W939" s="133">
        <f t="shared" ca="1" si="291"/>
        <v>11171.087443198263</v>
      </c>
      <c r="X939" s="104">
        <f t="shared" ca="1" si="292"/>
        <v>0</v>
      </c>
    </row>
    <row r="940" spans="1:24" x14ac:dyDescent="0.2">
      <c r="A940" s="98">
        <v>3</v>
      </c>
      <c r="B940" s="98">
        <v>0</v>
      </c>
      <c r="C940" s="98">
        <f t="shared" si="274"/>
        <v>7</v>
      </c>
      <c r="D940" s="98">
        <f t="shared" si="275"/>
        <v>6</v>
      </c>
      <c r="E940" s="98">
        <f t="shared" si="276"/>
        <v>3</v>
      </c>
      <c r="F940" s="118">
        <f t="shared" ca="1" si="277"/>
        <v>1.6947839999999999E-2</v>
      </c>
      <c r="G940" s="98">
        <v>1</v>
      </c>
      <c r="H940" s="98">
        <v>1</v>
      </c>
      <c r="I940" s="98">
        <v>2</v>
      </c>
      <c r="J940" s="118">
        <f t="shared" ca="1" si="278"/>
        <v>0</v>
      </c>
      <c r="K940" s="118">
        <f t="shared" ca="1" si="279"/>
        <v>0</v>
      </c>
      <c r="L940" s="133">
        <f t="shared" ca="1" si="280"/>
        <v>360</v>
      </c>
      <c r="M940" s="130">
        <f t="shared" ca="1" si="281"/>
        <v>640</v>
      </c>
      <c r="N940" s="100">
        <f t="shared" ca="1" si="282"/>
        <v>3</v>
      </c>
      <c r="O940" s="136">
        <f t="shared" ca="1" si="283"/>
        <v>2.1177215542739054</v>
      </c>
      <c r="P940" s="136">
        <f t="shared" ca="1" si="284"/>
        <v>21.177215542739059</v>
      </c>
      <c r="Q940" s="136">
        <f t="shared" ca="1" si="285"/>
        <v>21.177215542739059</v>
      </c>
      <c r="R940" s="136">
        <f t="shared" ca="1" si="286"/>
        <v>2.1177215542739058</v>
      </c>
      <c r="S940" s="136">
        <f t="shared" ca="1" si="287"/>
        <v>2.1177215542739054</v>
      </c>
      <c r="T940" s="104">
        <f t="shared" ca="1" si="288"/>
        <v>0</v>
      </c>
      <c r="U940" s="120">
        <f t="shared" ca="1" si="289"/>
        <v>1167.5224659982036</v>
      </c>
      <c r="V940" s="104">
        <f t="shared" ca="1" si="290"/>
        <v>0</v>
      </c>
      <c r="W940" s="133">
        <f t="shared" ca="1" si="291"/>
        <v>8993.4875517366127</v>
      </c>
      <c r="X940" s="104">
        <f t="shared" ca="1" si="292"/>
        <v>0</v>
      </c>
    </row>
    <row r="941" spans="1:24" x14ac:dyDescent="0.2">
      <c r="A941" s="98">
        <v>3</v>
      </c>
      <c r="B941" s="98">
        <v>0</v>
      </c>
      <c r="C941" s="98">
        <f t="shared" si="274"/>
        <v>7</v>
      </c>
      <c r="D941" s="98">
        <f t="shared" si="275"/>
        <v>6</v>
      </c>
      <c r="E941" s="98">
        <f t="shared" si="276"/>
        <v>3</v>
      </c>
      <c r="F941" s="118">
        <f t="shared" ca="1" si="277"/>
        <v>1.6947839999999999E-2</v>
      </c>
      <c r="G941" s="98">
        <v>1</v>
      </c>
      <c r="H941" s="98">
        <v>1</v>
      </c>
      <c r="I941" s="98">
        <v>1</v>
      </c>
      <c r="J941" s="118">
        <f t="shared" ca="1" si="278"/>
        <v>0</v>
      </c>
      <c r="K941" s="118">
        <f t="shared" ca="1" si="279"/>
        <v>0</v>
      </c>
      <c r="L941" s="133">
        <f t="shared" ca="1" si="280"/>
        <v>348</v>
      </c>
      <c r="M941" s="130">
        <f t="shared" ca="1" si="281"/>
        <v>652</v>
      </c>
      <c r="N941" s="100">
        <f t="shared" ca="1" si="282"/>
        <v>4</v>
      </c>
      <c r="O941" s="136">
        <f t="shared" ca="1" si="283"/>
        <v>2.6973744602864622</v>
      </c>
      <c r="P941" s="136">
        <f t="shared" ca="1" si="284"/>
        <v>21.177215542739059</v>
      </c>
      <c r="Q941" s="136">
        <f t="shared" ca="1" si="285"/>
        <v>21.177215542739059</v>
      </c>
      <c r="R941" s="136">
        <f t="shared" ca="1" si="286"/>
        <v>2.1177215542739058</v>
      </c>
      <c r="S941" s="136">
        <f t="shared" ca="1" si="287"/>
        <v>2.5060890013023185</v>
      </c>
      <c r="T941" s="104">
        <f t="shared" ca="1" si="288"/>
        <v>0</v>
      </c>
      <c r="U941" s="120">
        <f t="shared" ca="1" si="289"/>
        <v>1297.2589968903351</v>
      </c>
      <c r="V941" s="104">
        <f t="shared" ca="1" si="290"/>
        <v>0</v>
      </c>
      <c r="W941" s="133">
        <f t="shared" ca="1" si="291"/>
        <v>6815.8876602749624</v>
      </c>
      <c r="X941" s="104">
        <f t="shared" ca="1" si="292"/>
        <v>0</v>
      </c>
    </row>
    <row r="942" spans="1:24" x14ac:dyDescent="0.2">
      <c r="A942" s="98">
        <v>3</v>
      </c>
      <c r="B942" s="98">
        <v>0</v>
      </c>
      <c r="C942" s="98">
        <f t="shared" si="274"/>
        <v>7</v>
      </c>
      <c r="D942" s="98">
        <f t="shared" si="275"/>
        <v>6</v>
      </c>
      <c r="E942" s="98">
        <f t="shared" si="276"/>
        <v>3</v>
      </c>
      <c r="F942" s="118">
        <f t="shared" ca="1" si="277"/>
        <v>1.6947839999999999E-2</v>
      </c>
      <c r="G942" s="98">
        <v>1</v>
      </c>
      <c r="H942" s="98">
        <v>1</v>
      </c>
      <c r="I942" s="98">
        <v>0</v>
      </c>
      <c r="J942" s="118">
        <f t="shared" ca="1" si="278"/>
        <v>0</v>
      </c>
      <c r="K942" s="118">
        <f t="shared" ca="1" si="279"/>
        <v>0</v>
      </c>
      <c r="L942" s="133">
        <f t="shared" ca="1" si="280"/>
        <v>336</v>
      </c>
      <c r="M942" s="130">
        <f t="shared" ca="1" si="281"/>
        <v>664</v>
      </c>
      <c r="N942" s="100">
        <f t="shared" ca="1" si="282"/>
        <v>4</v>
      </c>
      <c r="O942" s="136">
        <f t="shared" ca="1" si="283"/>
        <v>2.6973744602864622</v>
      </c>
      <c r="P942" s="136">
        <f t="shared" ca="1" si="284"/>
        <v>26.973744602864617</v>
      </c>
      <c r="Q942" s="136">
        <f t="shared" ca="1" si="285"/>
        <v>22.336521354764173</v>
      </c>
      <c r="R942" s="136">
        <f t="shared" ca="1" si="286"/>
        <v>2.4655132978814391</v>
      </c>
      <c r="S942" s="136">
        <f t="shared" ca="1" si="287"/>
        <v>2.6208602766928046</v>
      </c>
      <c r="T942" s="104">
        <f t="shared" ca="1" si="288"/>
        <v>0</v>
      </c>
      <c r="U942" s="120">
        <f t="shared" ca="1" si="289"/>
        <v>1327.1453149748754</v>
      </c>
      <c r="V942" s="104">
        <f t="shared" ca="1" si="290"/>
        <v>0</v>
      </c>
      <c r="W942" s="133">
        <f t="shared" ca="1" si="291"/>
        <v>4638.2877688133131</v>
      </c>
      <c r="X942" s="104">
        <f t="shared" ca="1" si="292"/>
        <v>0</v>
      </c>
    </row>
    <row r="943" spans="1:24" x14ac:dyDescent="0.2">
      <c r="A943" s="98">
        <v>3</v>
      </c>
      <c r="B943" s="98">
        <v>0</v>
      </c>
      <c r="C943" s="98">
        <f t="shared" si="274"/>
        <v>7</v>
      </c>
      <c r="D943" s="98">
        <f t="shared" si="275"/>
        <v>6</v>
      </c>
      <c r="E943" s="98">
        <f t="shared" si="276"/>
        <v>3</v>
      </c>
      <c r="F943" s="118">
        <f t="shared" ca="1" si="277"/>
        <v>1.6947839999999999E-2</v>
      </c>
      <c r="G943" s="98">
        <v>1</v>
      </c>
      <c r="H943" s="98">
        <v>0</v>
      </c>
      <c r="I943" s="98">
        <v>7</v>
      </c>
      <c r="J943" s="118">
        <f t="shared" si="278"/>
        <v>0</v>
      </c>
      <c r="K943" s="118">
        <f t="shared" ca="1" si="279"/>
        <v>0</v>
      </c>
      <c r="L943" s="133">
        <f t="shared" ca="1" si="280"/>
        <v>252</v>
      </c>
      <c r="M943" s="130">
        <f t="shared" ca="1" si="281"/>
        <v>748</v>
      </c>
      <c r="N943" s="100">
        <f t="shared" ca="1" si="282"/>
        <v>4</v>
      </c>
      <c r="O943" s="136">
        <f t="shared" ca="1" si="283"/>
        <v>2.6973744602864622</v>
      </c>
      <c r="P943" s="136">
        <f t="shared" ca="1" si="284"/>
        <v>26.973744602864617</v>
      </c>
      <c r="Q943" s="136">
        <f t="shared" ca="1" si="285"/>
        <v>26.973744602864617</v>
      </c>
      <c r="R943" s="136">
        <f t="shared" ca="1" si="286"/>
        <v>2.6973744602864618</v>
      </c>
      <c r="S943" s="136">
        <f t="shared" ca="1" si="287"/>
        <v>2.6973744602864622</v>
      </c>
      <c r="T943" s="104">
        <f t="shared" ca="1" si="288"/>
        <v>0</v>
      </c>
      <c r="U943" s="120">
        <f t="shared" ca="1" si="289"/>
        <v>1271.0695270312358</v>
      </c>
      <c r="V943" s="104">
        <f t="shared" ca="1" si="290"/>
        <v>0</v>
      </c>
      <c r="W943" s="133">
        <f t="shared" ca="1" si="291"/>
        <v>17703.88711758321</v>
      </c>
      <c r="X943" s="104">
        <f t="shared" ca="1" si="292"/>
        <v>0</v>
      </c>
    </row>
    <row r="944" spans="1:24" x14ac:dyDescent="0.2">
      <c r="A944" s="98">
        <v>3</v>
      </c>
      <c r="B944" s="98">
        <v>0</v>
      </c>
      <c r="C944" s="98">
        <f t="shared" si="274"/>
        <v>7</v>
      </c>
      <c r="D944" s="98">
        <f t="shared" si="275"/>
        <v>6</v>
      </c>
      <c r="E944" s="98">
        <f t="shared" si="276"/>
        <v>3</v>
      </c>
      <c r="F944" s="118">
        <f t="shared" ca="1" si="277"/>
        <v>1.6947839999999999E-2</v>
      </c>
      <c r="G944" s="98">
        <v>1</v>
      </c>
      <c r="H944" s="98">
        <v>0</v>
      </c>
      <c r="I944" s="98">
        <v>6</v>
      </c>
      <c r="J944" s="118">
        <f t="shared" ca="1" si="278"/>
        <v>0.69833729609374984</v>
      </c>
      <c r="K944" s="118">
        <f t="shared" ca="1" si="279"/>
        <v>1.1835308760229497E-2</v>
      </c>
      <c r="L944" s="133">
        <f t="shared" ca="1" si="280"/>
        <v>240</v>
      </c>
      <c r="M944" s="130">
        <f t="shared" ca="1" si="281"/>
        <v>760</v>
      </c>
      <c r="N944" s="100">
        <f t="shared" ca="1" si="282"/>
        <v>4</v>
      </c>
      <c r="O944" s="136">
        <f t="shared" ca="1" si="283"/>
        <v>2.6973744602864622</v>
      </c>
      <c r="P944" s="136">
        <f t="shared" ca="1" si="284"/>
        <v>26.973744602864617</v>
      </c>
      <c r="Q944" s="136">
        <f t="shared" ca="1" si="285"/>
        <v>26.973744602864617</v>
      </c>
      <c r="R944" s="136">
        <f t="shared" ca="1" si="286"/>
        <v>2.6973744602864618</v>
      </c>
      <c r="S944" s="136">
        <f t="shared" ca="1" si="287"/>
        <v>2.6973744602864622</v>
      </c>
      <c r="T944" s="104">
        <f t="shared" ca="1" si="288"/>
        <v>3.1924259579447674E-2</v>
      </c>
      <c r="U944" s="120">
        <f t="shared" ca="1" si="289"/>
        <v>1259.0695270312358</v>
      </c>
      <c r="V944" s="104">
        <f t="shared" ca="1" si="290"/>
        <v>14.901476603010794</v>
      </c>
      <c r="W944" s="133">
        <f t="shared" ca="1" si="291"/>
        <v>15526.287226121562</v>
      </c>
      <c r="X944" s="104">
        <f t="shared" ca="1" si="292"/>
        <v>183.75840322115585</v>
      </c>
    </row>
    <row r="945" spans="1:24" x14ac:dyDescent="0.2">
      <c r="A945" s="98">
        <v>3</v>
      </c>
      <c r="B945" s="98">
        <v>0</v>
      </c>
      <c r="C945" s="98">
        <f t="shared" si="274"/>
        <v>7</v>
      </c>
      <c r="D945" s="98">
        <f t="shared" si="275"/>
        <v>6</v>
      </c>
      <c r="E945" s="98">
        <f t="shared" si="276"/>
        <v>3</v>
      </c>
      <c r="F945" s="118">
        <f t="shared" ca="1" si="277"/>
        <v>1.6947839999999999E-2</v>
      </c>
      <c r="G945" s="98">
        <v>1</v>
      </c>
      <c r="H945" s="98">
        <v>0</v>
      </c>
      <c r="I945" s="98">
        <v>5</v>
      </c>
      <c r="J945" s="118">
        <f t="shared" ca="1" si="278"/>
        <v>0.22052756718750019</v>
      </c>
      <c r="K945" s="118">
        <f t="shared" ca="1" si="279"/>
        <v>3.7374659242830031E-3</v>
      </c>
      <c r="L945" s="133">
        <f t="shared" ca="1" si="280"/>
        <v>228</v>
      </c>
      <c r="M945" s="130">
        <f t="shared" ca="1" si="281"/>
        <v>772</v>
      </c>
      <c r="N945" s="100">
        <f t="shared" ca="1" si="282"/>
        <v>4</v>
      </c>
      <c r="O945" s="136">
        <f t="shared" ca="1" si="283"/>
        <v>2.6973744602864622</v>
      </c>
      <c r="P945" s="136">
        <f t="shared" ca="1" si="284"/>
        <v>26.973744602864617</v>
      </c>
      <c r="Q945" s="136">
        <f t="shared" ca="1" si="285"/>
        <v>26.973744602864617</v>
      </c>
      <c r="R945" s="136">
        <f t="shared" ca="1" si="286"/>
        <v>2.6973744602864618</v>
      </c>
      <c r="S945" s="136">
        <f t="shared" ca="1" si="287"/>
        <v>2.6973744602864622</v>
      </c>
      <c r="T945" s="104">
        <f t="shared" ca="1" si="288"/>
        <v>1.008134513035191E-2</v>
      </c>
      <c r="U945" s="120">
        <f t="shared" ca="1" si="289"/>
        <v>1247.0695270312358</v>
      </c>
      <c r="V945" s="104">
        <f t="shared" ca="1" si="290"/>
        <v>4.6608798624909653</v>
      </c>
      <c r="W945" s="133">
        <f t="shared" ca="1" si="291"/>
        <v>13348.687334659911</v>
      </c>
      <c r="X945" s="104">
        <f t="shared" ca="1" si="292"/>
        <v>49.890264047199523</v>
      </c>
    </row>
    <row r="946" spans="1:24" x14ac:dyDescent="0.2">
      <c r="A946" s="98">
        <v>3</v>
      </c>
      <c r="B946" s="98">
        <v>0</v>
      </c>
      <c r="C946" s="98">
        <f t="shared" si="274"/>
        <v>7</v>
      </c>
      <c r="D946" s="98">
        <f t="shared" si="275"/>
        <v>6</v>
      </c>
      <c r="E946" s="98">
        <f t="shared" si="276"/>
        <v>3</v>
      </c>
      <c r="F946" s="118">
        <f t="shared" ca="1" si="277"/>
        <v>1.6947839999999999E-2</v>
      </c>
      <c r="G946" s="98">
        <v>1</v>
      </c>
      <c r="H946" s="98">
        <v>0</v>
      </c>
      <c r="I946" s="98">
        <v>4</v>
      </c>
      <c r="J946" s="118">
        <f t="shared" ca="1" si="278"/>
        <v>2.9016785156250047E-2</v>
      </c>
      <c r="K946" s="118">
        <f t="shared" ca="1" si="279"/>
        <v>4.9177183214250074E-4</v>
      </c>
      <c r="L946" s="133">
        <f t="shared" ca="1" si="280"/>
        <v>216</v>
      </c>
      <c r="M946" s="130">
        <f t="shared" ca="1" si="281"/>
        <v>784</v>
      </c>
      <c r="N946" s="100">
        <f t="shared" ca="1" si="282"/>
        <v>4</v>
      </c>
      <c r="O946" s="136">
        <f t="shared" ca="1" si="283"/>
        <v>2.6973744602864622</v>
      </c>
      <c r="P946" s="136">
        <f t="shared" ca="1" si="284"/>
        <v>26.973744602864617</v>
      </c>
      <c r="Q946" s="136">
        <f t="shared" ca="1" si="285"/>
        <v>26.973744602864617</v>
      </c>
      <c r="R946" s="136">
        <f t="shared" ca="1" si="286"/>
        <v>2.6973744602864618</v>
      </c>
      <c r="S946" s="136">
        <f t="shared" ca="1" si="287"/>
        <v>2.6973744602864622</v>
      </c>
      <c r="T946" s="104">
        <f t="shared" ca="1" si="288"/>
        <v>1.3264927803094627E-3</v>
      </c>
      <c r="U946" s="120">
        <f t="shared" ca="1" si="289"/>
        <v>1235.0695270312358</v>
      </c>
      <c r="V946" s="104">
        <f t="shared" ca="1" si="290"/>
        <v>0.60737240413152271</v>
      </c>
      <c r="W946" s="133">
        <f t="shared" ca="1" si="291"/>
        <v>11171.087443198261</v>
      </c>
      <c r="X946" s="104">
        <f t="shared" ca="1" si="292"/>
        <v>5.4936261389656931</v>
      </c>
    </row>
    <row r="947" spans="1:24" x14ac:dyDescent="0.2">
      <c r="A947" s="98">
        <v>3</v>
      </c>
      <c r="B947" s="98">
        <v>0</v>
      </c>
      <c r="C947" s="98">
        <f t="shared" si="274"/>
        <v>7</v>
      </c>
      <c r="D947" s="98">
        <f t="shared" si="275"/>
        <v>6</v>
      </c>
      <c r="E947" s="98">
        <f t="shared" si="276"/>
        <v>3</v>
      </c>
      <c r="F947" s="118">
        <f t="shared" ca="1" si="277"/>
        <v>1.6947839999999999E-2</v>
      </c>
      <c r="G947" s="98">
        <v>1</v>
      </c>
      <c r="H947" s="98">
        <v>0</v>
      </c>
      <c r="I947" s="98">
        <v>3</v>
      </c>
      <c r="J947" s="118">
        <f t="shared" ca="1" si="278"/>
        <v>2.0362656250000047E-3</v>
      </c>
      <c r="K947" s="118">
        <f t="shared" ca="1" si="279"/>
        <v>3.4510304010000076E-5</v>
      </c>
      <c r="L947" s="133">
        <f t="shared" ca="1" si="280"/>
        <v>204</v>
      </c>
      <c r="M947" s="130">
        <f t="shared" ca="1" si="281"/>
        <v>796</v>
      </c>
      <c r="N947" s="100">
        <f t="shared" ca="1" si="282"/>
        <v>4</v>
      </c>
      <c r="O947" s="136">
        <f t="shared" ca="1" si="283"/>
        <v>2.6973744602864622</v>
      </c>
      <c r="P947" s="136">
        <f t="shared" ca="1" si="284"/>
        <v>26.973744602864617</v>
      </c>
      <c r="Q947" s="136">
        <f t="shared" ca="1" si="285"/>
        <v>26.973744602864617</v>
      </c>
      <c r="R947" s="136">
        <f t="shared" ca="1" si="286"/>
        <v>2.6973744602864618</v>
      </c>
      <c r="S947" s="136">
        <f t="shared" ca="1" si="287"/>
        <v>2.6973744602864622</v>
      </c>
      <c r="T947" s="104">
        <f t="shared" ca="1" si="288"/>
        <v>9.3087212653295687E-5</v>
      </c>
      <c r="U947" s="120">
        <f t="shared" ca="1" si="289"/>
        <v>1223.0695270312358</v>
      </c>
      <c r="V947" s="104">
        <f t="shared" ca="1" si="290"/>
        <v>4.2208501203214954E-2</v>
      </c>
      <c r="W947" s="133">
        <f t="shared" ca="1" si="291"/>
        <v>8993.4875517366127</v>
      </c>
      <c r="X947" s="104">
        <f t="shared" ca="1" si="292"/>
        <v>0.31036798952058181</v>
      </c>
    </row>
    <row r="948" spans="1:24" x14ac:dyDescent="0.2">
      <c r="A948" s="98">
        <v>3</v>
      </c>
      <c r="B948" s="98">
        <v>0</v>
      </c>
      <c r="C948" s="98">
        <f t="shared" si="274"/>
        <v>7</v>
      </c>
      <c r="D948" s="98">
        <f t="shared" si="275"/>
        <v>6</v>
      </c>
      <c r="E948" s="98">
        <f t="shared" si="276"/>
        <v>3</v>
      </c>
      <c r="F948" s="118">
        <f t="shared" ca="1" si="277"/>
        <v>1.6947839999999999E-2</v>
      </c>
      <c r="G948" s="98">
        <v>1</v>
      </c>
      <c r="H948" s="98">
        <v>0</v>
      </c>
      <c r="I948" s="98">
        <v>2</v>
      </c>
      <c r="J948" s="118">
        <f t="shared" ca="1" si="278"/>
        <v>8.0378906250000291E-5</v>
      </c>
      <c r="K948" s="118">
        <f t="shared" ca="1" si="279"/>
        <v>1.3622488425000048E-6</v>
      </c>
      <c r="L948" s="133">
        <f t="shared" ca="1" si="280"/>
        <v>192</v>
      </c>
      <c r="M948" s="130">
        <f t="shared" ca="1" si="281"/>
        <v>808</v>
      </c>
      <c r="N948" s="100">
        <f t="shared" ca="1" si="282"/>
        <v>4</v>
      </c>
      <c r="O948" s="136">
        <f t="shared" ca="1" si="283"/>
        <v>2.6973744602864622</v>
      </c>
      <c r="P948" s="136">
        <f t="shared" ca="1" si="284"/>
        <v>26.973744602864617</v>
      </c>
      <c r="Q948" s="136">
        <f t="shared" ca="1" si="285"/>
        <v>26.973744602864617</v>
      </c>
      <c r="R948" s="136">
        <f t="shared" ca="1" si="286"/>
        <v>2.6973744602864618</v>
      </c>
      <c r="S948" s="136">
        <f t="shared" ca="1" si="287"/>
        <v>2.6973744602864622</v>
      </c>
      <c r="T948" s="104">
        <f t="shared" ca="1" si="288"/>
        <v>3.6744952363143083E-6</v>
      </c>
      <c r="U948" s="120">
        <f t="shared" ca="1" si="289"/>
        <v>1211.0695270312358</v>
      </c>
      <c r="V948" s="104">
        <f t="shared" ca="1" si="290"/>
        <v>1.6497780613853293E-3</v>
      </c>
      <c r="W948" s="133">
        <f t="shared" ca="1" si="291"/>
        <v>6815.8876602749624</v>
      </c>
      <c r="X948" s="104">
        <f t="shared" ca="1" si="292"/>
        <v>9.2849350758196329E-3</v>
      </c>
    </row>
    <row r="949" spans="1:24" x14ac:dyDescent="0.2">
      <c r="A949" s="98">
        <v>3</v>
      </c>
      <c r="B949" s="98">
        <v>0</v>
      </c>
      <c r="C949" s="98">
        <f t="shared" si="274"/>
        <v>7</v>
      </c>
      <c r="D949" s="98">
        <f t="shared" si="275"/>
        <v>6</v>
      </c>
      <c r="E949" s="98">
        <f t="shared" si="276"/>
        <v>3</v>
      </c>
      <c r="F949" s="118">
        <f t="shared" ca="1" si="277"/>
        <v>1.6947839999999999E-2</v>
      </c>
      <c r="G949" s="98">
        <v>1</v>
      </c>
      <c r="H949" s="98">
        <v>0</v>
      </c>
      <c r="I949" s="98">
        <v>1</v>
      </c>
      <c r="J949" s="118">
        <f t="shared" ca="1" si="278"/>
        <v>1.6921875000000077E-6</v>
      </c>
      <c r="K949" s="118">
        <f t="shared" ca="1" si="279"/>
        <v>2.8678923000000129E-8</v>
      </c>
      <c r="L949" s="133">
        <f t="shared" ca="1" si="280"/>
        <v>180</v>
      </c>
      <c r="M949" s="130">
        <f t="shared" ca="1" si="281"/>
        <v>820</v>
      </c>
      <c r="N949" s="100">
        <f t="shared" ca="1" si="282"/>
        <v>4</v>
      </c>
      <c r="O949" s="136">
        <f t="shared" ca="1" si="283"/>
        <v>2.6973744602864622</v>
      </c>
      <c r="P949" s="136">
        <f t="shared" ca="1" si="284"/>
        <v>26.973744602864617</v>
      </c>
      <c r="Q949" s="136">
        <f t="shared" ca="1" si="285"/>
        <v>26.973744602864617</v>
      </c>
      <c r="R949" s="136">
        <f t="shared" ca="1" si="286"/>
        <v>2.6973744602864618</v>
      </c>
      <c r="S949" s="136">
        <f t="shared" ca="1" si="287"/>
        <v>2.6973744602864622</v>
      </c>
      <c r="T949" s="104">
        <f t="shared" ca="1" si="288"/>
        <v>7.7357794448722352E-8</v>
      </c>
      <c r="U949" s="120">
        <f t="shared" ca="1" si="289"/>
        <v>1199.0695270312358</v>
      </c>
      <c r="V949" s="104">
        <f t="shared" ca="1" si="290"/>
        <v>3.4388022637375383E-5</v>
      </c>
      <c r="W949" s="133">
        <f t="shared" ca="1" si="291"/>
        <v>4638.2877688133131</v>
      </c>
      <c r="X949" s="104">
        <f t="shared" ca="1" si="292"/>
        <v>1.330210977736394E-4</v>
      </c>
    </row>
    <row r="950" spans="1:24" x14ac:dyDescent="0.2">
      <c r="A950" s="98">
        <v>3</v>
      </c>
      <c r="B950" s="98">
        <v>0</v>
      </c>
      <c r="C950" s="98">
        <f t="shared" si="274"/>
        <v>7</v>
      </c>
      <c r="D950" s="98">
        <f t="shared" si="275"/>
        <v>6</v>
      </c>
      <c r="E950" s="98">
        <f t="shared" si="276"/>
        <v>3</v>
      </c>
      <c r="F950" s="118">
        <f t="shared" ca="1" si="277"/>
        <v>1.6947839999999999E-2</v>
      </c>
      <c r="G950" s="98">
        <v>1</v>
      </c>
      <c r="H950" s="98">
        <v>0</v>
      </c>
      <c r="I950" s="98">
        <v>0</v>
      </c>
      <c r="J950" s="118">
        <f t="shared" ca="1" si="278"/>
        <v>1.4843750000000078E-8</v>
      </c>
      <c r="K950" s="118">
        <f t="shared" ca="1" si="279"/>
        <v>2.5156950000000128E-10</v>
      </c>
      <c r="L950" s="133">
        <f t="shared" ca="1" si="280"/>
        <v>168</v>
      </c>
      <c r="M950" s="130">
        <f t="shared" ca="1" si="281"/>
        <v>832</v>
      </c>
      <c r="N950" s="100">
        <f t="shared" ca="1" si="282"/>
        <v>4</v>
      </c>
      <c r="O950" s="136">
        <f t="shared" ca="1" si="283"/>
        <v>2.6973744602864622</v>
      </c>
      <c r="P950" s="136">
        <f t="shared" ca="1" si="284"/>
        <v>26.973744602864617</v>
      </c>
      <c r="Q950" s="136">
        <f t="shared" ca="1" si="285"/>
        <v>26.973744602864617</v>
      </c>
      <c r="R950" s="136">
        <f t="shared" ca="1" si="286"/>
        <v>2.6973744602864618</v>
      </c>
      <c r="S950" s="136">
        <f t="shared" ca="1" si="287"/>
        <v>2.6973744602864622</v>
      </c>
      <c r="T950" s="104">
        <f t="shared" ca="1" si="288"/>
        <v>6.785771442870386E-10</v>
      </c>
      <c r="U950" s="120">
        <f t="shared" ca="1" si="289"/>
        <v>1187.0695270312358</v>
      </c>
      <c r="V950" s="104">
        <f t="shared" ca="1" si="290"/>
        <v>2.9863048738048597E-7</v>
      </c>
      <c r="W950" s="133">
        <f t="shared" ca="1" si="291"/>
        <v>2460.6878773516637</v>
      </c>
      <c r="X950" s="104">
        <f t="shared" ca="1" si="292"/>
        <v>6.1903401896142249E-7</v>
      </c>
    </row>
    <row r="951" spans="1:24" x14ac:dyDescent="0.2">
      <c r="A951" s="98">
        <v>3</v>
      </c>
      <c r="B951" s="98">
        <v>0</v>
      </c>
      <c r="C951" s="98">
        <f t="shared" si="274"/>
        <v>7</v>
      </c>
      <c r="D951" s="98">
        <f t="shared" si="275"/>
        <v>6</v>
      </c>
      <c r="E951" s="98">
        <f t="shared" si="276"/>
        <v>3</v>
      </c>
      <c r="F951" s="118">
        <f t="shared" ca="1" si="277"/>
        <v>1.6947839999999999E-2</v>
      </c>
      <c r="G951" s="98">
        <v>0</v>
      </c>
      <c r="H951" s="98">
        <v>1</v>
      </c>
      <c r="I951" s="98">
        <v>7</v>
      </c>
      <c r="J951" s="118">
        <f t="shared" si="278"/>
        <v>0</v>
      </c>
      <c r="K951" s="118">
        <f t="shared" ca="1" si="279"/>
        <v>0</v>
      </c>
      <c r="L951" s="133">
        <f t="shared" ca="1" si="280"/>
        <v>252</v>
      </c>
      <c r="M951" s="130">
        <f t="shared" ca="1" si="281"/>
        <v>748</v>
      </c>
      <c r="N951" s="100">
        <f t="shared" ca="1" si="282"/>
        <v>4</v>
      </c>
      <c r="O951" s="136">
        <f t="shared" ca="1" si="283"/>
        <v>2.6973744602864622</v>
      </c>
      <c r="P951" s="136">
        <f t="shared" ca="1" si="284"/>
        <v>26.973744602864617</v>
      </c>
      <c r="Q951" s="136">
        <f t="shared" ca="1" si="285"/>
        <v>26.973744602864617</v>
      </c>
      <c r="R951" s="136">
        <f t="shared" ca="1" si="286"/>
        <v>2.6973744602864618</v>
      </c>
      <c r="S951" s="136">
        <f t="shared" ca="1" si="287"/>
        <v>2.6973744602864622</v>
      </c>
      <c r="T951" s="104">
        <f t="shared" ca="1" si="288"/>
        <v>0</v>
      </c>
      <c r="U951" s="120">
        <f t="shared" ca="1" si="289"/>
        <v>1271.0695270312358</v>
      </c>
      <c r="V951" s="104">
        <f t="shared" ca="1" si="290"/>
        <v>0</v>
      </c>
      <c r="W951" s="133">
        <f t="shared" ca="1" si="291"/>
        <v>17420.799131693195</v>
      </c>
      <c r="X951" s="104">
        <f t="shared" ca="1" si="292"/>
        <v>0</v>
      </c>
    </row>
    <row r="952" spans="1:24" x14ac:dyDescent="0.2">
      <c r="A952" s="98">
        <v>3</v>
      </c>
      <c r="B952" s="98">
        <v>0</v>
      </c>
      <c r="C952" s="98">
        <f t="shared" si="274"/>
        <v>7</v>
      </c>
      <c r="D952" s="98">
        <f t="shared" si="275"/>
        <v>6</v>
      </c>
      <c r="E952" s="98">
        <f t="shared" si="276"/>
        <v>3</v>
      </c>
      <c r="F952" s="118">
        <f t="shared" ca="1" si="277"/>
        <v>1.6947839999999999E-2</v>
      </c>
      <c r="G952" s="98">
        <v>0</v>
      </c>
      <c r="H952" s="98">
        <v>1</v>
      </c>
      <c r="I952" s="98">
        <v>6</v>
      </c>
      <c r="J952" s="118">
        <f t="shared" ca="1" si="278"/>
        <v>0</v>
      </c>
      <c r="K952" s="118">
        <f t="shared" ca="1" si="279"/>
        <v>0</v>
      </c>
      <c r="L952" s="133">
        <f t="shared" ca="1" si="280"/>
        <v>240</v>
      </c>
      <c r="M952" s="130">
        <f t="shared" ca="1" si="281"/>
        <v>760</v>
      </c>
      <c r="N952" s="100">
        <f t="shared" ca="1" si="282"/>
        <v>4</v>
      </c>
      <c r="O952" s="136">
        <f t="shared" ca="1" si="283"/>
        <v>2.6973744602864622</v>
      </c>
      <c r="P952" s="136">
        <f t="shared" ca="1" si="284"/>
        <v>26.973744602864617</v>
      </c>
      <c r="Q952" s="136">
        <f t="shared" ca="1" si="285"/>
        <v>26.973744602864617</v>
      </c>
      <c r="R952" s="136">
        <f t="shared" ca="1" si="286"/>
        <v>2.6973744602864618</v>
      </c>
      <c r="S952" s="136">
        <f t="shared" ca="1" si="287"/>
        <v>2.6973744602864622</v>
      </c>
      <c r="T952" s="104">
        <f t="shared" ca="1" si="288"/>
        <v>0</v>
      </c>
      <c r="U952" s="120">
        <f t="shared" ca="1" si="289"/>
        <v>1259.0695270312358</v>
      </c>
      <c r="V952" s="104">
        <f t="shared" ca="1" si="290"/>
        <v>0</v>
      </c>
      <c r="W952" s="133">
        <f t="shared" ca="1" si="291"/>
        <v>15243.199240231548</v>
      </c>
      <c r="X952" s="104">
        <f t="shared" ca="1" si="292"/>
        <v>0</v>
      </c>
    </row>
    <row r="953" spans="1:24" x14ac:dyDescent="0.2">
      <c r="A953" s="98">
        <v>3</v>
      </c>
      <c r="B953" s="98">
        <v>0</v>
      </c>
      <c r="C953" s="98">
        <f t="shared" si="274"/>
        <v>7</v>
      </c>
      <c r="D953" s="98">
        <f t="shared" si="275"/>
        <v>6</v>
      </c>
      <c r="E953" s="98">
        <f t="shared" si="276"/>
        <v>3</v>
      </c>
      <c r="F953" s="118">
        <f t="shared" ca="1" si="277"/>
        <v>1.6947839999999999E-2</v>
      </c>
      <c r="G953" s="98">
        <v>0</v>
      </c>
      <c r="H953" s="98">
        <v>1</v>
      </c>
      <c r="I953" s="98">
        <v>5</v>
      </c>
      <c r="J953" s="118">
        <f t="shared" ca="1" si="278"/>
        <v>0</v>
      </c>
      <c r="K953" s="118">
        <f t="shared" ca="1" si="279"/>
        <v>0</v>
      </c>
      <c r="L953" s="133">
        <f t="shared" ca="1" si="280"/>
        <v>228</v>
      </c>
      <c r="M953" s="130">
        <f t="shared" ca="1" si="281"/>
        <v>772</v>
      </c>
      <c r="N953" s="100">
        <f t="shared" ca="1" si="282"/>
        <v>4</v>
      </c>
      <c r="O953" s="136">
        <f t="shared" ca="1" si="283"/>
        <v>2.6973744602864622</v>
      </c>
      <c r="P953" s="136">
        <f t="shared" ca="1" si="284"/>
        <v>26.973744602864617</v>
      </c>
      <c r="Q953" s="136">
        <f t="shared" ca="1" si="285"/>
        <v>26.973744602864617</v>
      </c>
      <c r="R953" s="136">
        <f t="shared" ca="1" si="286"/>
        <v>2.6973744602864618</v>
      </c>
      <c r="S953" s="136">
        <f t="shared" ca="1" si="287"/>
        <v>2.6973744602864622</v>
      </c>
      <c r="T953" s="104">
        <f t="shared" ca="1" si="288"/>
        <v>0</v>
      </c>
      <c r="U953" s="120">
        <f t="shared" ca="1" si="289"/>
        <v>1247.0695270312358</v>
      </c>
      <c r="V953" s="104">
        <f t="shared" ca="1" si="290"/>
        <v>0</v>
      </c>
      <c r="W953" s="133">
        <f t="shared" ca="1" si="291"/>
        <v>13065.599348769898</v>
      </c>
      <c r="X953" s="104">
        <f t="shared" ca="1" si="292"/>
        <v>0</v>
      </c>
    </row>
    <row r="954" spans="1:24" x14ac:dyDescent="0.2">
      <c r="A954" s="98">
        <v>3</v>
      </c>
      <c r="B954" s="98">
        <v>0</v>
      </c>
      <c r="C954" s="98">
        <f t="shared" si="274"/>
        <v>7</v>
      </c>
      <c r="D954" s="98">
        <f t="shared" si="275"/>
        <v>6</v>
      </c>
      <c r="E954" s="98">
        <f t="shared" si="276"/>
        <v>3</v>
      </c>
      <c r="F954" s="118">
        <f t="shared" ca="1" si="277"/>
        <v>1.6947839999999999E-2</v>
      </c>
      <c r="G954" s="98">
        <v>0</v>
      </c>
      <c r="H954" s="98">
        <v>1</v>
      </c>
      <c r="I954" s="98">
        <v>4</v>
      </c>
      <c r="J954" s="118">
        <f t="shared" ca="1" si="278"/>
        <v>0</v>
      </c>
      <c r="K954" s="118">
        <f t="shared" ca="1" si="279"/>
        <v>0</v>
      </c>
      <c r="L954" s="133">
        <f t="shared" ca="1" si="280"/>
        <v>216</v>
      </c>
      <c r="M954" s="130">
        <f t="shared" ca="1" si="281"/>
        <v>784</v>
      </c>
      <c r="N954" s="100">
        <f t="shared" ca="1" si="282"/>
        <v>4</v>
      </c>
      <c r="O954" s="136">
        <f t="shared" ca="1" si="283"/>
        <v>2.6973744602864622</v>
      </c>
      <c r="P954" s="136">
        <f t="shared" ca="1" si="284"/>
        <v>26.973744602864617</v>
      </c>
      <c r="Q954" s="136">
        <f t="shared" ca="1" si="285"/>
        <v>26.973744602864617</v>
      </c>
      <c r="R954" s="136">
        <f t="shared" ca="1" si="286"/>
        <v>2.6973744602864618</v>
      </c>
      <c r="S954" s="136">
        <f t="shared" ca="1" si="287"/>
        <v>2.6973744602864622</v>
      </c>
      <c r="T954" s="104">
        <f t="shared" ca="1" si="288"/>
        <v>0</v>
      </c>
      <c r="U954" s="120">
        <f t="shared" ca="1" si="289"/>
        <v>1235.0695270312358</v>
      </c>
      <c r="V954" s="104">
        <f t="shared" ca="1" si="290"/>
        <v>0</v>
      </c>
      <c r="W954" s="133">
        <f t="shared" ca="1" si="291"/>
        <v>10887.999457308248</v>
      </c>
      <c r="X954" s="104">
        <f t="shared" ca="1" si="292"/>
        <v>0</v>
      </c>
    </row>
    <row r="955" spans="1:24" x14ac:dyDescent="0.2">
      <c r="A955" s="98">
        <v>3</v>
      </c>
      <c r="B955" s="98">
        <v>0</v>
      </c>
      <c r="C955" s="98">
        <f t="shared" si="274"/>
        <v>7</v>
      </c>
      <c r="D955" s="98">
        <f t="shared" si="275"/>
        <v>6</v>
      </c>
      <c r="E955" s="98">
        <f t="shared" si="276"/>
        <v>3</v>
      </c>
      <c r="F955" s="118">
        <f t="shared" ca="1" si="277"/>
        <v>1.6947839999999999E-2</v>
      </c>
      <c r="G955" s="98">
        <v>0</v>
      </c>
      <c r="H955" s="98">
        <v>1</v>
      </c>
      <c r="I955" s="98">
        <v>3</v>
      </c>
      <c r="J955" s="118">
        <f t="shared" ca="1" si="278"/>
        <v>0</v>
      </c>
      <c r="K955" s="118">
        <f t="shared" ca="1" si="279"/>
        <v>0</v>
      </c>
      <c r="L955" s="133">
        <f t="shared" ca="1" si="280"/>
        <v>204</v>
      </c>
      <c r="M955" s="130">
        <f t="shared" ca="1" si="281"/>
        <v>796</v>
      </c>
      <c r="N955" s="100">
        <f t="shared" ca="1" si="282"/>
        <v>4</v>
      </c>
      <c r="O955" s="136">
        <f t="shared" ca="1" si="283"/>
        <v>2.6973744602864622</v>
      </c>
      <c r="P955" s="136">
        <f t="shared" ca="1" si="284"/>
        <v>26.973744602864617</v>
      </c>
      <c r="Q955" s="136">
        <f t="shared" ca="1" si="285"/>
        <v>26.973744602864617</v>
      </c>
      <c r="R955" s="136">
        <f t="shared" ca="1" si="286"/>
        <v>2.6973744602864618</v>
      </c>
      <c r="S955" s="136">
        <f t="shared" ca="1" si="287"/>
        <v>2.6973744602864622</v>
      </c>
      <c r="T955" s="104">
        <f t="shared" ca="1" si="288"/>
        <v>0</v>
      </c>
      <c r="U955" s="120">
        <f t="shared" ca="1" si="289"/>
        <v>1223.0695270312358</v>
      </c>
      <c r="V955" s="104">
        <f t="shared" ca="1" si="290"/>
        <v>0</v>
      </c>
      <c r="W955" s="133">
        <f t="shared" ca="1" si="291"/>
        <v>8710.3995658465974</v>
      </c>
      <c r="X955" s="104">
        <f t="shared" ca="1" si="292"/>
        <v>0</v>
      </c>
    </row>
    <row r="956" spans="1:24" x14ac:dyDescent="0.2">
      <c r="A956" s="98">
        <v>3</v>
      </c>
      <c r="B956" s="98">
        <v>0</v>
      </c>
      <c r="C956" s="98">
        <f t="shared" si="274"/>
        <v>7</v>
      </c>
      <c r="D956" s="98">
        <f t="shared" si="275"/>
        <v>6</v>
      </c>
      <c r="E956" s="98">
        <f t="shared" si="276"/>
        <v>3</v>
      </c>
      <c r="F956" s="118">
        <f t="shared" ca="1" si="277"/>
        <v>1.6947839999999999E-2</v>
      </c>
      <c r="G956" s="98">
        <v>0</v>
      </c>
      <c r="H956" s="98">
        <v>1</v>
      </c>
      <c r="I956" s="98">
        <v>2</v>
      </c>
      <c r="J956" s="118">
        <f t="shared" ca="1" si="278"/>
        <v>0</v>
      </c>
      <c r="K956" s="118">
        <f t="shared" ca="1" si="279"/>
        <v>0</v>
      </c>
      <c r="L956" s="133">
        <f t="shared" ca="1" si="280"/>
        <v>192</v>
      </c>
      <c r="M956" s="130">
        <f t="shared" ca="1" si="281"/>
        <v>808</v>
      </c>
      <c r="N956" s="100">
        <f t="shared" ca="1" si="282"/>
        <v>4</v>
      </c>
      <c r="O956" s="136">
        <f t="shared" ca="1" si="283"/>
        <v>2.6973744602864622</v>
      </c>
      <c r="P956" s="136">
        <f t="shared" ca="1" si="284"/>
        <v>26.973744602864617</v>
      </c>
      <c r="Q956" s="136">
        <f t="shared" ca="1" si="285"/>
        <v>26.973744602864617</v>
      </c>
      <c r="R956" s="136">
        <f t="shared" ca="1" si="286"/>
        <v>2.6973744602864618</v>
      </c>
      <c r="S956" s="136">
        <f t="shared" ca="1" si="287"/>
        <v>2.6973744602864622</v>
      </c>
      <c r="T956" s="104">
        <f t="shared" ca="1" si="288"/>
        <v>0</v>
      </c>
      <c r="U956" s="120">
        <f t="shared" ca="1" si="289"/>
        <v>1211.0695270312358</v>
      </c>
      <c r="V956" s="104">
        <f t="shared" ca="1" si="290"/>
        <v>0</v>
      </c>
      <c r="W956" s="133">
        <f t="shared" ca="1" si="291"/>
        <v>6532.799674384948</v>
      </c>
      <c r="X956" s="104">
        <f t="shared" ca="1" si="292"/>
        <v>0</v>
      </c>
    </row>
    <row r="957" spans="1:24" x14ac:dyDescent="0.2">
      <c r="A957" s="98">
        <v>3</v>
      </c>
      <c r="B957" s="98">
        <v>0</v>
      </c>
      <c r="C957" s="98">
        <f t="shared" si="274"/>
        <v>7</v>
      </c>
      <c r="D957" s="98">
        <f t="shared" si="275"/>
        <v>6</v>
      </c>
      <c r="E957" s="98">
        <f t="shared" si="276"/>
        <v>3</v>
      </c>
      <c r="F957" s="118">
        <f t="shared" ca="1" si="277"/>
        <v>1.6947839999999999E-2</v>
      </c>
      <c r="G957" s="98">
        <v>0</v>
      </c>
      <c r="H957" s="98">
        <v>1</v>
      </c>
      <c r="I957" s="98">
        <v>1</v>
      </c>
      <c r="J957" s="118">
        <f t="shared" ca="1" si="278"/>
        <v>0</v>
      </c>
      <c r="K957" s="118">
        <f t="shared" ca="1" si="279"/>
        <v>0</v>
      </c>
      <c r="L957" s="133">
        <f t="shared" ca="1" si="280"/>
        <v>180</v>
      </c>
      <c r="M957" s="130">
        <f t="shared" ca="1" si="281"/>
        <v>820</v>
      </c>
      <c r="N957" s="100">
        <f t="shared" ca="1" si="282"/>
        <v>4</v>
      </c>
      <c r="O957" s="136">
        <f t="shared" ca="1" si="283"/>
        <v>2.6973744602864622</v>
      </c>
      <c r="P957" s="136">
        <f t="shared" ca="1" si="284"/>
        <v>26.973744602864617</v>
      </c>
      <c r="Q957" s="136">
        <f t="shared" ca="1" si="285"/>
        <v>26.973744602864617</v>
      </c>
      <c r="R957" s="136">
        <f t="shared" ca="1" si="286"/>
        <v>2.6973744602864618</v>
      </c>
      <c r="S957" s="136">
        <f t="shared" ca="1" si="287"/>
        <v>2.6973744602864622</v>
      </c>
      <c r="T957" s="104">
        <f t="shared" ca="1" si="288"/>
        <v>0</v>
      </c>
      <c r="U957" s="120">
        <f t="shared" ca="1" si="289"/>
        <v>1199.0695270312358</v>
      </c>
      <c r="V957" s="104">
        <f t="shared" ca="1" si="290"/>
        <v>0</v>
      </c>
      <c r="W957" s="133">
        <f t="shared" ca="1" si="291"/>
        <v>4355.1997829232987</v>
      </c>
      <c r="X957" s="104">
        <f t="shared" ca="1" si="292"/>
        <v>0</v>
      </c>
    </row>
    <row r="958" spans="1:24" x14ac:dyDescent="0.2">
      <c r="A958" s="98">
        <v>3</v>
      </c>
      <c r="B958" s="98">
        <v>0</v>
      </c>
      <c r="C958" s="98">
        <f t="shared" si="274"/>
        <v>7</v>
      </c>
      <c r="D958" s="98">
        <f t="shared" si="275"/>
        <v>6</v>
      </c>
      <c r="E958" s="98">
        <f t="shared" si="276"/>
        <v>3</v>
      </c>
      <c r="F958" s="118">
        <f t="shared" ca="1" si="277"/>
        <v>1.6947839999999999E-2</v>
      </c>
      <c r="G958" s="98">
        <v>0</v>
      </c>
      <c r="H958" s="98">
        <v>1</v>
      </c>
      <c r="I958" s="98">
        <v>0</v>
      </c>
      <c r="J958" s="118">
        <f t="shared" ca="1" si="278"/>
        <v>0</v>
      </c>
      <c r="K958" s="118">
        <f t="shared" ca="1" si="279"/>
        <v>0</v>
      </c>
      <c r="L958" s="133">
        <f t="shared" ca="1" si="280"/>
        <v>168</v>
      </c>
      <c r="M958" s="130">
        <f t="shared" ca="1" si="281"/>
        <v>832</v>
      </c>
      <c r="N958" s="100">
        <f t="shared" ca="1" si="282"/>
        <v>4</v>
      </c>
      <c r="O958" s="136">
        <f t="shared" ca="1" si="283"/>
        <v>2.6973744602864622</v>
      </c>
      <c r="P958" s="136">
        <f t="shared" ca="1" si="284"/>
        <v>26.973744602864617</v>
      </c>
      <c r="Q958" s="136">
        <f t="shared" ca="1" si="285"/>
        <v>26.973744602864617</v>
      </c>
      <c r="R958" s="136">
        <f t="shared" ca="1" si="286"/>
        <v>2.6973744602864618</v>
      </c>
      <c r="S958" s="136">
        <f t="shared" ca="1" si="287"/>
        <v>2.6973744602864622</v>
      </c>
      <c r="T958" s="104">
        <f t="shared" ca="1" si="288"/>
        <v>0</v>
      </c>
      <c r="U958" s="120">
        <f t="shared" ca="1" si="289"/>
        <v>1187.0695270312358</v>
      </c>
      <c r="V958" s="104">
        <f t="shared" ca="1" si="290"/>
        <v>0</v>
      </c>
      <c r="W958" s="133">
        <f t="shared" ca="1" si="291"/>
        <v>2177.5998914616493</v>
      </c>
      <c r="X958" s="104">
        <f t="shared" ca="1" si="292"/>
        <v>0</v>
      </c>
    </row>
    <row r="959" spans="1:24" x14ac:dyDescent="0.2">
      <c r="A959" s="98">
        <v>3</v>
      </c>
      <c r="B959" s="98">
        <v>0</v>
      </c>
      <c r="C959" s="98">
        <f t="shared" si="274"/>
        <v>7</v>
      </c>
      <c r="D959" s="98">
        <f t="shared" si="275"/>
        <v>6</v>
      </c>
      <c r="E959" s="98">
        <f t="shared" si="276"/>
        <v>3</v>
      </c>
      <c r="F959" s="118">
        <f t="shared" ca="1" si="277"/>
        <v>1.6947839999999999E-2</v>
      </c>
      <c r="G959" s="98">
        <v>0</v>
      </c>
      <c r="H959" s="98">
        <v>0</v>
      </c>
      <c r="I959" s="98">
        <v>7</v>
      </c>
      <c r="J959" s="118">
        <f t="shared" si="278"/>
        <v>0</v>
      </c>
      <c r="K959" s="118">
        <f t="shared" ca="1" si="279"/>
        <v>0</v>
      </c>
      <c r="L959" s="133">
        <f t="shared" ca="1" si="280"/>
        <v>84</v>
      </c>
      <c r="M959" s="130">
        <f t="shared" ca="1" si="281"/>
        <v>916</v>
      </c>
      <c r="N959" s="100">
        <f t="shared" ca="1" si="282"/>
        <v>5</v>
      </c>
      <c r="O959" s="136">
        <f t="shared" ca="1" si="283"/>
        <v>3.301004590397413</v>
      </c>
      <c r="P959" s="136">
        <f t="shared" ca="1" si="284"/>
        <v>33.010045903974124</v>
      </c>
      <c r="Q959" s="136">
        <f t="shared" ca="1" si="285"/>
        <v>33.010045903974124</v>
      </c>
      <c r="R959" s="136">
        <f t="shared" ca="1" si="286"/>
        <v>3.3010045903974126</v>
      </c>
      <c r="S959" s="136">
        <f t="shared" ca="1" si="287"/>
        <v>3.3010045903974126</v>
      </c>
      <c r="T959" s="104">
        <f t="shared" ca="1" si="288"/>
        <v>0</v>
      </c>
      <c r="U959" s="120">
        <f t="shared" ca="1" si="289"/>
        <v>1323.3671890482913</v>
      </c>
      <c r="V959" s="104">
        <f t="shared" ca="1" si="290"/>
        <v>0</v>
      </c>
      <c r="W959" s="133">
        <f t="shared" ca="1" si="291"/>
        <v>15243.199240231546</v>
      </c>
      <c r="X959" s="104">
        <f t="shared" ca="1" si="292"/>
        <v>0</v>
      </c>
    </row>
    <row r="960" spans="1:24" x14ac:dyDescent="0.2">
      <c r="A960" s="98">
        <v>3</v>
      </c>
      <c r="B960" s="98">
        <v>0</v>
      </c>
      <c r="C960" s="98">
        <f t="shared" si="274"/>
        <v>7</v>
      </c>
      <c r="D960" s="98">
        <f t="shared" si="275"/>
        <v>6</v>
      </c>
      <c r="E960" s="98">
        <f t="shared" si="276"/>
        <v>3</v>
      </c>
      <c r="F960" s="118">
        <f t="shared" ca="1" si="277"/>
        <v>1.6947839999999999E-2</v>
      </c>
      <c r="G960" s="98">
        <v>0</v>
      </c>
      <c r="H960" s="98">
        <v>0</v>
      </c>
      <c r="I960" s="98">
        <v>6</v>
      </c>
      <c r="J960" s="118">
        <f t="shared" ca="1" si="278"/>
        <v>3.6754594531249997E-2</v>
      </c>
      <c r="K960" s="118">
        <f t="shared" ca="1" si="279"/>
        <v>6.2291098738049991E-4</v>
      </c>
      <c r="L960" s="133">
        <f t="shared" ca="1" si="280"/>
        <v>72</v>
      </c>
      <c r="M960" s="130">
        <f t="shared" ca="1" si="281"/>
        <v>928</v>
      </c>
      <c r="N960" s="100">
        <f t="shared" ca="1" si="282"/>
        <v>5</v>
      </c>
      <c r="O960" s="136">
        <f t="shared" ca="1" si="283"/>
        <v>3.301004590397413</v>
      </c>
      <c r="P960" s="136">
        <f t="shared" ca="1" si="284"/>
        <v>33.010045903974124</v>
      </c>
      <c r="Q960" s="136">
        <f t="shared" ca="1" si="285"/>
        <v>33.010045903974124</v>
      </c>
      <c r="R960" s="136">
        <f t="shared" ca="1" si="286"/>
        <v>3.3010045903974126</v>
      </c>
      <c r="S960" s="136">
        <f t="shared" ca="1" si="287"/>
        <v>3.3010045903974126</v>
      </c>
      <c r="T960" s="104">
        <f t="shared" ca="1" si="288"/>
        <v>2.0562320287520149E-3</v>
      </c>
      <c r="U960" s="120">
        <f t="shared" ca="1" si="289"/>
        <v>1311.3671890482913</v>
      </c>
      <c r="V960" s="104">
        <f t="shared" ca="1" si="290"/>
        <v>0.81686503054846182</v>
      </c>
      <c r="W960" s="133">
        <f t="shared" ca="1" si="291"/>
        <v>13065.599348769898</v>
      </c>
      <c r="X960" s="104">
        <f t="shared" ca="1" si="292"/>
        <v>8.1387053910602738</v>
      </c>
    </row>
    <row r="961" spans="1:24" x14ac:dyDescent="0.2">
      <c r="A961" s="98">
        <v>3</v>
      </c>
      <c r="B961" s="98">
        <v>0</v>
      </c>
      <c r="C961" s="98">
        <f t="shared" si="274"/>
        <v>7</v>
      </c>
      <c r="D961" s="98">
        <f t="shared" si="275"/>
        <v>6</v>
      </c>
      <c r="E961" s="98">
        <f t="shared" si="276"/>
        <v>3</v>
      </c>
      <c r="F961" s="118">
        <f t="shared" ca="1" si="277"/>
        <v>1.6947839999999999E-2</v>
      </c>
      <c r="G961" s="98">
        <v>0</v>
      </c>
      <c r="H961" s="98">
        <v>0</v>
      </c>
      <c r="I961" s="98">
        <v>5</v>
      </c>
      <c r="J961" s="118">
        <f t="shared" ca="1" si="278"/>
        <v>1.1606714062500011E-2</v>
      </c>
      <c r="K961" s="118">
        <f t="shared" ca="1" si="279"/>
        <v>1.9670873285700018E-4</v>
      </c>
      <c r="L961" s="133">
        <f t="shared" ca="1" si="280"/>
        <v>60</v>
      </c>
      <c r="M961" s="130">
        <f t="shared" ca="1" si="281"/>
        <v>940</v>
      </c>
      <c r="N961" s="100">
        <f t="shared" ca="1" si="282"/>
        <v>5</v>
      </c>
      <c r="O961" s="136">
        <f t="shared" ca="1" si="283"/>
        <v>3.301004590397413</v>
      </c>
      <c r="P961" s="136">
        <f t="shared" ca="1" si="284"/>
        <v>33.010045903974124</v>
      </c>
      <c r="Q961" s="136">
        <f t="shared" ca="1" si="285"/>
        <v>33.010045903974124</v>
      </c>
      <c r="R961" s="136">
        <f t="shared" ca="1" si="286"/>
        <v>3.3010045903974126</v>
      </c>
      <c r="S961" s="136">
        <f t="shared" ca="1" si="287"/>
        <v>3.3010045903974126</v>
      </c>
      <c r="T961" s="104">
        <f t="shared" ca="1" si="288"/>
        <v>6.493364301322159E-4</v>
      </c>
      <c r="U961" s="120">
        <f t="shared" ca="1" si="289"/>
        <v>1299.3671890482913</v>
      </c>
      <c r="V961" s="104">
        <f t="shared" ca="1" si="290"/>
        <v>0.2555968732736516</v>
      </c>
      <c r="W961" s="133">
        <f t="shared" ca="1" si="291"/>
        <v>10887.999457308248</v>
      </c>
      <c r="X961" s="104">
        <f t="shared" ca="1" si="292"/>
        <v>2.1417645765948112</v>
      </c>
    </row>
    <row r="962" spans="1:24" x14ac:dyDescent="0.2">
      <c r="A962" s="98">
        <v>3</v>
      </c>
      <c r="B962" s="98">
        <v>0</v>
      </c>
      <c r="C962" s="98">
        <f t="shared" si="274"/>
        <v>7</v>
      </c>
      <c r="D962" s="98">
        <f t="shared" si="275"/>
        <v>6</v>
      </c>
      <c r="E962" s="98">
        <f t="shared" si="276"/>
        <v>3</v>
      </c>
      <c r="F962" s="118">
        <f t="shared" ca="1" si="277"/>
        <v>1.6947839999999999E-2</v>
      </c>
      <c r="G962" s="98">
        <v>0</v>
      </c>
      <c r="H962" s="98">
        <v>0</v>
      </c>
      <c r="I962" s="98">
        <v>4</v>
      </c>
      <c r="J962" s="118">
        <f t="shared" ca="1" si="278"/>
        <v>1.5271992187500026E-3</v>
      </c>
      <c r="K962" s="118">
        <f t="shared" ca="1" si="279"/>
        <v>2.5882728007500042E-5</v>
      </c>
      <c r="L962" s="133">
        <f t="shared" ca="1" si="280"/>
        <v>48</v>
      </c>
      <c r="M962" s="130">
        <f t="shared" ca="1" si="281"/>
        <v>952</v>
      </c>
      <c r="N962" s="100">
        <f t="shared" ca="1" si="282"/>
        <v>5</v>
      </c>
      <c r="O962" s="136">
        <f t="shared" ca="1" si="283"/>
        <v>3.301004590397413</v>
      </c>
      <c r="P962" s="136">
        <f t="shared" ca="1" si="284"/>
        <v>33.010045903974124</v>
      </c>
      <c r="Q962" s="136">
        <f t="shared" ca="1" si="285"/>
        <v>33.010045903974124</v>
      </c>
      <c r="R962" s="136">
        <f t="shared" ca="1" si="286"/>
        <v>3.3010045903974126</v>
      </c>
      <c r="S962" s="136">
        <f t="shared" ca="1" si="287"/>
        <v>3.3010045903974126</v>
      </c>
      <c r="T962" s="104">
        <f t="shared" ca="1" si="288"/>
        <v>8.5439003964765317E-5</v>
      </c>
      <c r="U962" s="120">
        <f t="shared" ca="1" si="289"/>
        <v>1287.3671890482913</v>
      </c>
      <c r="V962" s="104">
        <f t="shared" ca="1" si="290"/>
        <v>3.3320574799916812E-2</v>
      </c>
      <c r="W962" s="133">
        <f t="shared" ca="1" si="291"/>
        <v>8710.3995658465974</v>
      </c>
      <c r="X962" s="104">
        <f t="shared" ca="1" si="292"/>
        <v>0.22544890279945393</v>
      </c>
    </row>
    <row r="963" spans="1:24" x14ac:dyDescent="0.2">
      <c r="A963" s="98">
        <v>3</v>
      </c>
      <c r="B963" s="98">
        <v>0</v>
      </c>
      <c r="C963" s="98">
        <f t="shared" si="274"/>
        <v>7</v>
      </c>
      <c r="D963" s="98">
        <f t="shared" si="275"/>
        <v>6</v>
      </c>
      <c r="E963" s="98">
        <f t="shared" si="276"/>
        <v>3</v>
      </c>
      <c r="F963" s="118">
        <f t="shared" ca="1" si="277"/>
        <v>1.6947839999999999E-2</v>
      </c>
      <c r="G963" s="98">
        <v>0</v>
      </c>
      <c r="H963" s="98">
        <v>0</v>
      </c>
      <c r="I963" s="98">
        <v>3</v>
      </c>
      <c r="J963" s="118">
        <f t="shared" ca="1" si="278"/>
        <v>1.0717187500000027E-4</v>
      </c>
      <c r="K963" s="118">
        <f t="shared" ca="1" si="279"/>
        <v>1.8163317900000044E-6</v>
      </c>
      <c r="L963" s="133">
        <f t="shared" ca="1" si="280"/>
        <v>36</v>
      </c>
      <c r="M963" s="130">
        <f t="shared" ca="1" si="281"/>
        <v>964</v>
      </c>
      <c r="N963" s="100">
        <f t="shared" ca="1" si="282"/>
        <v>5</v>
      </c>
      <c r="O963" s="136">
        <f t="shared" ca="1" si="283"/>
        <v>3.301004590397413</v>
      </c>
      <c r="P963" s="136">
        <f t="shared" ca="1" si="284"/>
        <v>33.010045903974124</v>
      </c>
      <c r="Q963" s="136">
        <f t="shared" ca="1" si="285"/>
        <v>33.010045903974124</v>
      </c>
      <c r="R963" s="136">
        <f t="shared" ca="1" si="286"/>
        <v>3.3010045903974126</v>
      </c>
      <c r="S963" s="136">
        <f t="shared" ca="1" si="287"/>
        <v>3.3010045903974126</v>
      </c>
      <c r="T963" s="104">
        <f t="shared" ca="1" si="288"/>
        <v>5.9957195764747636E-6</v>
      </c>
      <c r="U963" s="120">
        <f t="shared" ca="1" si="289"/>
        <v>1275.3671890482913</v>
      </c>
      <c r="V963" s="104">
        <f t="shared" ca="1" si="290"/>
        <v>2.3164899693913568E-3</v>
      </c>
      <c r="W963" s="133">
        <f t="shared" ca="1" si="291"/>
        <v>6532.799674384949</v>
      </c>
      <c r="X963" s="104">
        <f t="shared" ca="1" si="292"/>
        <v>1.1865731726287061E-2</v>
      </c>
    </row>
    <row r="964" spans="1:24" x14ac:dyDescent="0.2">
      <c r="A964" s="98">
        <v>3</v>
      </c>
      <c r="B964" s="98">
        <v>0</v>
      </c>
      <c r="C964" s="98">
        <f t="shared" si="274"/>
        <v>7</v>
      </c>
      <c r="D964" s="98">
        <f t="shared" si="275"/>
        <v>6</v>
      </c>
      <c r="E964" s="98">
        <f t="shared" si="276"/>
        <v>3</v>
      </c>
      <c r="F964" s="118">
        <f t="shared" ca="1" si="277"/>
        <v>1.6947839999999999E-2</v>
      </c>
      <c r="G964" s="98">
        <v>0</v>
      </c>
      <c r="H964" s="98">
        <v>0</v>
      </c>
      <c r="I964" s="98">
        <v>2</v>
      </c>
      <c r="J964" s="118">
        <f t="shared" ca="1" si="278"/>
        <v>4.2304687500000152E-6</v>
      </c>
      <c r="K964" s="118">
        <f t="shared" ca="1" si="279"/>
        <v>7.1697307500000252E-8</v>
      </c>
      <c r="L964" s="133">
        <f t="shared" ca="1" si="280"/>
        <v>24</v>
      </c>
      <c r="M964" s="130">
        <f t="shared" ca="1" si="281"/>
        <v>976</v>
      </c>
      <c r="N964" s="100">
        <f t="shared" ca="1" si="282"/>
        <v>5</v>
      </c>
      <c r="O964" s="136">
        <f t="shared" ca="1" si="283"/>
        <v>3.301004590397413</v>
      </c>
      <c r="P964" s="136">
        <f t="shared" ca="1" si="284"/>
        <v>33.010045903974124</v>
      </c>
      <c r="Q964" s="136">
        <f t="shared" ca="1" si="285"/>
        <v>33.010045903974124</v>
      </c>
      <c r="R964" s="136">
        <f t="shared" ca="1" si="286"/>
        <v>3.3010045903974126</v>
      </c>
      <c r="S964" s="136">
        <f t="shared" ca="1" si="287"/>
        <v>3.3010045903974126</v>
      </c>
      <c r="T964" s="104">
        <f t="shared" ca="1" si="288"/>
        <v>2.3667314117663567E-7</v>
      </c>
      <c r="U964" s="120">
        <f t="shared" ca="1" si="289"/>
        <v>1263.3671890482913</v>
      </c>
      <c r="V964" s="104">
        <f t="shared" ca="1" si="290"/>
        <v>9.0580025838606296E-5</v>
      </c>
      <c r="W964" s="133">
        <f t="shared" ca="1" si="291"/>
        <v>4355.1997829232987</v>
      </c>
      <c r="X964" s="104">
        <f t="shared" ca="1" si="292"/>
        <v>3.1225609806018607E-4</v>
      </c>
    </row>
    <row r="965" spans="1:24" x14ac:dyDescent="0.2">
      <c r="A965" s="98">
        <v>3</v>
      </c>
      <c r="B965" s="98">
        <v>0</v>
      </c>
      <c r="C965" s="98">
        <f t="shared" si="274"/>
        <v>7</v>
      </c>
      <c r="D965" s="98">
        <f t="shared" si="275"/>
        <v>6</v>
      </c>
      <c r="E965" s="98">
        <f t="shared" si="276"/>
        <v>3</v>
      </c>
      <c r="F965" s="118">
        <f t="shared" ca="1" si="277"/>
        <v>1.6947839999999999E-2</v>
      </c>
      <c r="G965" s="98">
        <v>0</v>
      </c>
      <c r="H965" s="98">
        <v>0</v>
      </c>
      <c r="I965" s="98">
        <v>1</v>
      </c>
      <c r="J965" s="118">
        <f t="shared" ca="1" si="278"/>
        <v>8.9062500000000418E-8</v>
      </c>
      <c r="K965" s="118">
        <f t="shared" ca="1" si="279"/>
        <v>1.5094170000000071E-9</v>
      </c>
      <c r="L965" s="133">
        <f t="shared" ca="1" si="280"/>
        <v>12</v>
      </c>
      <c r="M965" s="130">
        <f t="shared" ca="1" si="281"/>
        <v>988</v>
      </c>
      <c r="N965" s="100">
        <f t="shared" ca="1" si="282"/>
        <v>5</v>
      </c>
      <c r="O965" s="136">
        <f t="shared" ca="1" si="283"/>
        <v>3.301004590397413</v>
      </c>
      <c r="P965" s="136">
        <f t="shared" ca="1" si="284"/>
        <v>33.010045903974124</v>
      </c>
      <c r="Q965" s="136">
        <f t="shared" ca="1" si="285"/>
        <v>33.010045903974124</v>
      </c>
      <c r="R965" s="136">
        <f t="shared" ca="1" si="286"/>
        <v>3.3010045903974126</v>
      </c>
      <c r="S965" s="136">
        <f t="shared" ca="1" si="287"/>
        <v>3.3010045903974126</v>
      </c>
      <c r="T965" s="104">
        <f t="shared" ca="1" si="288"/>
        <v>4.9825924458239148E-9</v>
      </c>
      <c r="U965" s="120">
        <f t="shared" ca="1" si="289"/>
        <v>1251.3671890482913</v>
      </c>
      <c r="V965" s="104">
        <f t="shared" ca="1" si="290"/>
        <v>1.8888349083917136E-6</v>
      </c>
      <c r="W965" s="133">
        <f t="shared" ca="1" si="291"/>
        <v>2177.5998914616493</v>
      </c>
      <c r="X965" s="104">
        <f t="shared" ca="1" si="292"/>
        <v>3.2869062953703837E-6</v>
      </c>
    </row>
    <row r="966" spans="1:24" x14ac:dyDescent="0.2">
      <c r="A966" s="98">
        <v>3</v>
      </c>
      <c r="B966" s="98">
        <v>0</v>
      </c>
      <c r="C966" s="98">
        <f t="shared" si="274"/>
        <v>7</v>
      </c>
      <c r="D966" s="98">
        <f t="shared" si="275"/>
        <v>6</v>
      </c>
      <c r="E966" s="98">
        <f t="shared" si="276"/>
        <v>3</v>
      </c>
      <c r="F966" s="118">
        <f t="shared" ca="1" si="277"/>
        <v>1.6947839999999999E-2</v>
      </c>
      <c r="G966" s="98">
        <v>0</v>
      </c>
      <c r="H966" s="98">
        <v>0</v>
      </c>
      <c r="I966" s="98">
        <v>0</v>
      </c>
      <c r="J966" s="118">
        <f t="shared" ca="1" si="278"/>
        <v>7.812500000000041E-10</v>
      </c>
      <c r="K966" s="118">
        <f t="shared" ca="1" si="279"/>
        <v>1.3240500000000068E-11</v>
      </c>
      <c r="L966" s="133">
        <f t="shared" ca="1" si="280"/>
        <v>0</v>
      </c>
      <c r="M966" s="130">
        <f t="shared" ca="1" si="281"/>
        <v>1000</v>
      </c>
      <c r="N966" s="100">
        <f t="shared" ca="1" si="282"/>
        <v>5</v>
      </c>
      <c r="O966" s="136">
        <f t="shared" ca="1" si="283"/>
        <v>3.301004590397413</v>
      </c>
      <c r="P966" s="136">
        <f t="shared" ca="1" si="284"/>
        <v>33.010045903974124</v>
      </c>
      <c r="Q966" s="136">
        <f t="shared" ca="1" si="285"/>
        <v>33.010045903974124</v>
      </c>
      <c r="R966" s="136">
        <f t="shared" ca="1" si="286"/>
        <v>3.3010045903974126</v>
      </c>
      <c r="S966" s="136">
        <f t="shared" ca="1" si="287"/>
        <v>3.3010045903974126</v>
      </c>
      <c r="T966" s="104">
        <f t="shared" ca="1" si="288"/>
        <v>4.3706951279157166E-11</v>
      </c>
      <c r="U966" s="120">
        <f t="shared" ca="1" si="289"/>
        <v>1239.3671890482913</v>
      </c>
      <c r="V966" s="104">
        <f t="shared" ca="1" si="290"/>
        <v>1.6409841266593983E-8</v>
      </c>
      <c r="W966" s="133">
        <f t="shared" ca="1" si="291"/>
        <v>0</v>
      </c>
      <c r="X966" s="104">
        <f t="shared" ca="1" si="292"/>
        <v>0</v>
      </c>
    </row>
    <row r="967" spans="1:24" x14ac:dyDescent="0.2">
      <c r="A967" s="98">
        <v>3</v>
      </c>
      <c r="B967" s="98">
        <v>1</v>
      </c>
      <c r="C967" s="98">
        <f t="shared" si="274"/>
        <v>8</v>
      </c>
      <c r="D967" s="98">
        <f t="shared" si="275"/>
        <v>7</v>
      </c>
      <c r="E967" s="98">
        <f t="shared" si="276"/>
        <v>3</v>
      </c>
      <c r="F967" s="118">
        <f t="shared" ca="1" si="277"/>
        <v>9.5331599999999989E-3</v>
      </c>
      <c r="G967" s="98">
        <v>1</v>
      </c>
      <c r="H967" s="98">
        <v>1</v>
      </c>
      <c r="I967" s="98">
        <v>7</v>
      </c>
      <c r="J967" s="118">
        <f t="shared" ca="1" si="278"/>
        <v>0</v>
      </c>
      <c r="K967" s="118">
        <f t="shared" ca="1" si="279"/>
        <v>0</v>
      </c>
      <c r="L967" s="133">
        <f t="shared" ca="1" si="280"/>
        <v>420</v>
      </c>
      <c r="M967" s="130">
        <f t="shared" ca="1" si="281"/>
        <v>580</v>
      </c>
      <c r="N967" s="100">
        <f t="shared" ca="1" si="282"/>
        <v>3</v>
      </c>
      <c r="O967" s="136">
        <f t="shared" ca="1" si="283"/>
        <v>2.1177215542739054</v>
      </c>
      <c r="P967" s="136">
        <f t="shared" ca="1" si="284"/>
        <v>21.177215542739059</v>
      </c>
      <c r="Q967" s="136">
        <f t="shared" ca="1" si="285"/>
        <v>21.177215542739059</v>
      </c>
      <c r="R967" s="136">
        <f t="shared" ca="1" si="286"/>
        <v>2.1177215542739058</v>
      </c>
      <c r="S967" s="136">
        <f t="shared" ca="1" si="287"/>
        <v>2.1177215542739054</v>
      </c>
      <c r="T967" s="104">
        <f t="shared" ca="1" si="288"/>
        <v>0</v>
      </c>
      <c r="U967" s="120">
        <f t="shared" ca="1" si="289"/>
        <v>1227.5224659982036</v>
      </c>
      <c r="V967" s="104">
        <f t="shared" ca="1" si="290"/>
        <v>0</v>
      </c>
      <c r="W967" s="133">
        <f t="shared" ca="1" si="291"/>
        <v>19881.48700904486</v>
      </c>
      <c r="X967" s="104">
        <f t="shared" ca="1" si="292"/>
        <v>0</v>
      </c>
    </row>
    <row r="968" spans="1:24" x14ac:dyDescent="0.2">
      <c r="A968" s="98">
        <v>3</v>
      </c>
      <c r="B968" s="98">
        <v>1</v>
      </c>
      <c r="C968" s="98">
        <f t="shared" si="274"/>
        <v>8</v>
      </c>
      <c r="D968" s="98">
        <f t="shared" si="275"/>
        <v>7</v>
      </c>
      <c r="E968" s="98">
        <f t="shared" si="276"/>
        <v>3</v>
      </c>
      <c r="F968" s="118">
        <f t="shared" ca="1" si="277"/>
        <v>9.5331599999999989E-3</v>
      </c>
      <c r="G968" s="98">
        <v>1</v>
      </c>
      <c r="H968" s="98">
        <v>1</v>
      </c>
      <c r="I968" s="98">
        <v>6</v>
      </c>
      <c r="J968" s="118">
        <f t="shared" ca="1" si="278"/>
        <v>0</v>
      </c>
      <c r="K968" s="118">
        <f t="shared" ca="1" si="279"/>
        <v>0</v>
      </c>
      <c r="L968" s="133">
        <f t="shared" ca="1" si="280"/>
        <v>408</v>
      </c>
      <c r="M968" s="130">
        <f t="shared" ca="1" si="281"/>
        <v>592</v>
      </c>
      <c r="N968" s="100">
        <f t="shared" ca="1" si="282"/>
        <v>3</v>
      </c>
      <c r="O968" s="136">
        <f t="shared" ca="1" si="283"/>
        <v>2.1177215542739054</v>
      </c>
      <c r="P968" s="136">
        <f t="shared" ca="1" si="284"/>
        <v>21.177215542739059</v>
      </c>
      <c r="Q968" s="136">
        <f t="shared" ca="1" si="285"/>
        <v>21.177215542739059</v>
      </c>
      <c r="R968" s="136">
        <f t="shared" ca="1" si="286"/>
        <v>2.1177215542739058</v>
      </c>
      <c r="S968" s="136">
        <f t="shared" ca="1" si="287"/>
        <v>2.1177215542739054</v>
      </c>
      <c r="T968" s="104">
        <f t="shared" ca="1" si="288"/>
        <v>0</v>
      </c>
      <c r="U968" s="120">
        <f t="shared" ca="1" si="289"/>
        <v>1215.5224659982036</v>
      </c>
      <c r="V968" s="104">
        <f t="shared" ca="1" si="290"/>
        <v>0</v>
      </c>
      <c r="W968" s="133">
        <f t="shared" ca="1" si="291"/>
        <v>17703.88711758321</v>
      </c>
      <c r="X968" s="104">
        <f t="shared" ca="1" si="292"/>
        <v>0</v>
      </c>
    </row>
    <row r="969" spans="1:24" x14ac:dyDescent="0.2">
      <c r="A969" s="98">
        <v>3</v>
      </c>
      <c r="B969" s="98">
        <v>1</v>
      </c>
      <c r="C969" s="98">
        <f t="shared" si="274"/>
        <v>8</v>
      </c>
      <c r="D969" s="98">
        <f t="shared" si="275"/>
        <v>7</v>
      </c>
      <c r="E969" s="98">
        <f t="shared" si="276"/>
        <v>3</v>
      </c>
      <c r="F969" s="118">
        <f t="shared" ca="1" si="277"/>
        <v>9.5331599999999989E-3</v>
      </c>
      <c r="G969" s="98">
        <v>1</v>
      </c>
      <c r="H969" s="98">
        <v>1</v>
      </c>
      <c r="I969" s="98">
        <v>5</v>
      </c>
      <c r="J969" s="118">
        <f t="shared" ca="1" si="278"/>
        <v>0</v>
      </c>
      <c r="K969" s="118">
        <f t="shared" ca="1" si="279"/>
        <v>0</v>
      </c>
      <c r="L969" s="133">
        <f t="shared" ca="1" si="280"/>
        <v>396</v>
      </c>
      <c r="M969" s="130">
        <f t="shared" ca="1" si="281"/>
        <v>604</v>
      </c>
      <c r="N969" s="100">
        <f t="shared" ca="1" si="282"/>
        <v>3</v>
      </c>
      <c r="O969" s="136">
        <f t="shared" ca="1" si="283"/>
        <v>2.1177215542739054</v>
      </c>
      <c r="P969" s="136">
        <f t="shared" ca="1" si="284"/>
        <v>21.177215542739059</v>
      </c>
      <c r="Q969" s="136">
        <f t="shared" ca="1" si="285"/>
        <v>21.177215542739059</v>
      </c>
      <c r="R969" s="136">
        <f t="shared" ca="1" si="286"/>
        <v>2.1177215542739058</v>
      </c>
      <c r="S969" s="136">
        <f t="shared" ca="1" si="287"/>
        <v>2.1177215542739054</v>
      </c>
      <c r="T969" s="104">
        <f t="shared" ca="1" si="288"/>
        <v>0</v>
      </c>
      <c r="U969" s="120">
        <f t="shared" ca="1" si="289"/>
        <v>1203.5224659982036</v>
      </c>
      <c r="V969" s="104">
        <f t="shared" ca="1" si="290"/>
        <v>0</v>
      </c>
      <c r="W969" s="133">
        <f t="shared" ca="1" si="291"/>
        <v>15526.28722612156</v>
      </c>
      <c r="X969" s="104">
        <f t="shared" ca="1" si="292"/>
        <v>0</v>
      </c>
    </row>
    <row r="970" spans="1:24" x14ac:dyDescent="0.2">
      <c r="A970" s="98">
        <v>3</v>
      </c>
      <c r="B970" s="98">
        <v>1</v>
      </c>
      <c r="C970" s="98">
        <f t="shared" si="274"/>
        <v>8</v>
      </c>
      <c r="D970" s="98">
        <f t="shared" si="275"/>
        <v>7</v>
      </c>
      <c r="E970" s="98">
        <f t="shared" si="276"/>
        <v>3</v>
      </c>
      <c r="F970" s="118">
        <f t="shared" ca="1" si="277"/>
        <v>9.5331599999999989E-3</v>
      </c>
      <c r="G970" s="98">
        <v>1</v>
      </c>
      <c r="H970" s="98">
        <v>1</v>
      </c>
      <c r="I970" s="98">
        <v>4</v>
      </c>
      <c r="J970" s="118">
        <f t="shared" ca="1" si="278"/>
        <v>0</v>
      </c>
      <c r="K970" s="118">
        <f t="shared" ca="1" si="279"/>
        <v>0</v>
      </c>
      <c r="L970" s="133">
        <f t="shared" ca="1" si="280"/>
        <v>384</v>
      </c>
      <c r="M970" s="130">
        <f t="shared" ca="1" si="281"/>
        <v>616</v>
      </c>
      <c r="N970" s="100">
        <f t="shared" ca="1" si="282"/>
        <v>3</v>
      </c>
      <c r="O970" s="136">
        <f t="shared" ca="1" si="283"/>
        <v>2.1177215542739054</v>
      </c>
      <c r="P970" s="136">
        <f t="shared" ca="1" si="284"/>
        <v>21.177215542739059</v>
      </c>
      <c r="Q970" s="136">
        <f t="shared" ca="1" si="285"/>
        <v>21.177215542739059</v>
      </c>
      <c r="R970" s="136">
        <f t="shared" ca="1" si="286"/>
        <v>2.1177215542739058</v>
      </c>
      <c r="S970" s="136">
        <f t="shared" ca="1" si="287"/>
        <v>2.1177215542739054</v>
      </c>
      <c r="T970" s="104">
        <f t="shared" ca="1" si="288"/>
        <v>0</v>
      </c>
      <c r="U970" s="120">
        <f t="shared" ca="1" si="289"/>
        <v>1191.5224659982036</v>
      </c>
      <c r="V970" s="104">
        <f t="shared" ca="1" si="290"/>
        <v>0</v>
      </c>
      <c r="W970" s="133">
        <f t="shared" ca="1" si="291"/>
        <v>13348.68733465991</v>
      </c>
      <c r="X970" s="104">
        <f t="shared" ca="1" si="292"/>
        <v>0</v>
      </c>
    </row>
    <row r="971" spans="1:24" x14ac:dyDescent="0.2">
      <c r="A971" s="98">
        <v>3</v>
      </c>
      <c r="B971" s="98">
        <v>1</v>
      </c>
      <c r="C971" s="98">
        <f t="shared" si="274"/>
        <v>8</v>
      </c>
      <c r="D971" s="98">
        <f t="shared" si="275"/>
        <v>7</v>
      </c>
      <c r="E971" s="98">
        <f t="shared" si="276"/>
        <v>3</v>
      </c>
      <c r="F971" s="118">
        <f t="shared" ca="1" si="277"/>
        <v>9.5331599999999989E-3</v>
      </c>
      <c r="G971" s="98">
        <v>1</v>
      </c>
      <c r="H971" s="98">
        <v>1</v>
      </c>
      <c r="I971" s="98">
        <v>3</v>
      </c>
      <c r="J971" s="118">
        <f t="shared" ca="1" si="278"/>
        <v>0</v>
      </c>
      <c r="K971" s="118">
        <f t="shared" ca="1" si="279"/>
        <v>0</v>
      </c>
      <c r="L971" s="133">
        <f t="shared" ca="1" si="280"/>
        <v>372</v>
      </c>
      <c r="M971" s="130">
        <f t="shared" ca="1" si="281"/>
        <v>628</v>
      </c>
      <c r="N971" s="100">
        <f t="shared" ca="1" si="282"/>
        <v>3</v>
      </c>
      <c r="O971" s="136">
        <f t="shared" ca="1" si="283"/>
        <v>2.1177215542739054</v>
      </c>
      <c r="P971" s="136">
        <f t="shared" ca="1" si="284"/>
        <v>21.177215542739059</v>
      </c>
      <c r="Q971" s="136">
        <f t="shared" ca="1" si="285"/>
        <v>21.177215542739059</v>
      </c>
      <c r="R971" s="136">
        <f t="shared" ca="1" si="286"/>
        <v>2.1177215542739058</v>
      </c>
      <c r="S971" s="136">
        <f t="shared" ca="1" si="287"/>
        <v>2.1177215542739054</v>
      </c>
      <c r="T971" s="104">
        <f t="shared" ca="1" si="288"/>
        <v>0</v>
      </c>
      <c r="U971" s="120">
        <f t="shared" ca="1" si="289"/>
        <v>1179.5224659982036</v>
      </c>
      <c r="V971" s="104">
        <f t="shared" ca="1" si="290"/>
        <v>0</v>
      </c>
      <c r="W971" s="133">
        <f t="shared" ca="1" si="291"/>
        <v>11171.087443198263</v>
      </c>
      <c r="X971" s="104">
        <f t="shared" ca="1" si="292"/>
        <v>0</v>
      </c>
    </row>
    <row r="972" spans="1:24" x14ac:dyDescent="0.2">
      <c r="A972" s="98">
        <v>3</v>
      </c>
      <c r="B972" s="98">
        <v>1</v>
      </c>
      <c r="C972" s="98">
        <f t="shared" si="274"/>
        <v>8</v>
      </c>
      <c r="D972" s="98">
        <f t="shared" si="275"/>
        <v>7</v>
      </c>
      <c r="E972" s="98">
        <f t="shared" si="276"/>
        <v>3</v>
      </c>
      <c r="F972" s="118">
        <f t="shared" ca="1" si="277"/>
        <v>9.5331599999999989E-3</v>
      </c>
      <c r="G972" s="98">
        <v>1</v>
      </c>
      <c r="H972" s="98">
        <v>1</v>
      </c>
      <c r="I972" s="98">
        <v>2</v>
      </c>
      <c r="J972" s="118">
        <f t="shared" ca="1" si="278"/>
        <v>0</v>
      </c>
      <c r="K972" s="118">
        <f t="shared" ca="1" si="279"/>
        <v>0</v>
      </c>
      <c r="L972" s="133">
        <f t="shared" ca="1" si="280"/>
        <v>360</v>
      </c>
      <c r="M972" s="130">
        <f t="shared" ca="1" si="281"/>
        <v>640</v>
      </c>
      <c r="N972" s="100">
        <f t="shared" ca="1" si="282"/>
        <v>3</v>
      </c>
      <c r="O972" s="136">
        <f t="shared" ca="1" si="283"/>
        <v>2.1177215542739054</v>
      </c>
      <c r="P972" s="136">
        <f t="shared" ca="1" si="284"/>
        <v>21.177215542739059</v>
      </c>
      <c r="Q972" s="136">
        <f t="shared" ca="1" si="285"/>
        <v>21.177215542739059</v>
      </c>
      <c r="R972" s="136">
        <f t="shared" ca="1" si="286"/>
        <v>2.1177215542739058</v>
      </c>
      <c r="S972" s="136">
        <f t="shared" ca="1" si="287"/>
        <v>2.1177215542739054</v>
      </c>
      <c r="T972" s="104">
        <f t="shared" ca="1" si="288"/>
        <v>0</v>
      </c>
      <c r="U972" s="120">
        <f t="shared" ca="1" si="289"/>
        <v>1167.5224659982036</v>
      </c>
      <c r="V972" s="104">
        <f t="shared" ca="1" si="290"/>
        <v>0</v>
      </c>
      <c r="W972" s="133">
        <f t="shared" ca="1" si="291"/>
        <v>8993.4875517366127</v>
      </c>
      <c r="X972" s="104">
        <f t="shared" ca="1" si="292"/>
        <v>0</v>
      </c>
    </row>
    <row r="973" spans="1:24" x14ac:dyDescent="0.2">
      <c r="A973" s="98">
        <v>3</v>
      </c>
      <c r="B973" s="98">
        <v>1</v>
      </c>
      <c r="C973" s="98">
        <f t="shared" si="274"/>
        <v>8</v>
      </c>
      <c r="D973" s="98">
        <f t="shared" si="275"/>
        <v>7</v>
      </c>
      <c r="E973" s="98">
        <f t="shared" si="276"/>
        <v>3</v>
      </c>
      <c r="F973" s="118">
        <f t="shared" ca="1" si="277"/>
        <v>9.5331599999999989E-3</v>
      </c>
      <c r="G973" s="98">
        <v>1</v>
      </c>
      <c r="H973" s="98">
        <v>1</v>
      </c>
      <c r="I973" s="98">
        <v>1</v>
      </c>
      <c r="J973" s="118">
        <f t="shared" ca="1" si="278"/>
        <v>0</v>
      </c>
      <c r="K973" s="118">
        <f t="shared" ca="1" si="279"/>
        <v>0</v>
      </c>
      <c r="L973" s="133">
        <f t="shared" ca="1" si="280"/>
        <v>348</v>
      </c>
      <c r="M973" s="130">
        <f t="shared" ca="1" si="281"/>
        <v>652</v>
      </c>
      <c r="N973" s="100">
        <f t="shared" ca="1" si="282"/>
        <v>4</v>
      </c>
      <c r="O973" s="136">
        <f t="shared" ca="1" si="283"/>
        <v>2.6973744602864622</v>
      </c>
      <c r="P973" s="136">
        <f t="shared" ca="1" si="284"/>
        <v>21.177215542739059</v>
      </c>
      <c r="Q973" s="136">
        <f t="shared" ca="1" si="285"/>
        <v>21.177215542739059</v>
      </c>
      <c r="R973" s="136">
        <f t="shared" ca="1" si="286"/>
        <v>2.1177215542739058</v>
      </c>
      <c r="S973" s="136">
        <f t="shared" ca="1" si="287"/>
        <v>2.5060890013023185</v>
      </c>
      <c r="T973" s="104">
        <f t="shared" ca="1" si="288"/>
        <v>0</v>
      </c>
      <c r="U973" s="120">
        <f t="shared" ca="1" si="289"/>
        <v>1297.2589968903351</v>
      </c>
      <c r="V973" s="104">
        <f t="shared" ca="1" si="290"/>
        <v>0</v>
      </c>
      <c r="W973" s="133">
        <f t="shared" ca="1" si="291"/>
        <v>6815.8876602749624</v>
      </c>
      <c r="X973" s="104">
        <f t="shared" ca="1" si="292"/>
        <v>0</v>
      </c>
    </row>
    <row r="974" spans="1:24" x14ac:dyDescent="0.2">
      <c r="A974" s="98">
        <v>3</v>
      </c>
      <c r="B974" s="98">
        <v>1</v>
      </c>
      <c r="C974" s="98">
        <f t="shared" si="274"/>
        <v>8</v>
      </c>
      <c r="D974" s="98">
        <f t="shared" si="275"/>
        <v>7</v>
      </c>
      <c r="E974" s="98">
        <f t="shared" si="276"/>
        <v>3</v>
      </c>
      <c r="F974" s="118">
        <f t="shared" ca="1" si="277"/>
        <v>9.5331599999999989E-3</v>
      </c>
      <c r="G974" s="98">
        <v>1</v>
      </c>
      <c r="H974" s="98">
        <v>1</v>
      </c>
      <c r="I974" s="98">
        <v>0</v>
      </c>
      <c r="J974" s="118">
        <f t="shared" ca="1" si="278"/>
        <v>0</v>
      </c>
      <c r="K974" s="118">
        <f t="shared" ca="1" si="279"/>
        <v>0</v>
      </c>
      <c r="L974" s="133">
        <f t="shared" ca="1" si="280"/>
        <v>336</v>
      </c>
      <c r="M974" s="130">
        <f t="shared" ca="1" si="281"/>
        <v>664</v>
      </c>
      <c r="N974" s="100">
        <f t="shared" ca="1" si="282"/>
        <v>4</v>
      </c>
      <c r="O974" s="136">
        <f t="shared" ca="1" si="283"/>
        <v>2.6973744602864622</v>
      </c>
      <c r="P974" s="136">
        <f t="shared" ca="1" si="284"/>
        <v>26.973744602864617</v>
      </c>
      <c r="Q974" s="136">
        <f t="shared" ca="1" si="285"/>
        <v>22.336521354764173</v>
      </c>
      <c r="R974" s="136">
        <f t="shared" ca="1" si="286"/>
        <v>2.4655132978814391</v>
      </c>
      <c r="S974" s="136">
        <f t="shared" ca="1" si="287"/>
        <v>2.6208602766928046</v>
      </c>
      <c r="T974" s="104">
        <f t="shared" ca="1" si="288"/>
        <v>0</v>
      </c>
      <c r="U974" s="120">
        <f t="shared" ca="1" si="289"/>
        <v>1327.1453149748754</v>
      </c>
      <c r="V974" s="104">
        <f t="shared" ca="1" si="290"/>
        <v>0</v>
      </c>
      <c r="W974" s="133">
        <f t="shared" ca="1" si="291"/>
        <v>4638.2877688133131</v>
      </c>
      <c r="X974" s="104">
        <f t="shared" ca="1" si="292"/>
        <v>0</v>
      </c>
    </row>
    <row r="975" spans="1:24" x14ac:dyDescent="0.2">
      <c r="A975" s="98">
        <v>3</v>
      </c>
      <c r="B975" s="98">
        <v>1</v>
      </c>
      <c r="C975" s="98">
        <f t="shared" si="274"/>
        <v>8</v>
      </c>
      <c r="D975" s="98">
        <f t="shared" si="275"/>
        <v>7</v>
      </c>
      <c r="E975" s="98">
        <f t="shared" si="276"/>
        <v>3</v>
      </c>
      <c r="F975" s="118">
        <f t="shared" ca="1" si="277"/>
        <v>9.5331599999999989E-3</v>
      </c>
      <c r="G975" s="98">
        <v>1</v>
      </c>
      <c r="H975" s="98">
        <v>0</v>
      </c>
      <c r="I975" s="98">
        <v>7</v>
      </c>
      <c r="J975" s="118">
        <f t="shared" ca="1" si="278"/>
        <v>0.66342043128906247</v>
      </c>
      <c r="K975" s="118">
        <f t="shared" ca="1" si="279"/>
        <v>6.3244931187476381E-3</v>
      </c>
      <c r="L975" s="133">
        <f t="shared" ca="1" si="280"/>
        <v>252</v>
      </c>
      <c r="M975" s="130">
        <f t="shared" ca="1" si="281"/>
        <v>748</v>
      </c>
      <c r="N975" s="100">
        <f t="shared" ca="1" si="282"/>
        <v>4</v>
      </c>
      <c r="O975" s="136">
        <f t="shared" ca="1" si="283"/>
        <v>2.6973744602864622</v>
      </c>
      <c r="P975" s="136">
        <f t="shared" ca="1" si="284"/>
        <v>26.973744602864617</v>
      </c>
      <c r="Q975" s="136">
        <f t="shared" ca="1" si="285"/>
        <v>26.973744602864617</v>
      </c>
      <c r="R975" s="136">
        <f t="shared" ca="1" si="286"/>
        <v>2.6973744602864618</v>
      </c>
      <c r="S975" s="136">
        <f t="shared" ca="1" si="287"/>
        <v>2.6973744602864622</v>
      </c>
      <c r="T975" s="104">
        <f t="shared" ca="1" si="288"/>
        <v>1.7059526212767354E-2</v>
      </c>
      <c r="U975" s="120">
        <f t="shared" ca="1" si="289"/>
        <v>1271.0695270312358</v>
      </c>
      <c r="V975" s="104">
        <f t="shared" ca="1" si="290"/>
        <v>8.0388704771588664</v>
      </c>
      <c r="W975" s="133">
        <f t="shared" ca="1" si="291"/>
        <v>17703.88711758321</v>
      </c>
      <c r="X975" s="104">
        <f t="shared" ca="1" si="292"/>
        <v>111.96811225023997</v>
      </c>
    </row>
    <row r="976" spans="1:24" x14ac:dyDescent="0.2">
      <c r="A976" s="98">
        <v>3</v>
      </c>
      <c r="B976" s="98">
        <v>1</v>
      </c>
      <c r="C976" s="98">
        <f t="shared" si="274"/>
        <v>8</v>
      </c>
      <c r="D976" s="98">
        <f t="shared" si="275"/>
        <v>7</v>
      </c>
      <c r="E976" s="98">
        <f t="shared" si="276"/>
        <v>3</v>
      </c>
      <c r="F976" s="118">
        <f t="shared" ca="1" si="277"/>
        <v>9.5331599999999989E-3</v>
      </c>
      <c r="G976" s="98">
        <v>1</v>
      </c>
      <c r="H976" s="98">
        <v>0</v>
      </c>
      <c r="I976" s="98">
        <v>6</v>
      </c>
      <c r="J976" s="118">
        <f t="shared" ca="1" si="278"/>
        <v>0.24441805363281272</v>
      </c>
      <c r="K976" s="118">
        <f t="shared" ca="1" si="279"/>
        <v>2.3300764121701846E-3</v>
      </c>
      <c r="L976" s="133">
        <f t="shared" ca="1" si="280"/>
        <v>240</v>
      </c>
      <c r="M976" s="130">
        <f t="shared" ca="1" si="281"/>
        <v>760</v>
      </c>
      <c r="N976" s="100">
        <f t="shared" ca="1" si="282"/>
        <v>4</v>
      </c>
      <c r="O976" s="136">
        <f t="shared" ca="1" si="283"/>
        <v>2.6973744602864622</v>
      </c>
      <c r="P976" s="136">
        <f t="shared" ca="1" si="284"/>
        <v>26.973744602864617</v>
      </c>
      <c r="Q976" s="136">
        <f t="shared" ca="1" si="285"/>
        <v>26.973744602864617</v>
      </c>
      <c r="R976" s="136">
        <f t="shared" ca="1" si="286"/>
        <v>2.6973744602864618</v>
      </c>
      <c r="S976" s="136">
        <f t="shared" ca="1" si="287"/>
        <v>2.6973744602864622</v>
      </c>
      <c r="T976" s="104">
        <f t="shared" ca="1" si="288"/>
        <v>6.2850886047037683E-3</v>
      </c>
      <c r="U976" s="120">
        <f t="shared" ca="1" si="289"/>
        <v>1259.0695270312358</v>
      </c>
      <c r="V976" s="104">
        <f t="shared" ca="1" si="290"/>
        <v>2.933728206217753</v>
      </c>
      <c r="W976" s="133">
        <f t="shared" ca="1" si="291"/>
        <v>15526.287226121562</v>
      </c>
      <c r="X976" s="104">
        <f t="shared" ca="1" si="292"/>
        <v>36.1774356341651</v>
      </c>
    </row>
    <row r="977" spans="1:24" x14ac:dyDescent="0.2">
      <c r="A977" s="98">
        <v>3</v>
      </c>
      <c r="B977" s="98">
        <v>1</v>
      </c>
      <c r="C977" s="98">
        <f t="shared" si="274"/>
        <v>8</v>
      </c>
      <c r="D977" s="98">
        <f t="shared" si="275"/>
        <v>7</v>
      </c>
      <c r="E977" s="98">
        <f t="shared" si="276"/>
        <v>3</v>
      </c>
      <c r="F977" s="118">
        <f t="shared" ca="1" si="277"/>
        <v>9.5331599999999989E-3</v>
      </c>
      <c r="G977" s="98">
        <v>1</v>
      </c>
      <c r="H977" s="98">
        <v>0</v>
      </c>
      <c r="I977" s="98">
        <v>5</v>
      </c>
      <c r="J977" s="118">
        <f t="shared" ca="1" si="278"/>
        <v>3.8592324257812567E-2</v>
      </c>
      <c r="K977" s="118">
        <f t="shared" ca="1" si="279"/>
        <v>3.6790680192160842E-4</v>
      </c>
      <c r="L977" s="133">
        <f t="shared" ca="1" si="280"/>
        <v>228</v>
      </c>
      <c r="M977" s="130">
        <f t="shared" ca="1" si="281"/>
        <v>772</v>
      </c>
      <c r="N977" s="100">
        <f t="shared" ca="1" si="282"/>
        <v>4</v>
      </c>
      <c r="O977" s="136">
        <f t="shared" ca="1" si="283"/>
        <v>2.6973744602864622</v>
      </c>
      <c r="P977" s="136">
        <f t="shared" ca="1" si="284"/>
        <v>26.973744602864617</v>
      </c>
      <c r="Q977" s="136">
        <f t="shared" ca="1" si="285"/>
        <v>26.973744602864617</v>
      </c>
      <c r="R977" s="136">
        <f t="shared" ca="1" si="286"/>
        <v>2.6973744602864618</v>
      </c>
      <c r="S977" s="136">
        <f t="shared" ca="1" si="287"/>
        <v>2.6973744602864622</v>
      </c>
      <c r="T977" s="104">
        <f t="shared" ca="1" si="288"/>
        <v>9.9238241126901688E-4</v>
      </c>
      <c r="U977" s="120">
        <f t="shared" ca="1" si="289"/>
        <v>1247.0695270312358</v>
      </c>
      <c r="V977" s="104">
        <f t="shared" ca="1" si="290"/>
        <v>0.45880536146395479</v>
      </c>
      <c r="W977" s="133">
        <f t="shared" ca="1" si="291"/>
        <v>13348.687334659911</v>
      </c>
      <c r="X977" s="104">
        <f t="shared" ca="1" si="292"/>
        <v>4.9110728671462072</v>
      </c>
    </row>
    <row r="978" spans="1:24" x14ac:dyDescent="0.2">
      <c r="A978" s="98">
        <v>3</v>
      </c>
      <c r="B978" s="98">
        <v>1</v>
      </c>
      <c r="C978" s="98">
        <f t="shared" si="274"/>
        <v>8</v>
      </c>
      <c r="D978" s="98">
        <f t="shared" si="275"/>
        <v>7</v>
      </c>
      <c r="E978" s="98">
        <f t="shared" si="276"/>
        <v>3</v>
      </c>
      <c r="F978" s="118">
        <f t="shared" ca="1" si="277"/>
        <v>9.5331599999999989E-3</v>
      </c>
      <c r="G978" s="98">
        <v>1</v>
      </c>
      <c r="H978" s="98">
        <v>0</v>
      </c>
      <c r="I978" s="98">
        <v>4</v>
      </c>
      <c r="J978" s="118">
        <f t="shared" ca="1" si="278"/>
        <v>3.3852916015625085E-3</v>
      </c>
      <c r="K978" s="118">
        <f t="shared" ca="1" si="279"/>
        <v>3.2272526484351638E-5</v>
      </c>
      <c r="L978" s="133">
        <f t="shared" ca="1" si="280"/>
        <v>216</v>
      </c>
      <c r="M978" s="130">
        <f t="shared" ca="1" si="281"/>
        <v>784</v>
      </c>
      <c r="N978" s="100">
        <f t="shared" ca="1" si="282"/>
        <v>4</v>
      </c>
      <c r="O978" s="136">
        <f t="shared" ca="1" si="283"/>
        <v>2.6973744602864622</v>
      </c>
      <c r="P978" s="136">
        <f t="shared" ca="1" si="284"/>
        <v>26.973744602864617</v>
      </c>
      <c r="Q978" s="136">
        <f t="shared" ca="1" si="285"/>
        <v>26.973744602864617</v>
      </c>
      <c r="R978" s="136">
        <f t="shared" ca="1" si="286"/>
        <v>2.6973744602864618</v>
      </c>
      <c r="S978" s="136">
        <f t="shared" ca="1" si="287"/>
        <v>2.6973744602864622</v>
      </c>
      <c r="T978" s="104">
        <f t="shared" ca="1" si="288"/>
        <v>8.7051088707808559E-5</v>
      </c>
      <c r="U978" s="120">
        <f t="shared" ca="1" si="289"/>
        <v>1235.0695270312358</v>
      </c>
      <c r="V978" s="104">
        <f t="shared" ca="1" si="290"/>
        <v>3.9858814021131207E-2</v>
      </c>
      <c r="W978" s="133">
        <f t="shared" ca="1" si="291"/>
        <v>11171.087443198261</v>
      </c>
      <c r="X978" s="104">
        <f t="shared" ca="1" si="292"/>
        <v>0.36051921536962389</v>
      </c>
    </row>
    <row r="979" spans="1:24" x14ac:dyDescent="0.2">
      <c r="A979" s="98">
        <v>3</v>
      </c>
      <c r="B979" s="98">
        <v>1</v>
      </c>
      <c r="C979" s="98">
        <f t="shared" si="274"/>
        <v>8</v>
      </c>
      <c r="D979" s="98">
        <f t="shared" si="275"/>
        <v>7</v>
      </c>
      <c r="E979" s="98">
        <f t="shared" si="276"/>
        <v>3</v>
      </c>
      <c r="F979" s="118">
        <f t="shared" ca="1" si="277"/>
        <v>9.5331599999999989E-3</v>
      </c>
      <c r="G979" s="98">
        <v>1</v>
      </c>
      <c r="H979" s="98">
        <v>0</v>
      </c>
      <c r="I979" s="98">
        <v>3</v>
      </c>
      <c r="J979" s="118">
        <f t="shared" ca="1" si="278"/>
        <v>1.7817324218750058E-4</v>
      </c>
      <c r="K979" s="118">
        <f t="shared" ca="1" si="279"/>
        <v>1.6985540254921928E-6</v>
      </c>
      <c r="L979" s="133">
        <f t="shared" ca="1" si="280"/>
        <v>204</v>
      </c>
      <c r="M979" s="130">
        <f t="shared" ca="1" si="281"/>
        <v>796</v>
      </c>
      <c r="N979" s="100">
        <f t="shared" ca="1" si="282"/>
        <v>4</v>
      </c>
      <c r="O979" s="136">
        <f t="shared" ca="1" si="283"/>
        <v>2.6973744602864622</v>
      </c>
      <c r="P979" s="136">
        <f t="shared" ca="1" si="284"/>
        <v>26.973744602864617</v>
      </c>
      <c r="Q979" s="136">
        <f t="shared" ca="1" si="285"/>
        <v>26.973744602864617</v>
      </c>
      <c r="R979" s="136">
        <f t="shared" ca="1" si="286"/>
        <v>2.6973744602864618</v>
      </c>
      <c r="S979" s="136">
        <f t="shared" ca="1" si="287"/>
        <v>2.6973744602864622</v>
      </c>
      <c r="T979" s="104">
        <f t="shared" ca="1" si="288"/>
        <v>4.5816362477794009E-6</v>
      </c>
      <c r="U979" s="120">
        <f t="shared" ca="1" si="289"/>
        <v>1223.0695270312358</v>
      </c>
      <c r="V979" s="104">
        <f t="shared" ca="1" si="290"/>
        <v>2.0774496685957377E-3</v>
      </c>
      <c r="W979" s="133">
        <f t="shared" ca="1" si="291"/>
        <v>8993.4875517366127</v>
      </c>
      <c r="X979" s="104">
        <f t="shared" ca="1" si="292"/>
        <v>1.5275924484216148E-2</v>
      </c>
    </row>
    <row r="980" spans="1:24" x14ac:dyDescent="0.2">
      <c r="A980" s="98">
        <v>3</v>
      </c>
      <c r="B980" s="98">
        <v>1</v>
      </c>
      <c r="C980" s="98">
        <f t="shared" si="274"/>
        <v>8</v>
      </c>
      <c r="D980" s="98">
        <f t="shared" si="275"/>
        <v>7</v>
      </c>
      <c r="E980" s="98">
        <f t="shared" si="276"/>
        <v>3</v>
      </c>
      <c r="F980" s="118">
        <f t="shared" ca="1" si="277"/>
        <v>9.5331599999999989E-3</v>
      </c>
      <c r="G980" s="98">
        <v>1</v>
      </c>
      <c r="H980" s="98">
        <v>0</v>
      </c>
      <c r="I980" s="98">
        <v>2</v>
      </c>
      <c r="J980" s="118">
        <f t="shared" ca="1" si="278"/>
        <v>5.6265234375000243E-6</v>
      </c>
      <c r="K980" s="118">
        <f t="shared" ca="1" si="279"/>
        <v>5.3638548173437728E-8</v>
      </c>
      <c r="L980" s="133">
        <f t="shared" ca="1" si="280"/>
        <v>192</v>
      </c>
      <c r="M980" s="130">
        <f t="shared" ca="1" si="281"/>
        <v>808</v>
      </c>
      <c r="N980" s="100">
        <f t="shared" ca="1" si="282"/>
        <v>4</v>
      </c>
      <c r="O980" s="136">
        <f t="shared" ca="1" si="283"/>
        <v>2.6973744602864622</v>
      </c>
      <c r="P980" s="136">
        <f t="shared" ca="1" si="284"/>
        <v>26.973744602864617</v>
      </c>
      <c r="Q980" s="136">
        <f t="shared" ca="1" si="285"/>
        <v>26.973744602864617</v>
      </c>
      <c r="R980" s="136">
        <f t="shared" ca="1" si="286"/>
        <v>2.6973744602864618</v>
      </c>
      <c r="S980" s="136">
        <f t="shared" ca="1" si="287"/>
        <v>2.6973744602864622</v>
      </c>
      <c r="T980" s="104">
        <f t="shared" ca="1" si="288"/>
        <v>1.44683249929876E-7</v>
      </c>
      <c r="U980" s="120">
        <f t="shared" ca="1" si="289"/>
        <v>1211.0695270312358</v>
      </c>
      <c r="V980" s="104">
        <f t="shared" ca="1" si="290"/>
        <v>6.4960011167047391E-5</v>
      </c>
      <c r="W980" s="133">
        <f t="shared" ca="1" si="291"/>
        <v>6815.8876602749624</v>
      </c>
      <c r="X980" s="104">
        <f t="shared" ca="1" si="292"/>
        <v>3.6559431861039833E-4</v>
      </c>
    </row>
    <row r="981" spans="1:24" x14ac:dyDescent="0.2">
      <c r="A981" s="98">
        <v>3</v>
      </c>
      <c r="B981" s="98">
        <v>1</v>
      </c>
      <c r="C981" s="98">
        <f t="shared" si="274"/>
        <v>8</v>
      </c>
      <c r="D981" s="98">
        <f t="shared" si="275"/>
        <v>7</v>
      </c>
      <c r="E981" s="98">
        <f t="shared" si="276"/>
        <v>3</v>
      </c>
      <c r="F981" s="118">
        <f t="shared" ca="1" si="277"/>
        <v>9.5331599999999989E-3</v>
      </c>
      <c r="G981" s="98">
        <v>1</v>
      </c>
      <c r="H981" s="98">
        <v>0</v>
      </c>
      <c r="I981" s="98">
        <v>1</v>
      </c>
      <c r="J981" s="118">
        <f t="shared" ca="1" si="278"/>
        <v>9.8710937500000504E-8</v>
      </c>
      <c r="K981" s="118">
        <f t="shared" ca="1" si="279"/>
        <v>9.4102716093750476E-10</v>
      </c>
      <c r="L981" s="133">
        <f t="shared" ca="1" si="280"/>
        <v>180</v>
      </c>
      <c r="M981" s="130">
        <f t="shared" ca="1" si="281"/>
        <v>820</v>
      </c>
      <c r="N981" s="100">
        <f t="shared" ca="1" si="282"/>
        <v>4</v>
      </c>
      <c r="O981" s="136">
        <f t="shared" ca="1" si="283"/>
        <v>2.6973744602864622</v>
      </c>
      <c r="P981" s="136">
        <f t="shared" ca="1" si="284"/>
        <v>26.973744602864617</v>
      </c>
      <c r="Q981" s="136">
        <f t="shared" ca="1" si="285"/>
        <v>26.973744602864617</v>
      </c>
      <c r="R981" s="136">
        <f t="shared" ca="1" si="286"/>
        <v>2.6973744602864618</v>
      </c>
      <c r="S981" s="136">
        <f t="shared" ca="1" si="287"/>
        <v>2.6973744602864622</v>
      </c>
      <c r="T981" s="104">
        <f t="shared" ca="1" si="288"/>
        <v>2.5383026303487039E-9</v>
      </c>
      <c r="U981" s="120">
        <f t="shared" ca="1" si="289"/>
        <v>1199.0695270312358</v>
      </c>
      <c r="V981" s="104">
        <f t="shared" ca="1" si="290"/>
        <v>1.1283569927888805E-6</v>
      </c>
      <c r="W981" s="133">
        <f t="shared" ca="1" si="291"/>
        <v>4638.2877688133131</v>
      </c>
      <c r="X981" s="104">
        <f t="shared" ca="1" si="292"/>
        <v>4.3647547706975453E-6</v>
      </c>
    </row>
    <row r="982" spans="1:24" x14ac:dyDescent="0.2">
      <c r="A982" s="98">
        <v>3</v>
      </c>
      <c r="B982" s="98">
        <v>1</v>
      </c>
      <c r="C982" s="98">
        <f t="shared" si="274"/>
        <v>8</v>
      </c>
      <c r="D982" s="98">
        <f t="shared" si="275"/>
        <v>7</v>
      </c>
      <c r="E982" s="98">
        <f t="shared" si="276"/>
        <v>3</v>
      </c>
      <c r="F982" s="118">
        <f t="shared" ca="1" si="277"/>
        <v>9.5331599999999989E-3</v>
      </c>
      <c r="G982" s="98">
        <v>1</v>
      </c>
      <c r="H982" s="98">
        <v>0</v>
      </c>
      <c r="I982" s="98">
        <v>0</v>
      </c>
      <c r="J982" s="118">
        <f t="shared" ca="1" si="278"/>
        <v>7.4218750000000458E-10</v>
      </c>
      <c r="K982" s="118">
        <f t="shared" ca="1" si="279"/>
        <v>7.0753921875000431E-12</v>
      </c>
      <c r="L982" s="133">
        <f t="shared" ca="1" si="280"/>
        <v>168</v>
      </c>
      <c r="M982" s="130">
        <f t="shared" ca="1" si="281"/>
        <v>832</v>
      </c>
      <c r="N982" s="100">
        <f t="shared" ca="1" si="282"/>
        <v>4</v>
      </c>
      <c r="O982" s="136">
        <f t="shared" ca="1" si="283"/>
        <v>2.6973744602864622</v>
      </c>
      <c r="P982" s="136">
        <f t="shared" ca="1" si="284"/>
        <v>26.973744602864617</v>
      </c>
      <c r="Q982" s="136">
        <f t="shared" ca="1" si="285"/>
        <v>26.973744602864617</v>
      </c>
      <c r="R982" s="136">
        <f t="shared" ca="1" si="286"/>
        <v>2.6973744602864618</v>
      </c>
      <c r="S982" s="136">
        <f t="shared" ca="1" si="287"/>
        <v>2.6973744602864622</v>
      </c>
      <c r="T982" s="104">
        <f t="shared" ca="1" si="288"/>
        <v>1.908498218307298E-11</v>
      </c>
      <c r="U982" s="120">
        <f t="shared" ca="1" si="289"/>
        <v>1187.0695270312358</v>
      </c>
      <c r="V982" s="104">
        <f t="shared" ca="1" si="290"/>
        <v>8.3989824575761768E-9</v>
      </c>
      <c r="W982" s="133">
        <f t="shared" ca="1" si="291"/>
        <v>2460.6878773516637</v>
      </c>
      <c r="X982" s="104">
        <f t="shared" ca="1" si="292"/>
        <v>1.7410331783290027E-8</v>
      </c>
    </row>
    <row r="983" spans="1:24" x14ac:dyDescent="0.2">
      <c r="A983" s="98">
        <v>3</v>
      </c>
      <c r="B983" s="98">
        <v>1</v>
      </c>
      <c r="C983" s="98">
        <f t="shared" si="274"/>
        <v>8</v>
      </c>
      <c r="D983" s="98">
        <f t="shared" si="275"/>
        <v>7</v>
      </c>
      <c r="E983" s="98">
        <f t="shared" si="276"/>
        <v>3</v>
      </c>
      <c r="F983" s="118">
        <f t="shared" ca="1" si="277"/>
        <v>9.5331599999999989E-3</v>
      </c>
      <c r="G983" s="98">
        <v>0</v>
      </c>
      <c r="H983" s="98">
        <v>1</v>
      </c>
      <c r="I983" s="98">
        <v>7</v>
      </c>
      <c r="J983" s="118">
        <f t="shared" ca="1" si="278"/>
        <v>0</v>
      </c>
      <c r="K983" s="118">
        <f t="shared" ca="1" si="279"/>
        <v>0</v>
      </c>
      <c r="L983" s="133">
        <f t="shared" ca="1" si="280"/>
        <v>252</v>
      </c>
      <c r="M983" s="130">
        <f t="shared" ca="1" si="281"/>
        <v>748</v>
      </c>
      <c r="N983" s="100">
        <f t="shared" ca="1" si="282"/>
        <v>4</v>
      </c>
      <c r="O983" s="136">
        <f t="shared" ca="1" si="283"/>
        <v>2.6973744602864622</v>
      </c>
      <c r="P983" s="136">
        <f t="shared" ca="1" si="284"/>
        <v>26.973744602864617</v>
      </c>
      <c r="Q983" s="136">
        <f t="shared" ca="1" si="285"/>
        <v>26.973744602864617</v>
      </c>
      <c r="R983" s="136">
        <f t="shared" ca="1" si="286"/>
        <v>2.6973744602864618</v>
      </c>
      <c r="S983" s="136">
        <f t="shared" ca="1" si="287"/>
        <v>2.6973744602864622</v>
      </c>
      <c r="T983" s="104">
        <f t="shared" ca="1" si="288"/>
        <v>0</v>
      </c>
      <c r="U983" s="120">
        <f t="shared" ca="1" si="289"/>
        <v>1271.0695270312358</v>
      </c>
      <c r="V983" s="104">
        <f t="shared" ca="1" si="290"/>
        <v>0</v>
      </c>
      <c r="W983" s="133">
        <f t="shared" ca="1" si="291"/>
        <v>17420.799131693195</v>
      </c>
      <c r="X983" s="104">
        <f t="shared" ca="1" si="292"/>
        <v>0</v>
      </c>
    </row>
    <row r="984" spans="1:24" x14ac:dyDescent="0.2">
      <c r="A984" s="98">
        <v>3</v>
      </c>
      <c r="B984" s="98">
        <v>1</v>
      </c>
      <c r="C984" s="98">
        <f t="shared" si="274"/>
        <v>8</v>
      </c>
      <c r="D984" s="98">
        <f t="shared" si="275"/>
        <v>7</v>
      </c>
      <c r="E984" s="98">
        <f t="shared" si="276"/>
        <v>3</v>
      </c>
      <c r="F984" s="118">
        <f t="shared" ca="1" si="277"/>
        <v>9.5331599999999989E-3</v>
      </c>
      <c r="G984" s="98">
        <v>0</v>
      </c>
      <c r="H984" s="98">
        <v>1</v>
      </c>
      <c r="I984" s="98">
        <v>6</v>
      </c>
      <c r="J984" s="118">
        <f t="shared" ca="1" si="278"/>
        <v>0</v>
      </c>
      <c r="K984" s="118">
        <f t="shared" ca="1" si="279"/>
        <v>0</v>
      </c>
      <c r="L984" s="133">
        <f t="shared" ca="1" si="280"/>
        <v>240</v>
      </c>
      <c r="M984" s="130">
        <f t="shared" ca="1" si="281"/>
        <v>760</v>
      </c>
      <c r="N984" s="100">
        <f t="shared" ca="1" si="282"/>
        <v>4</v>
      </c>
      <c r="O984" s="136">
        <f t="shared" ca="1" si="283"/>
        <v>2.6973744602864622</v>
      </c>
      <c r="P984" s="136">
        <f t="shared" ca="1" si="284"/>
        <v>26.973744602864617</v>
      </c>
      <c r="Q984" s="136">
        <f t="shared" ca="1" si="285"/>
        <v>26.973744602864617</v>
      </c>
      <c r="R984" s="136">
        <f t="shared" ca="1" si="286"/>
        <v>2.6973744602864618</v>
      </c>
      <c r="S984" s="136">
        <f t="shared" ca="1" si="287"/>
        <v>2.6973744602864622</v>
      </c>
      <c r="T984" s="104">
        <f t="shared" ca="1" si="288"/>
        <v>0</v>
      </c>
      <c r="U984" s="120">
        <f t="shared" ca="1" si="289"/>
        <v>1259.0695270312358</v>
      </c>
      <c r="V984" s="104">
        <f t="shared" ca="1" si="290"/>
        <v>0</v>
      </c>
      <c r="W984" s="133">
        <f t="shared" ca="1" si="291"/>
        <v>15243.199240231548</v>
      </c>
      <c r="X984" s="104">
        <f t="shared" ca="1" si="292"/>
        <v>0</v>
      </c>
    </row>
    <row r="985" spans="1:24" x14ac:dyDescent="0.2">
      <c r="A985" s="98">
        <v>3</v>
      </c>
      <c r="B985" s="98">
        <v>1</v>
      </c>
      <c r="C985" s="98">
        <f t="shared" si="274"/>
        <v>8</v>
      </c>
      <c r="D985" s="98">
        <f t="shared" si="275"/>
        <v>7</v>
      </c>
      <c r="E985" s="98">
        <f t="shared" si="276"/>
        <v>3</v>
      </c>
      <c r="F985" s="118">
        <f t="shared" ca="1" si="277"/>
        <v>9.5331599999999989E-3</v>
      </c>
      <c r="G985" s="98">
        <v>0</v>
      </c>
      <c r="H985" s="98">
        <v>1</v>
      </c>
      <c r="I985" s="98">
        <v>5</v>
      </c>
      <c r="J985" s="118">
        <f t="shared" ca="1" si="278"/>
        <v>0</v>
      </c>
      <c r="K985" s="118">
        <f t="shared" ca="1" si="279"/>
        <v>0</v>
      </c>
      <c r="L985" s="133">
        <f t="shared" ca="1" si="280"/>
        <v>228</v>
      </c>
      <c r="M985" s="130">
        <f t="shared" ca="1" si="281"/>
        <v>772</v>
      </c>
      <c r="N985" s="100">
        <f t="shared" ca="1" si="282"/>
        <v>4</v>
      </c>
      <c r="O985" s="136">
        <f t="shared" ca="1" si="283"/>
        <v>2.6973744602864622</v>
      </c>
      <c r="P985" s="136">
        <f t="shared" ca="1" si="284"/>
        <v>26.973744602864617</v>
      </c>
      <c r="Q985" s="136">
        <f t="shared" ca="1" si="285"/>
        <v>26.973744602864617</v>
      </c>
      <c r="R985" s="136">
        <f t="shared" ca="1" si="286"/>
        <v>2.6973744602864618</v>
      </c>
      <c r="S985" s="136">
        <f t="shared" ca="1" si="287"/>
        <v>2.6973744602864622</v>
      </c>
      <c r="T985" s="104">
        <f t="shared" ca="1" si="288"/>
        <v>0</v>
      </c>
      <c r="U985" s="120">
        <f t="shared" ca="1" si="289"/>
        <v>1247.0695270312358</v>
      </c>
      <c r="V985" s="104">
        <f t="shared" ca="1" si="290"/>
        <v>0</v>
      </c>
      <c r="W985" s="133">
        <f t="shared" ca="1" si="291"/>
        <v>13065.599348769898</v>
      </c>
      <c r="X985" s="104">
        <f t="shared" ca="1" si="292"/>
        <v>0</v>
      </c>
    </row>
    <row r="986" spans="1:24" x14ac:dyDescent="0.2">
      <c r="A986" s="98">
        <v>3</v>
      </c>
      <c r="B986" s="98">
        <v>1</v>
      </c>
      <c r="C986" s="98">
        <f t="shared" si="274"/>
        <v>8</v>
      </c>
      <c r="D986" s="98">
        <f t="shared" si="275"/>
        <v>7</v>
      </c>
      <c r="E986" s="98">
        <f t="shared" si="276"/>
        <v>3</v>
      </c>
      <c r="F986" s="118">
        <f t="shared" ca="1" si="277"/>
        <v>9.5331599999999989E-3</v>
      </c>
      <c r="G986" s="98">
        <v>0</v>
      </c>
      <c r="H986" s="98">
        <v>1</v>
      </c>
      <c r="I986" s="98">
        <v>4</v>
      </c>
      <c r="J986" s="118">
        <f t="shared" ca="1" si="278"/>
        <v>0</v>
      </c>
      <c r="K986" s="118">
        <f t="shared" ca="1" si="279"/>
        <v>0</v>
      </c>
      <c r="L986" s="133">
        <f t="shared" ca="1" si="280"/>
        <v>216</v>
      </c>
      <c r="M986" s="130">
        <f t="shared" ca="1" si="281"/>
        <v>784</v>
      </c>
      <c r="N986" s="100">
        <f t="shared" ca="1" si="282"/>
        <v>4</v>
      </c>
      <c r="O986" s="136">
        <f t="shared" ca="1" si="283"/>
        <v>2.6973744602864622</v>
      </c>
      <c r="P986" s="136">
        <f t="shared" ca="1" si="284"/>
        <v>26.973744602864617</v>
      </c>
      <c r="Q986" s="136">
        <f t="shared" ca="1" si="285"/>
        <v>26.973744602864617</v>
      </c>
      <c r="R986" s="136">
        <f t="shared" ca="1" si="286"/>
        <v>2.6973744602864618</v>
      </c>
      <c r="S986" s="136">
        <f t="shared" ca="1" si="287"/>
        <v>2.6973744602864622</v>
      </c>
      <c r="T986" s="104">
        <f t="shared" ca="1" si="288"/>
        <v>0</v>
      </c>
      <c r="U986" s="120">
        <f t="shared" ca="1" si="289"/>
        <v>1235.0695270312358</v>
      </c>
      <c r="V986" s="104">
        <f t="shared" ca="1" si="290"/>
        <v>0</v>
      </c>
      <c r="W986" s="133">
        <f t="shared" ca="1" si="291"/>
        <v>10887.999457308248</v>
      </c>
      <c r="X986" s="104">
        <f t="shared" ca="1" si="292"/>
        <v>0</v>
      </c>
    </row>
    <row r="987" spans="1:24" x14ac:dyDescent="0.2">
      <c r="A987" s="98">
        <v>3</v>
      </c>
      <c r="B987" s="98">
        <v>1</v>
      </c>
      <c r="C987" s="98">
        <f t="shared" si="274"/>
        <v>8</v>
      </c>
      <c r="D987" s="98">
        <f t="shared" si="275"/>
        <v>7</v>
      </c>
      <c r="E987" s="98">
        <f t="shared" si="276"/>
        <v>3</v>
      </c>
      <c r="F987" s="118">
        <f t="shared" ca="1" si="277"/>
        <v>9.5331599999999989E-3</v>
      </c>
      <c r="G987" s="98">
        <v>0</v>
      </c>
      <c r="H987" s="98">
        <v>1</v>
      </c>
      <c r="I987" s="98">
        <v>3</v>
      </c>
      <c r="J987" s="118">
        <f t="shared" ca="1" si="278"/>
        <v>0</v>
      </c>
      <c r="K987" s="118">
        <f t="shared" ca="1" si="279"/>
        <v>0</v>
      </c>
      <c r="L987" s="133">
        <f t="shared" ca="1" si="280"/>
        <v>204</v>
      </c>
      <c r="M987" s="130">
        <f t="shared" ca="1" si="281"/>
        <v>796</v>
      </c>
      <c r="N987" s="100">
        <f t="shared" ca="1" si="282"/>
        <v>4</v>
      </c>
      <c r="O987" s="136">
        <f t="shared" ca="1" si="283"/>
        <v>2.6973744602864622</v>
      </c>
      <c r="P987" s="136">
        <f t="shared" ca="1" si="284"/>
        <v>26.973744602864617</v>
      </c>
      <c r="Q987" s="136">
        <f t="shared" ca="1" si="285"/>
        <v>26.973744602864617</v>
      </c>
      <c r="R987" s="136">
        <f t="shared" ca="1" si="286"/>
        <v>2.6973744602864618</v>
      </c>
      <c r="S987" s="136">
        <f t="shared" ca="1" si="287"/>
        <v>2.6973744602864622</v>
      </c>
      <c r="T987" s="104">
        <f t="shared" ca="1" si="288"/>
        <v>0</v>
      </c>
      <c r="U987" s="120">
        <f t="shared" ca="1" si="289"/>
        <v>1223.0695270312358</v>
      </c>
      <c r="V987" s="104">
        <f t="shared" ca="1" si="290"/>
        <v>0</v>
      </c>
      <c r="W987" s="133">
        <f t="shared" ca="1" si="291"/>
        <v>8710.3995658465974</v>
      </c>
      <c r="X987" s="104">
        <f t="shared" ca="1" si="292"/>
        <v>0</v>
      </c>
    </row>
    <row r="988" spans="1:24" x14ac:dyDescent="0.2">
      <c r="A988" s="98">
        <v>3</v>
      </c>
      <c r="B988" s="98">
        <v>1</v>
      </c>
      <c r="C988" s="98">
        <f t="shared" si="274"/>
        <v>8</v>
      </c>
      <c r="D988" s="98">
        <f t="shared" si="275"/>
        <v>7</v>
      </c>
      <c r="E988" s="98">
        <f t="shared" si="276"/>
        <v>3</v>
      </c>
      <c r="F988" s="118">
        <f t="shared" ca="1" si="277"/>
        <v>9.5331599999999989E-3</v>
      </c>
      <c r="G988" s="98">
        <v>0</v>
      </c>
      <c r="H988" s="98">
        <v>1</v>
      </c>
      <c r="I988" s="98">
        <v>2</v>
      </c>
      <c r="J988" s="118">
        <f t="shared" ca="1" si="278"/>
        <v>0</v>
      </c>
      <c r="K988" s="118">
        <f t="shared" ca="1" si="279"/>
        <v>0</v>
      </c>
      <c r="L988" s="133">
        <f t="shared" ca="1" si="280"/>
        <v>192</v>
      </c>
      <c r="M988" s="130">
        <f t="shared" ca="1" si="281"/>
        <v>808</v>
      </c>
      <c r="N988" s="100">
        <f t="shared" ca="1" si="282"/>
        <v>4</v>
      </c>
      <c r="O988" s="136">
        <f t="shared" ca="1" si="283"/>
        <v>2.6973744602864622</v>
      </c>
      <c r="P988" s="136">
        <f t="shared" ca="1" si="284"/>
        <v>26.973744602864617</v>
      </c>
      <c r="Q988" s="136">
        <f t="shared" ca="1" si="285"/>
        <v>26.973744602864617</v>
      </c>
      <c r="R988" s="136">
        <f t="shared" ca="1" si="286"/>
        <v>2.6973744602864618</v>
      </c>
      <c r="S988" s="136">
        <f t="shared" ca="1" si="287"/>
        <v>2.6973744602864622</v>
      </c>
      <c r="T988" s="104">
        <f t="shared" ca="1" si="288"/>
        <v>0</v>
      </c>
      <c r="U988" s="120">
        <f t="shared" ca="1" si="289"/>
        <v>1211.0695270312358</v>
      </c>
      <c r="V988" s="104">
        <f t="shared" ca="1" si="290"/>
        <v>0</v>
      </c>
      <c r="W988" s="133">
        <f t="shared" ca="1" si="291"/>
        <v>6532.799674384948</v>
      </c>
      <c r="X988" s="104">
        <f t="shared" ca="1" si="292"/>
        <v>0</v>
      </c>
    </row>
    <row r="989" spans="1:24" x14ac:dyDescent="0.2">
      <c r="A989" s="98">
        <v>3</v>
      </c>
      <c r="B989" s="98">
        <v>1</v>
      </c>
      <c r="C989" s="98">
        <f t="shared" si="274"/>
        <v>8</v>
      </c>
      <c r="D989" s="98">
        <f t="shared" si="275"/>
        <v>7</v>
      </c>
      <c r="E989" s="98">
        <f t="shared" si="276"/>
        <v>3</v>
      </c>
      <c r="F989" s="118">
        <f t="shared" ca="1" si="277"/>
        <v>9.5331599999999989E-3</v>
      </c>
      <c r="G989" s="98">
        <v>0</v>
      </c>
      <c r="H989" s="98">
        <v>1</v>
      </c>
      <c r="I989" s="98">
        <v>1</v>
      </c>
      <c r="J989" s="118">
        <f t="shared" ca="1" si="278"/>
        <v>0</v>
      </c>
      <c r="K989" s="118">
        <f t="shared" ca="1" si="279"/>
        <v>0</v>
      </c>
      <c r="L989" s="133">
        <f t="shared" ca="1" si="280"/>
        <v>180</v>
      </c>
      <c r="M989" s="130">
        <f t="shared" ca="1" si="281"/>
        <v>820</v>
      </c>
      <c r="N989" s="100">
        <f t="shared" ca="1" si="282"/>
        <v>4</v>
      </c>
      <c r="O989" s="136">
        <f t="shared" ca="1" si="283"/>
        <v>2.6973744602864622</v>
      </c>
      <c r="P989" s="136">
        <f t="shared" ca="1" si="284"/>
        <v>26.973744602864617</v>
      </c>
      <c r="Q989" s="136">
        <f t="shared" ca="1" si="285"/>
        <v>26.973744602864617</v>
      </c>
      <c r="R989" s="136">
        <f t="shared" ca="1" si="286"/>
        <v>2.6973744602864618</v>
      </c>
      <c r="S989" s="136">
        <f t="shared" ca="1" si="287"/>
        <v>2.6973744602864622</v>
      </c>
      <c r="T989" s="104">
        <f t="shared" ca="1" si="288"/>
        <v>0</v>
      </c>
      <c r="U989" s="120">
        <f t="shared" ca="1" si="289"/>
        <v>1199.0695270312358</v>
      </c>
      <c r="V989" s="104">
        <f t="shared" ca="1" si="290"/>
        <v>0</v>
      </c>
      <c r="W989" s="133">
        <f t="shared" ca="1" si="291"/>
        <v>4355.1997829232987</v>
      </c>
      <c r="X989" s="104">
        <f t="shared" ca="1" si="292"/>
        <v>0</v>
      </c>
    </row>
    <row r="990" spans="1:24" x14ac:dyDescent="0.2">
      <c r="A990" s="98">
        <v>3</v>
      </c>
      <c r="B990" s="98">
        <v>1</v>
      </c>
      <c r="C990" s="98">
        <f t="shared" si="274"/>
        <v>8</v>
      </c>
      <c r="D990" s="98">
        <f t="shared" si="275"/>
        <v>7</v>
      </c>
      <c r="E990" s="98">
        <f t="shared" si="276"/>
        <v>3</v>
      </c>
      <c r="F990" s="118">
        <f t="shared" ca="1" si="277"/>
        <v>9.5331599999999989E-3</v>
      </c>
      <c r="G990" s="98">
        <v>0</v>
      </c>
      <c r="H990" s="98">
        <v>1</v>
      </c>
      <c r="I990" s="98">
        <v>0</v>
      </c>
      <c r="J990" s="118">
        <f t="shared" ca="1" si="278"/>
        <v>0</v>
      </c>
      <c r="K990" s="118">
        <f t="shared" ca="1" si="279"/>
        <v>0</v>
      </c>
      <c r="L990" s="133">
        <f t="shared" ca="1" si="280"/>
        <v>168</v>
      </c>
      <c r="M990" s="130">
        <f t="shared" ca="1" si="281"/>
        <v>832</v>
      </c>
      <c r="N990" s="100">
        <f t="shared" ca="1" si="282"/>
        <v>4</v>
      </c>
      <c r="O990" s="136">
        <f t="shared" ca="1" si="283"/>
        <v>2.6973744602864622</v>
      </c>
      <c r="P990" s="136">
        <f t="shared" ca="1" si="284"/>
        <v>26.973744602864617</v>
      </c>
      <c r="Q990" s="136">
        <f t="shared" ca="1" si="285"/>
        <v>26.973744602864617</v>
      </c>
      <c r="R990" s="136">
        <f t="shared" ca="1" si="286"/>
        <v>2.6973744602864618</v>
      </c>
      <c r="S990" s="136">
        <f t="shared" ca="1" si="287"/>
        <v>2.6973744602864622</v>
      </c>
      <c r="T990" s="104">
        <f t="shared" ca="1" si="288"/>
        <v>0</v>
      </c>
      <c r="U990" s="120">
        <f t="shared" ca="1" si="289"/>
        <v>1187.0695270312358</v>
      </c>
      <c r="V990" s="104">
        <f t="shared" ca="1" si="290"/>
        <v>0</v>
      </c>
      <c r="W990" s="133">
        <f t="shared" ca="1" si="291"/>
        <v>2177.5998914616493</v>
      </c>
      <c r="X990" s="104">
        <f t="shared" ca="1" si="292"/>
        <v>0</v>
      </c>
    </row>
    <row r="991" spans="1:24" x14ac:dyDescent="0.2">
      <c r="A991" s="98">
        <v>3</v>
      </c>
      <c r="B991" s="98">
        <v>1</v>
      </c>
      <c r="C991" s="98">
        <f t="shared" si="274"/>
        <v>8</v>
      </c>
      <c r="D991" s="98">
        <f t="shared" si="275"/>
        <v>7</v>
      </c>
      <c r="E991" s="98">
        <f t="shared" si="276"/>
        <v>3</v>
      </c>
      <c r="F991" s="118">
        <f t="shared" ca="1" si="277"/>
        <v>9.5331599999999989E-3</v>
      </c>
      <c r="G991" s="98">
        <v>0</v>
      </c>
      <c r="H991" s="98">
        <v>0</v>
      </c>
      <c r="I991" s="98">
        <v>7</v>
      </c>
      <c r="J991" s="118">
        <f t="shared" ca="1" si="278"/>
        <v>3.4916864804687496E-2</v>
      </c>
      <c r="K991" s="118">
        <f t="shared" ca="1" si="279"/>
        <v>3.3286805888145462E-4</v>
      </c>
      <c r="L991" s="133">
        <f t="shared" ca="1" si="280"/>
        <v>84</v>
      </c>
      <c r="M991" s="130">
        <f t="shared" ca="1" si="281"/>
        <v>916</v>
      </c>
      <c r="N991" s="100">
        <f t="shared" ca="1" si="282"/>
        <v>5</v>
      </c>
      <c r="O991" s="136">
        <f t="shared" ca="1" si="283"/>
        <v>3.301004590397413</v>
      </c>
      <c r="P991" s="136">
        <f t="shared" ca="1" si="284"/>
        <v>33.010045903974124</v>
      </c>
      <c r="Q991" s="136">
        <f t="shared" ca="1" si="285"/>
        <v>33.010045903974124</v>
      </c>
      <c r="R991" s="136">
        <f t="shared" ca="1" si="286"/>
        <v>3.3010045903974126</v>
      </c>
      <c r="S991" s="136">
        <f t="shared" ca="1" si="287"/>
        <v>3.3010045903974126</v>
      </c>
      <c r="T991" s="104">
        <f t="shared" ca="1" si="288"/>
        <v>1.0987989903643578E-3</v>
      </c>
      <c r="U991" s="120">
        <f t="shared" ca="1" si="289"/>
        <v>1323.3671890482913</v>
      </c>
      <c r="V991" s="104">
        <f t="shared" ca="1" si="290"/>
        <v>0.44050666740591171</v>
      </c>
      <c r="W991" s="133">
        <f t="shared" ca="1" si="291"/>
        <v>15243.199240231546</v>
      </c>
      <c r="X991" s="104">
        <f t="shared" ca="1" si="292"/>
        <v>5.0739741422391385</v>
      </c>
    </row>
    <row r="992" spans="1:24" x14ac:dyDescent="0.2">
      <c r="A992" s="98">
        <v>3</v>
      </c>
      <c r="B992" s="98">
        <v>1</v>
      </c>
      <c r="C992" s="98">
        <f t="shared" si="274"/>
        <v>8</v>
      </c>
      <c r="D992" s="98">
        <f t="shared" si="275"/>
        <v>7</v>
      </c>
      <c r="E992" s="98">
        <f t="shared" si="276"/>
        <v>3</v>
      </c>
      <c r="F992" s="118">
        <f t="shared" ca="1" si="277"/>
        <v>9.5331599999999989E-3</v>
      </c>
      <c r="G992" s="98">
        <v>0</v>
      </c>
      <c r="H992" s="98">
        <v>0</v>
      </c>
      <c r="I992" s="98">
        <v>6</v>
      </c>
      <c r="J992" s="118">
        <f t="shared" ca="1" si="278"/>
        <v>1.2864108085937513E-2</v>
      </c>
      <c r="K992" s="118">
        <f t="shared" ca="1" si="279"/>
        <v>1.2263560064053604E-4</v>
      </c>
      <c r="L992" s="133">
        <f t="shared" ca="1" si="280"/>
        <v>72</v>
      </c>
      <c r="M992" s="130">
        <f t="shared" ca="1" si="281"/>
        <v>928</v>
      </c>
      <c r="N992" s="100">
        <f t="shared" ca="1" si="282"/>
        <v>5</v>
      </c>
      <c r="O992" s="136">
        <f t="shared" ca="1" si="283"/>
        <v>3.301004590397413</v>
      </c>
      <c r="P992" s="136">
        <f t="shared" ca="1" si="284"/>
        <v>33.010045903974124</v>
      </c>
      <c r="Q992" s="136">
        <f t="shared" ca="1" si="285"/>
        <v>33.010045903974124</v>
      </c>
      <c r="R992" s="136">
        <f t="shared" ca="1" si="286"/>
        <v>3.3010045903974126</v>
      </c>
      <c r="S992" s="136">
        <f t="shared" ca="1" si="287"/>
        <v>3.3010045903974126</v>
      </c>
      <c r="T992" s="104">
        <f t="shared" ca="1" si="288"/>
        <v>4.0482068066055333E-4</v>
      </c>
      <c r="U992" s="120">
        <f t="shared" ca="1" si="289"/>
        <v>1311.3671890482913</v>
      </c>
      <c r="V992" s="104">
        <f t="shared" ca="1" si="290"/>
        <v>0.16082030288922858</v>
      </c>
      <c r="W992" s="133">
        <f t="shared" ca="1" si="291"/>
        <v>13065.599348769898</v>
      </c>
      <c r="X992" s="104">
        <f t="shared" ca="1" si="292"/>
        <v>1.6023076238649929</v>
      </c>
    </row>
    <row r="993" spans="1:24" x14ac:dyDescent="0.2">
      <c r="A993" s="98">
        <v>3</v>
      </c>
      <c r="B993" s="98">
        <v>1</v>
      </c>
      <c r="C993" s="98">
        <f t="shared" si="274"/>
        <v>8</v>
      </c>
      <c r="D993" s="98">
        <f t="shared" si="275"/>
        <v>7</v>
      </c>
      <c r="E993" s="98">
        <f t="shared" si="276"/>
        <v>3</v>
      </c>
      <c r="F993" s="118">
        <f t="shared" ca="1" si="277"/>
        <v>9.5331599999999989E-3</v>
      </c>
      <c r="G993" s="98">
        <v>0</v>
      </c>
      <c r="H993" s="98">
        <v>0</v>
      </c>
      <c r="I993" s="98">
        <v>5</v>
      </c>
      <c r="J993" s="118">
        <f t="shared" ca="1" si="278"/>
        <v>2.0311749609375038E-3</v>
      </c>
      <c r="K993" s="118">
        <f t="shared" ca="1" si="279"/>
        <v>1.9363515890610973E-5</v>
      </c>
      <c r="L993" s="133">
        <f t="shared" ca="1" si="280"/>
        <v>60</v>
      </c>
      <c r="M993" s="130">
        <f t="shared" ca="1" si="281"/>
        <v>940</v>
      </c>
      <c r="N993" s="100">
        <f t="shared" ca="1" si="282"/>
        <v>5</v>
      </c>
      <c r="O993" s="136">
        <f t="shared" ca="1" si="283"/>
        <v>3.301004590397413</v>
      </c>
      <c r="P993" s="136">
        <f t="shared" ca="1" si="284"/>
        <v>33.010045903974124</v>
      </c>
      <c r="Q993" s="136">
        <f t="shared" ca="1" si="285"/>
        <v>33.010045903974124</v>
      </c>
      <c r="R993" s="136">
        <f t="shared" ca="1" si="286"/>
        <v>3.3010045903974126</v>
      </c>
      <c r="S993" s="136">
        <f t="shared" ca="1" si="287"/>
        <v>3.3010045903974126</v>
      </c>
      <c r="T993" s="104">
        <f t="shared" ca="1" si="288"/>
        <v>6.3919054841140061E-5</v>
      </c>
      <c r="U993" s="120">
        <f t="shared" ca="1" si="289"/>
        <v>1299.3671890482913</v>
      </c>
      <c r="V993" s="104">
        <f t="shared" ca="1" si="290"/>
        <v>2.5160317212875101E-2</v>
      </c>
      <c r="W993" s="133">
        <f t="shared" ca="1" si="291"/>
        <v>10887.999457308248</v>
      </c>
      <c r="X993" s="104">
        <f t="shared" ca="1" si="292"/>
        <v>0.21082995050855191</v>
      </c>
    </row>
    <row r="994" spans="1:24" x14ac:dyDescent="0.2">
      <c r="A994" s="98">
        <v>3</v>
      </c>
      <c r="B994" s="98">
        <v>1</v>
      </c>
      <c r="C994" s="98">
        <f t="shared" si="274"/>
        <v>8</v>
      </c>
      <c r="D994" s="98">
        <f t="shared" si="275"/>
        <v>7</v>
      </c>
      <c r="E994" s="98">
        <f t="shared" si="276"/>
        <v>3</v>
      </c>
      <c r="F994" s="118">
        <f t="shared" ca="1" si="277"/>
        <v>9.5331599999999989E-3</v>
      </c>
      <c r="G994" s="98">
        <v>0</v>
      </c>
      <c r="H994" s="98">
        <v>0</v>
      </c>
      <c r="I994" s="98">
        <v>4</v>
      </c>
      <c r="J994" s="118">
        <f t="shared" ca="1" si="278"/>
        <v>1.7817324218750047E-4</v>
      </c>
      <c r="K994" s="118">
        <f t="shared" ca="1" si="279"/>
        <v>1.6985540254921917E-6</v>
      </c>
      <c r="L994" s="133">
        <f t="shared" ca="1" si="280"/>
        <v>48</v>
      </c>
      <c r="M994" s="130">
        <f t="shared" ca="1" si="281"/>
        <v>952</v>
      </c>
      <c r="N994" s="100">
        <f t="shared" ca="1" si="282"/>
        <v>5</v>
      </c>
      <c r="O994" s="136">
        <f t="shared" ca="1" si="283"/>
        <v>3.301004590397413</v>
      </c>
      <c r="P994" s="136">
        <f t="shared" ca="1" si="284"/>
        <v>33.010045903974124</v>
      </c>
      <c r="Q994" s="136">
        <f t="shared" ca="1" si="285"/>
        <v>33.010045903974124</v>
      </c>
      <c r="R994" s="136">
        <f t="shared" ca="1" si="286"/>
        <v>3.3010045903974126</v>
      </c>
      <c r="S994" s="136">
        <f t="shared" ca="1" si="287"/>
        <v>3.3010045903974126</v>
      </c>
      <c r="T994" s="104">
        <f t="shared" ca="1" si="288"/>
        <v>5.6069346351877288E-6</v>
      </c>
      <c r="U994" s="120">
        <f t="shared" ca="1" si="289"/>
        <v>1287.3671890482913</v>
      </c>
      <c r="V994" s="104">
        <f t="shared" ca="1" si="290"/>
        <v>2.1866627212445426E-3</v>
      </c>
      <c r="W994" s="133">
        <f t="shared" ca="1" si="291"/>
        <v>8710.3995658465974</v>
      </c>
      <c r="X994" s="104">
        <f t="shared" ca="1" si="292"/>
        <v>1.4795084246214178E-2</v>
      </c>
    </row>
    <row r="995" spans="1:24" x14ac:dyDescent="0.2">
      <c r="A995" s="98">
        <v>3</v>
      </c>
      <c r="B995" s="98">
        <v>1</v>
      </c>
      <c r="C995" s="98">
        <f t="shared" si="274"/>
        <v>8</v>
      </c>
      <c r="D995" s="98">
        <f t="shared" si="275"/>
        <v>7</v>
      </c>
      <c r="E995" s="98">
        <f t="shared" si="276"/>
        <v>3</v>
      </c>
      <c r="F995" s="118">
        <f t="shared" ca="1" si="277"/>
        <v>9.5331599999999989E-3</v>
      </c>
      <c r="G995" s="98">
        <v>0</v>
      </c>
      <c r="H995" s="98">
        <v>0</v>
      </c>
      <c r="I995" s="98">
        <v>3</v>
      </c>
      <c r="J995" s="118">
        <f t="shared" ca="1" si="278"/>
        <v>9.3775390625000315E-6</v>
      </c>
      <c r="K995" s="118">
        <f t="shared" ca="1" si="279"/>
        <v>8.9397580289062794E-8</v>
      </c>
      <c r="L995" s="133">
        <f t="shared" ca="1" si="280"/>
        <v>36</v>
      </c>
      <c r="M995" s="130">
        <f t="shared" ca="1" si="281"/>
        <v>964</v>
      </c>
      <c r="N995" s="100">
        <f t="shared" ca="1" si="282"/>
        <v>5</v>
      </c>
      <c r="O995" s="136">
        <f t="shared" ca="1" si="283"/>
        <v>3.301004590397413</v>
      </c>
      <c r="P995" s="136">
        <f t="shared" ca="1" si="284"/>
        <v>33.010045903974124</v>
      </c>
      <c r="Q995" s="136">
        <f t="shared" ca="1" si="285"/>
        <v>33.010045903974124</v>
      </c>
      <c r="R995" s="136">
        <f t="shared" ca="1" si="286"/>
        <v>3.3010045903974126</v>
      </c>
      <c r="S995" s="136">
        <f t="shared" ca="1" si="287"/>
        <v>3.3010045903974126</v>
      </c>
      <c r="T995" s="104">
        <f t="shared" ca="1" si="288"/>
        <v>2.9510182290461751E-7</v>
      </c>
      <c r="U995" s="120">
        <f t="shared" ca="1" si="289"/>
        <v>1275.3671890482913</v>
      </c>
      <c r="V995" s="104">
        <f t="shared" ca="1" si="290"/>
        <v>1.1401474068098094E-4</v>
      </c>
      <c r="W995" s="133">
        <f t="shared" ca="1" si="291"/>
        <v>6532.799674384949</v>
      </c>
      <c r="X995" s="104">
        <f t="shared" ca="1" si="292"/>
        <v>5.8401648340319174E-4</v>
      </c>
    </row>
    <row r="996" spans="1:24" x14ac:dyDescent="0.2">
      <c r="A996" s="98">
        <v>3</v>
      </c>
      <c r="B996" s="98">
        <v>1</v>
      </c>
      <c r="C996" s="98">
        <f t="shared" si="274"/>
        <v>8</v>
      </c>
      <c r="D996" s="98">
        <f t="shared" si="275"/>
        <v>7</v>
      </c>
      <c r="E996" s="98">
        <f t="shared" si="276"/>
        <v>3</v>
      </c>
      <c r="F996" s="118">
        <f t="shared" ca="1" si="277"/>
        <v>9.5331599999999989E-3</v>
      </c>
      <c r="G996" s="98">
        <v>0</v>
      </c>
      <c r="H996" s="98">
        <v>0</v>
      </c>
      <c r="I996" s="98">
        <v>2</v>
      </c>
      <c r="J996" s="118">
        <f t="shared" ca="1" si="278"/>
        <v>2.961328125000013E-7</v>
      </c>
      <c r="K996" s="118">
        <f t="shared" ca="1" si="279"/>
        <v>2.8230814828125122E-9</v>
      </c>
      <c r="L996" s="133">
        <f t="shared" ca="1" si="280"/>
        <v>24</v>
      </c>
      <c r="M996" s="130">
        <f t="shared" ca="1" si="281"/>
        <v>976</v>
      </c>
      <c r="N996" s="100">
        <f t="shared" ca="1" si="282"/>
        <v>5</v>
      </c>
      <c r="O996" s="136">
        <f t="shared" ca="1" si="283"/>
        <v>3.301004590397413</v>
      </c>
      <c r="P996" s="136">
        <f t="shared" ca="1" si="284"/>
        <v>33.010045903974124</v>
      </c>
      <c r="Q996" s="136">
        <f t="shared" ca="1" si="285"/>
        <v>33.010045903974124</v>
      </c>
      <c r="R996" s="136">
        <f t="shared" ca="1" si="286"/>
        <v>3.3010045903974126</v>
      </c>
      <c r="S996" s="136">
        <f t="shared" ca="1" si="287"/>
        <v>3.3010045903974126</v>
      </c>
      <c r="T996" s="104">
        <f t="shared" ca="1" si="288"/>
        <v>9.3190049338300365E-9</v>
      </c>
      <c r="U996" s="120">
        <f t="shared" ca="1" si="289"/>
        <v>1263.3671890482913</v>
      </c>
      <c r="V996" s="104">
        <f t="shared" ca="1" si="290"/>
        <v>3.5665885173951257E-6</v>
      </c>
      <c r="W996" s="133">
        <f t="shared" ca="1" si="291"/>
        <v>4355.1997829232987</v>
      </c>
      <c r="X996" s="104">
        <f t="shared" ca="1" si="292"/>
        <v>1.2295083861119837E-5</v>
      </c>
    </row>
    <row r="997" spans="1:24" x14ac:dyDescent="0.2">
      <c r="A997" s="98">
        <v>3</v>
      </c>
      <c r="B997" s="98">
        <v>1</v>
      </c>
      <c r="C997" s="98">
        <f t="shared" si="274"/>
        <v>8</v>
      </c>
      <c r="D997" s="98">
        <f t="shared" si="275"/>
        <v>7</v>
      </c>
      <c r="E997" s="98">
        <f t="shared" si="276"/>
        <v>3</v>
      </c>
      <c r="F997" s="118">
        <f t="shared" ca="1" si="277"/>
        <v>9.5331599999999989E-3</v>
      </c>
      <c r="G997" s="98">
        <v>0</v>
      </c>
      <c r="H997" s="98">
        <v>0</v>
      </c>
      <c r="I997" s="98">
        <v>1</v>
      </c>
      <c r="J997" s="118">
        <f t="shared" ca="1" si="278"/>
        <v>5.1953125000000272E-9</v>
      </c>
      <c r="K997" s="118">
        <f t="shared" ca="1" si="279"/>
        <v>4.9527745312500253E-11</v>
      </c>
      <c r="L997" s="133">
        <f t="shared" ca="1" si="280"/>
        <v>12</v>
      </c>
      <c r="M997" s="130">
        <f t="shared" ca="1" si="281"/>
        <v>988</v>
      </c>
      <c r="N997" s="100">
        <f t="shared" ca="1" si="282"/>
        <v>5</v>
      </c>
      <c r="O997" s="136">
        <f t="shared" ca="1" si="283"/>
        <v>3.301004590397413</v>
      </c>
      <c r="P997" s="136">
        <f t="shared" ca="1" si="284"/>
        <v>33.010045903974124</v>
      </c>
      <c r="Q997" s="136">
        <f t="shared" ca="1" si="285"/>
        <v>33.010045903974124</v>
      </c>
      <c r="R997" s="136">
        <f t="shared" ca="1" si="286"/>
        <v>3.3010045903974126</v>
      </c>
      <c r="S997" s="136">
        <f t="shared" ca="1" si="287"/>
        <v>3.3010045903974126</v>
      </c>
      <c r="T997" s="104">
        <f t="shared" ca="1" si="288"/>
        <v>1.6349131462859726E-10</v>
      </c>
      <c r="U997" s="120">
        <f t="shared" ca="1" si="289"/>
        <v>1251.3671890482913</v>
      </c>
      <c r="V997" s="104">
        <f t="shared" ca="1" si="290"/>
        <v>6.1977395431603127E-8</v>
      </c>
      <c r="W997" s="133">
        <f t="shared" ca="1" si="291"/>
        <v>2177.5998914616493</v>
      </c>
      <c r="X997" s="104">
        <f t="shared" ca="1" si="292"/>
        <v>1.0785161281684076E-7</v>
      </c>
    </row>
    <row r="998" spans="1:24" x14ac:dyDescent="0.2">
      <c r="A998" s="98">
        <v>3</v>
      </c>
      <c r="B998" s="98">
        <v>1</v>
      </c>
      <c r="C998" s="98">
        <f t="shared" si="274"/>
        <v>8</v>
      </c>
      <c r="D998" s="98">
        <f t="shared" si="275"/>
        <v>7</v>
      </c>
      <c r="E998" s="98">
        <f t="shared" si="276"/>
        <v>3</v>
      </c>
      <c r="F998" s="118">
        <f t="shared" ca="1" si="277"/>
        <v>9.5331599999999989E-3</v>
      </c>
      <c r="G998" s="98">
        <v>0</v>
      </c>
      <c r="H998" s="98">
        <v>0</v>
      </c>
      <c r="I998" s="98">
        <v>0</v>
      </c>
      <c r="J998" s="118">
        <f t="shared" ca="1" si="278"/>
        <v>3.9062500000000246E-11</v>
      </c>
      <c r="K998" s="118">
        <f t="shared" ca="1" si="279"/>
        <v>3.7238906250000233E-13</v>
      </c>
      <c r="L998" s="133">
        <f t="shared" ca="1" si="280"/>
        <v>0</v>
      </c>
      <c r="M998" s="130">
        <f t="shared" ca="1" si="281"/>
        <v>1000</v>
      </c>
      <c r="N998" s="100">
        <f t="shared" ca="1" si="282"/>
        <v>5</v>
      </c>
      <c r="O998" s="136">
        <f t="shared" ca="1" si="283"/>
        <v>3.301004590397413</v>
      </c>
      <c r="P998" s="136">
        <f t="shared" ca="1" si="284"/>
        <v>33.010045903974124</v>
      </c>
      <c r="Q998" s="136">
        <f t="shared" ca="1" si="285"/>
        <v>33.010045903974124</v>
      </c>
      <c r="R998" s="136">
        <f t="shared" ca="1" si="286"/>
        <v>3.3010045903974126</v>
      </c>
      <c r="S998" s="136">
        <f t="shared" ca="1" si="287"/>
        <v>3.3010045903974126</v>
      </c>
      <c r="T998" s="104">
        <f t="shared" ca="1" si="288"/>
        <v>1.2292580047262966E-12</v>
      </c>
      <c r="U998" s="120">
        <f t="shared" ca="1" si="289"/>
        <v>1239.3671890482913</v>
      </c>
      <c r="V998" s="104">
        <f t="shared" ca="1" si="290"/>
        <v>4.6152678562295634E-10</v>
      </c>
      <c r="W998" s="133">
        <f t="shared" ca="1" si="291"/>
        <v>0</v>
      </c>
      <c r="X998" s="104">
        <f t="shared" ca="1" si="292"/>
        <v>0</v>
      </c>
    </row>
    <row r="999" spans="1:24" x14ac:dyDescent="0.2">
      <c r="A999" s="98">
        <v>3</v>
      </c>
      <c r="B999" s="98">
        <v>2</v>
      </c>
      <c r="C999" s="98">
        <f t="shared" ref="C999:C1062" si="293">MIN(8, 1+$B$543+$B$542+A999+B999)</f>
        <v>8</v>
      </c>
      <c r="D999" s="98">
        <f t="shared" ref="D999:D1062" si="294">C999-(1+$B$543)</f>
        <v>7</v>
      </c>
      <c r="E999" s="98">
        <f t="shared" ref="E999:E1062" si="295">MIN(A999, C999-(1+$B$543+$B$542))</f>
        <v>3</v>
      </c>
      <c r="F999" s="118">
        <f t="shared" ref="F999:F1062" ca="1" si="296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2.6189999999999994E-3</v>
      </c>
      <c r="G999" s="98">
        <v>1</v>
      </c>
      <c r="H999" s="98">
        <v>1</v>
      </c>
      <c r="I999" s="98">
        <v>7</v>
      </c>
      <c r="J999" s="118">
        <f t="shared" ref="J999:J1062" ca="1" si="297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18">
        <f t="shared" ref="K999:K1062" ca="1" si="298">F999*J999</f>
        <v>0</v>
      </c>
      <c r="L999" s="133">
        <f t="shared" ref="L999:L1062" ca="1" si="299">MAX((G999+H999)*Set2WSTP + I999*$B$539, Set2SaveTP)</f>
        <v>420</v>
      </c>
      <c r="M999" s="130">
        <f t="shared" ref="M999:M1062" ca="1" si="300">MAX(Set2MinTP-(L999+Set2Regain), 0)</f>
        <v>580</v>
      </c>
      <c r="N999" s="100">
        <f t="shared" ref="N999:N1062" ca="1" si="301">CEILING(M999/Set2MeleeTP, 1)</f>
        <v>3</v>
      </c>
      <c r="O999" s="136">
        <f t="shared" ref="O999:O1062" ca="1" si="302">VLOOKUP(N999, AvgRoundsSet2, 2)</f>
        <v>2.1177215542739054</v>
      </c>
      <c r="P999" s="136">
        <f t="shared" ref="P999:P1062" ca="1" si="303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21.177215542739059</v>
      </c>
      <c r="Q999" s="136">
        <f t="shared" ref="Q999:Q1062" ca="1" si="304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21.177215542739059</v>
      </c>
      <c r="R999" s="136">
        <f t="shared" ref="R999:R1062" ca="1" si="305">(P999+Q999)/20</f>
        <v>2.1177215542739058</v>
      </c>
      <c r="S999" s="136">
        <f t="shared" ref="S999:S1062" ca="1" si="306">R999*Set2ConserveTP + O999*(1-Set2ConserveTP)</f>
        <v>2.1177215542739054</v>
      </c>
      <c r="T999" s="104">
        <f t="shared" ref="T999:T1062" ca="1" si="307">K999*S999</f>
        <v>0</v>
      </c>
      <c r="U999" s="120">
        <f t="shared" ref="U999:U1062" ca="1" si="308">MIN(L999+(S999+Set2OverTP)*AvgHitsPerRound2*Set2MeleeTP + Set2Regain + 105*Set2ConserveTP, 3000)</f>
        <v>1227.5224659982036</v>
      </c>
      <c r="V999" s="104">
        <f t="shared" ref="V999:V1062" ca="1" si="309">U999*K999</f>
        <v>0</v>
      </c>
      <c r="W999" s="133">
        <f t="shared" ref="W999:W1062" ca="1" si="310">G999*$K$543*((1-$L$543)*$L$547 + $L$543*$M$547*$M$543)*Set2WSDmg + H999*$K$546*((1-$L$546)*$L$547 + $L$546*$M$547*$M$544) + I999*$K$544*((1-$L$544)*$L$547 + $L$544*$M$547*$M$544) + E999*$K$545*$L$545*$M$543</f>
        <v>19881.48700904486</v>
      </c>
      <c r="X999" s="104">
        <f t="shared" ref="X999:X1062" ca="1" si="311">K999*W999</f>
        <v>0</v>
      </c>
    </row>
    <row r="1000" spans="1:24" x14ac:dyDescent="0.2">
      <c r="A1000" s="98">
        <v>3</v>
      </c>
      <c r="B1000" s="98">
        <v>2</v>
      </c>
      <c r="C1000" s="98">
        <f t="shared" si="293"/>
        <v>8</v>
      </c>
      <c r="D1000" s="98">
        <f t="shared" si="294"/>
        <v>7</v>
      </c>
      <c r="E1000" s="98">
        <f t="shared" si="295"/>
        <v>3</v>
      </c>
      <c r="F1000" s="118">
        <f t="shared" ca="1" si="296"/>
        <v>2.6189999999999994E-3</v>
      </c>
      <c r="G1000" s="98">
        <v>1</v>
      </c>
      <c r="H1000" s="98">
        <v>1</v>
      </c>
      <c r="I1000" s="98">
        <v>6</v>
      </c>
      <c r="J1000" s="118">
        <f t="shared" ca="1" si="297"/>
        <v>0</v>
      </c>
      <c r="K1000" s="118">
        <f t="shared" ca="1" si="298"/>
        <v>0</v>
      </c>
      <c r="L1000" s="133">
        <f t="shared" ca="1" si="299"/>
        <v>408</v>
      </c>
      <c r="M1000" s="130">
        <f t="shared" ca="1" si="300"/>
        <v>592</v>
      </c>
      <c r="N1000" s="100">
        <f t="shared" ca="1" si="301"/>
        <v>3</v>
      </c>
      <c r="O1000" s="136">
        <f t="shared" ca="1" si="302"/>
        <v>2.1177215542739054</v>
      </c>
      <c r="P1000" s="136">
        <f t="shared" ca="1" si="303"/>
        <v>21.177215542739059</v>
      </c>
      <c r="Q1000" s="136">
        <f t="shared" ca="1" si="304"/>
        <v>21.177215542739059</v>
      </c>
      <c r="R1000" s="136">
        <f t="shared" ca="1" si="305"/>
        <v>2.1177215542739058</v>
      </c>
      <c r="S1000" s="136">
        <f t="shared" ca="1" si="306"/>
        <v>2.1177215542739054</v>
      </c>
      <c r="T1000" s="104">
        <f t="shared" ca="1" si="307"/>
        <v>0</v>
      </c>
      <c r="U1000" s="120">
        <f t="shared" ca="1" si="308"/>
        <v>1215.5224659982036</v>
      </c>
      <c r="V1000" s="104">
        <f t="shared" ca="1" si="309"/>
        <v>0</v>
      </c>
      <c r="W1000" s="133">
        <f t="shared" ca="1" si="310"/>
        <v>17703.88711758321</v>
      </c>
      <c r="X1000" s="104">
        <f t="shared" ca="1" si="311"/>
        <v>0</v>
      </c>
    </row>
    <row r="1001" spans="1:24" x14ac:dyDescent="0.2">
      <c r="A1001" s="98">
        <v>3</v>
      </c>
      <c r="B1001" s="98">
        <v>2</v>
      </c>
      <c r="C1001" s="98">
        <f t="shared" si="293"/>
        <v>8</v>
      </c>
      <c r="D1001" s="98">
        <f t="shared" si="294"/>
        <v>7</v>
      </c>
      <c r="E1001" s="98">
        <f t="shared" si="295"/>
        <v>3</v>
      </c>
      <c r="F1001" s="118">
        <f t="shared" ca="1" si="296"/>
        <v>2.6189999999999994E-3</v>
      </c>
      <c r="G1001" s="98">
        <v>1</v>
      </c>
      <c r="H1001" s="98">
        <v>1</v>
      </c>
      <c r="I1001" s="98">
        <v>5</v>
      </c>
      <c r="J1001" s="118">
        <f t="shared" ca="1" si="297"/>
        <v>0</v>
      </c>
      <c r="K1001" s="118">
        <f t="shared" ca="1" si="298"/>
        <v>0</v>
      </c>
      <c r="L1001" s="133">
        <f t="shared" ca="1" si="299"/>
        <v>396</v>
      </c>
      <c r="M1001" s="130">
        <f t="shared" ca="1" si="300"/>
        <v>604</v>
      </c>
      <c r="N1001" s="100">
        <f t="shared" ca="1" si="301"/>
        <v>3</v>
      </c>
      <c r="O1001" s="136">
        <f t="shared" ca="1" si="302"/>
        <v>2.1177215542739054</v>
      </c>
      <c r="P1001" s="136">
        <f t="shared" ca="1" si="303"/>
        <v>21.177215542739059</v>
      </c>
      <c r="Q1001" s="136">
        <f t="shared" ca="1" si="304"/>
        <v>21.177215542739059</v>
      </c>
      <c r="R1001" s="136">
        <f t="shared" ca="1" si="305"/>
        <v>2.1177215542739058</v>
      </c>
      <c r="S1001" s="136">
        <f t="shared" ca="1" si="306"/>
        <v>2.1177215542739054</v>
      </c>
      <c r="T1001" s="104">
        <f t="shared" ca="1" si="307"/>
        <v>0</v>
      </c>
      <c r="U1001" s="120">
        <f t="shared" ca="1" si="308"/>
        <v>1203.5224659982036</v>
      </c>
      <c r="V1001" s="104">
        <f t="shared" ca="1" si="309"/>
        <v>0</v>
      </c>
      <c r="W1001" s="133">
        <f t="shared" ca="1" si="310"/>
        <v>15526.28722612156</v>
      </c>
      <c r="X1001" s="104">
        <f t="shared" ca="1" si="311"/>
        <v>0</v>
      </c>
    </row>
    <row r="1002" spans="1:24" x14ac:dyDescent="0.2">
      <c r="A1002" s="98">
        <v>3</v>
      </c>
      <c r="B1002" s="98">
        <v>2</v>
      </c>
      <c r="C1002" s="98">
        <f t="shared" si="293"/>
        <v>8</v>
      </c>
      <c r="D1002" s="98">
        <f t="shared" si="294"/>
        <v>7</v>
      </c>
      <c r="E1002" s="98">
        <f t="shared" si="295"/>
        <v>3</v>
      </c>
      <c r="F1002" s="118">
        <f t="shared" ca="1" si="296"/>
        <v>2.6189999999999994E-3</v>
      </c>
      <c r="G1002" s="98">
        <v>1</v>
      </c>
      <c r="H1002" s="98">
        <v>1</v>
      </c>
      <c r="I1002" s="98">
        <v>4</v>
      </c>
      <c r="J1002" s="118">
        <f t="shared" ca="1" si="297"/>
        <v>0</v>
      </c>
      <c r="K1002" s="118">
        <f t="shared" ca="1" si="298"/>
        <v>0</v>
      </c>
      <c r="L1002" s="133">
        <f t="shared" ca="1" si="299"/>
        <v>384</v>
      </c>
      <c r="M1002" s="130">
        <f t="shared" ca="1" si="300"/>
        <v>616</v>
      </c>
      <c r="N1002" s="100">
        <f t="shared" ca="1" si="301"/>
        <v>3</v>
      </c>
      <c r="O1002" s="136">
        <f t="shared" ca="1" si="302"/>
        <v>2.1177215542739054</v>
      </c>
      <c r="P1002" s="136">
        <f t="shared" ca="1" si="303"/>
        <v>21.177215542739059</v>
      </c>
      <c r="Q1002" s="136">
        <f t="shared" ca="1" si="304"/>
        <v>21.177215542739059</v>
      </c>
      <c r="R1002" s="136">
        <f t="shared" ca="1" si="305"/>
        <v>2.1177215542739058</v>
      </c>
      <c r="S1002" s="136">
        <f t="shared" ca="1" si="306"/>
        <v>2.1177215542739054</v>
      </c>
      <c r="T1002" s="104">
        <f t="shared" ca="1" si="307"/>
        <v>0</v>
      </c>
      <c r="U1002" s="120">
        <f t="shared" ca="1" si="308"/>
        <v>1191.5224659982036</v>
      </c>
      <c r="V1002" s="104">
        <f t="shared" ca="1" si="309"/>
        <v>0</v>
      </c>
      <c r="W1002" s="133">
        <f t="shared" ca="1" si="310"/>
        <v>13348.68733465991</v>
      </c>
      <c r="X1002" s="104">
        <f t="shared" ca="1" si="311"/>
        <v>0</v>
      </c>
    </row>
    <row r="1003" spans="1:24" x14ac:dyDescent="0.2">
      <c r="A1003" s="98">
        <v>3</v>
      </c>
      <c r="B1003" s="98">
        <v>2</v>
      </c>
      <c r="C1003" s="98">
        <f t="shared" si="293"/>
        <v>8</v>
      </c>
      <c r="D1003" s="98">
        <f t="shared" si="294"/>
        <v>7</v>
      </c>
      <c r="E1003" s="98">
        <f t="shared" si="295"/>
        <v>3</v>
      </c>
      <c r="F1003" s="118">
        <f t="shared" ca="1" si="296"/>
        <v>2.6189999999999994E-3</v>
      </c>
      <c r="G1003" s="98">
        <v>1</v>
      </c>
      <c r="H1003" s="98">
        <v>1</v>
      </c>
      <c r="I1003" s="98">
        <v>3</v>
      </c>
      <c r="J1003" s="118">
        <f t="shared" ca="1" si="297"/>
        <v>0</v>
      </c>
      <c r="K1003" s="118">
        <f t="shared" ca="1" si="298"/>
        <v>0</v>
      </c>
      <c r="L1003" s="133">
        <f t="shared" ca="1" si="299"/>
        <v>372</v>
      </c>
      <c r="M1003" s="130">
        <f t="shared" ca="1" si="300"/>
        <v>628</v>
      </c>
      <c r="N1003" s="100">
        <f t="shared" ca="1" si="301"/>
        <v>3</v>
      </c>
      <c r="O1003" s="136">
        <f t="shared" ca="1" si="302"/>
        <v>2.1177215542739054</v>
      </c>
      <c r="P1003" s="136">
        <f t="shared" ca="1" si="303"/>
        <v>21.177215542739059</v>
      </c>
      <c r="Q1003" s="136">
        <f t="shared" ca="1" si="304"/>
        <v>21.177215542739059</v>
      </c>
      <c r="R1003" s="136">
        <f t="shared" ca="1" si="305"/>
        <v>2.1177215542739058</v>
      </c>
      <c r="S1003" s="136">
        <f t="shared" ca="1" si="306"/>
        <v>2.1177215542739054</v>
      </c>
      <c r="T1003" s="104">
        <f t="shared" ca="1" si="307"/>
        <v>0</v>
      </c>
      <c r="U1003" s="120">
        <f t="shared" ca="1" si="308"/>
        <v>1179.5224659982036</v>
      </c>
      <c r="V1003" s="104">
        <f t="shared" ca="1" si="309"/>
        <v>0</v>
      </c>
      <c r="W1003" s="133">
        <f t="shared" ca="1" si="310"/>
        <v>11171.087443198263</v>
      </c>
      <c r="X1003" s="104">
        <f t="shared" ca="1" si="311"/>
        <v>0</v>
      </c>
    </row>
    <row r="1004" spans="1:24" x14ac:dyDescent="0.2">
      <c r="A1004" s="98">
        <v>3</v>
      </c>
      <c r="B1004" s="98">
        <v>2</v>
      </c>
      <c r="C1004" s="98">
        <f t="shared" si="293"/>
        <v>8</v>
      </c>
      <c r="D1004" s="98">
        <f t="shared" si="294"/>
        <v>7</v>
      </c>
      <c r="E1004" s="98">
        <f t="shared" si="295"/>
        <v>3</v>
      </c>
      <c r="F1004" s="118">
        <f t="shared" ca="1" si="296"/>
        <v>2.6189999999999994E-3</v>
      </c>
      <c r="G1004" s="98">
        <v>1</v>
      </c>
      <c r="H1004" s="98">
        <v>1</v>
      </c>
      <c r="I1004" s="98">
        <v>2</v>
      </c>
      <c r="J1004" s="118">
        <f t="shared" ca="1" si="297"/>
        <v>0</v>
      </c>
      <c r="K1004" s="118">
        <f t="shared" ca="1" si="298"/>
        <v>0</v>
      </c>
      <c r="L1004" s="133">
        <f t="shared" ca="1" si="299"/>
        <v>360</v>
      </c>
      <c r="M1004" s="130">
        <f t="shared" ca="1" si="300"/>
        <v>640</v>
      </c>
      <c r="N1004" s="100">
        <f t="shared" ca="1" si="301"/>
        <v>3</v>
      </c>
      <c r="O1004" s="136">
        <f t="shared" ca="1" si="302"/>
        <v>2.1177215542739054</v>
      </c>
      <c r="P1004" s="136">
        <f t="shared" ca="1" si="303"/>
        <v>21.177215542739059</v>
      </c>
      <c r="Q1004" s="136">
        <f t="shared" ca="1" si="304"/>
        <v>21.177215542739059</v>
      </c>
      <c r="R1004" s="136">
        <f t="shared" ca="1" si="305"/>
        <v>2.1177215542739058</v>
      </c>
      <c r="S1004" s="136">
        <f t="shared" ca="1" si="306"/>
        <v>2.1177215542739054</v>
      </c>
      <c r="T1004" s="104">
        <f t="shared" ca="1" si="307"/>
        <v>0</v>
      </c>
      <c r="U1004" s="120">
        <f t="shared" ca="1" si="308"/>
        <v>1167.5224659982036</v>
      </c>
      <c r="V1004" s="104">
        <f t="shared" ca="1" si="309"/>
        <v>0</v>
      </c>
      <c r="W1004" s="133">
        <f t="shared" ca="1" si="310"/>
        <v>8993.4875517366127</v>
      </c>
      <c r="X1004" s="104">
        <f t="shared" ca="1" si="311"/>
        <v>0</v>
      </c>
    </row>
    <row r="1005" spans="1:24" x14ac:dyDescent="0.2">
      <c r="A1005" s="98">
        <v>3</v>
      </c>
      <c r="B1005" s="98">
        <v>2</v>
      </c>
      <c r="C1005" s="98">
        <f t="shared" si="293"/>
        <v>8</v>
      </c>
      <c r="D1005" s="98">
        <f t="shared" si="294"/>
        <v>7</v>
      </c>
      <c r="E1005" s="98">
        <f t="shared" si="295"/>
        <v>3</v>
      </c>
      <c r="F1005" s="118">
        <f t="shared" ca="1" si="296"/>
        <v>2.6189999999999994E-3</v>
      </c>
      <c r="G1005" s="98">
        <v>1</v>
      </c>
      <c r="H1005" s="98">
        <v>1</v>
      </c>
      <c r="I1005" s="98">
        <v>1</v>
      </c>
      <c r="J1005" s="118">
        <f t="shared" ca="1" si="297"/>
        <v>0</v>
      </c>
      <c r="K1005" s="118">
        <f t="shared" ca="1" si="298"/>
        <v>0</v>
      </c>
      <c r="L1005" s="133">
        <f t="shared" ca="1" si="299"/>
        <v>348</v>
      </c>
      <c r="M1005" s="130">
        <f t="shared" ca="1" si="300"/>
        <v>652</v>
      </c>
      <c r="N1005" s="100">
        <f t="shared" ca="1" si="301"/>
        <v>4</v>
      </c>
      <c r="O1005" s="136">
        <f t="shared" ca="1" si="302"/>
        <v>2.6973744602864622</v>
      </c>
      <c r="P1005" s="136">
        <f t="shared" ca="1" si="303"/>
        <v>21.177215542739059</v>
      </c>
      <c r="Q1005" s="136">
        <f t="shared" ca="1" si="304"/>
        <v>21.177215542739059</v>
      </c>
      <c r="R1005" s="136">
        <f t="shared" ca="1" si="305"/>
        <v>2.1177215542739058</v>
      </c>
      <c r="S1005" s="136">
        <f t="shared" ca="1" si="306"/>
        <v>2.5060890013023185</v>
      </c>
      <c r="T1005" s="104">
        <f t="shared" ca="1" si="307"/>
        <v>0</v>
      </c>
      <c r="U1005" s="120">
        <f t="shared" ca="1" si="308"/>
        <v>1297.2589968903351</v>
      </c>
      <c r="V1005" s="104">
        <f t="shared" ca="1" si="309"/>
        <v>0</v>
      </c>
      <c r="W1005" s="133">
        <f t="shared" ca="1" si="310"/>
        <v>6815.8876602749624</v>
      </c>
      <c r="X1005" s="104">
        <f t="shared" ca="1" si="311"/>
        <v>0</v>
      </c>
    </row>
    <row r="1006" spans="1:24" x14ac:dyDescent="0.2">
      <c r="A1006" s="98">
        <v>3</v>
      </c>
      <c r="B1006" s="98">
        <v>2</v>
      </c>
      <c r="C1006" s="98">
        <f t="shared" si="293"/>
        <v>8</v>
      </c>
      <c r="D1006" s="98">
        <f t="shared" si="294"/>
        <v>7</v>
      </c>
      <c r="E1006" s="98">
        <f t="shared" si="295"/>
        <v>3</v>
      </c>
      <c r="F1006" s="118">
        <f t="shared" ca="1" si="296"/>
        <v>2.6189999999999994E-3</v>
      </c>
      <c r="G1006" s="98">
        <v>1</v>
      </c>
      <c r="H1006" s="98">
        <v>1</v>
      </c>
      <c r="I1006" s="98">
        <v>0</v>
      </c>
      <c r="J1006" s="118">
        <f t="shared" ca="1" si="297"/>
        <v>0</v>
      </c>
      <c r="K1006" s="118">
        <f t="shared" ca="1" si="298"/>
        <v>0</v>
      </c>
      <c r="L1006" s="133">
        <f t="shared" ca="1" si="299"/>
        <v>336</v>
      </c>
      <c r="M1006" s="130">
        <f t="shared" ca="1" si="300"/>
        <v>664</v>
      </c>
      <c r="N1006" s="100">
        <f t="shared" ca="1" si="301"/>
        <v>4</v>
      </c>
      <c r="O1006" s="136">
        <f t="shared" ca="1" si="302"/>
        <v>2.6973744602864622</v>
      </c>
      <c r="P1006" s="136">
        <f t="shared" ca="1" si="303"/>
        <v>26.973744602864617</v>
      </c>
      <c r="Q1006" s="136">
        <f t="shared" ca="1" si="304"/>
        <v>22.336521354764173</v>
      </c>
      <c r="R1006" s="136">
        <f t="shared" ca="1" si="305"/>
        <v>2.4655132978814391</v>
      </c>
      <c r="S1006" s="136">
        <f t="shared" ca="1" si="306"/>
        <v>2.6208602766928046</v>
      </c>
      <c r="T1006" s="104">
        <f t="shared" ca="1" si="307"/>
        <v>0</v>
      </c>
      <c r="U1006" s="120">
        <f t="shared" ca="1" si="308"/>
        <v>1327.1453149748754</v>
      </c>
      <c r="V1006" s="104">
        <f t="shared" ca="1" si="309"/>
        <v>0</v>
      </c>
      <c r="W1006" s="133">
        <f t="shared" ca="1" si="310"/>
        <v>4638.2877688133131</v>
      </c>
      <c r="X1006" s="104">
        <f t="shared" ca="1" si="311"/>
        <v>0</v>
      </c>
    </row>
    <row r="1007" spans="1:24" x14ac:dyDescent="0.2">
      <c r="A1007" s="98">
        <v>3</v>
      </c>
      <c r="B1007" s="98">
        <v>2</v>
      </c>
      <c r="C1007" s="98">
        <f t="shared" si="293"/>
        <v>8</v>
      </c>
      <c r="D1007" s="98">
        <f t="shared" si="294"/>
        <v>7</v>
      </c>
      <c r="E1007" s="98">
        <f t="shared" si="295"/>
        <v>3</v>
      </c>
      <c r="F1007" s="118">
        <f t="shared" ca="1" si="296"/>
        <v>2.6189999999999994E-3</v>
      </c>
      <c r="G1007" s="98">
        <v>1</v>
      </c>
      <c r="H1007" s="98">
        <v>0</v>
      </c>
      <c r="I1007" s="98">
        <v>7</v>
      </c>
      <c r="J1007" s="118">
        <f t="shared" ca="1" si="297"/>
        <v>0.66342043128906247</v>
      </c>
      <c r="K1007" s="118">
        <f t="shared" ca="1" si="298"/>
        <v>1.7374981095460542E-3</v>
      </c>
      <c r="L1007" s="133">
        <f t="shared" ca="1" si="299"/>
        <v>252</v>
      </c>
      <c r="M1007" s="130">
        <f t="shared" ca="1" si="300"/>
        <v>748</v>
      </c>
      <c r="N1007" s="100">
        <f t="shared" ca="1" si="301"/>
        <v>4</v>
      </c>
      <c r="O1007" s="136">
        <f t="shared" ca="1" si="302"/>
        <v>2.6973744602864622</v>
      </c>
      <c r="P1007" s="136">
        <f t="shared" ca="1" si="303"/>
        <v>26.973744602864617</v>
      </c>
      <c r="Q1007" s="136">
        <f t="shared" ca="1" si="304"/>
        <v>26.973744602864617</v>
      </c>
      <c r="R1007" s="136">
        <f t="shared" ca="1" si="305"/>
        <v>2.6973744602864618</v>
      </c>
      <c r="S1007" s="136">
        <f t="shared" ca="1" si="306"/>
        <v>2.6973744602864622</v>
      </c>
      <c r="T1007" s="104">
        <f t="shared" ca="1" si="307"/>
        <v>4.6866830254855361E-3</v>
      </c>
      <c r="U1007" s="120">
        <f t="shared" ca="1" si="308"/>
        <v>1271.0695270312358</v>
      </c>
      <c r="V1007" s="104">
        <f t="shared" ca="1" si="309"/>
        <v>2.2084809003183694</v>
      </c>
      <c r="W1007" s="133">
        <f t="shared" ca="1" si="310"/>
        <v>17703.88711758321</v>
      </c>
      <c r="X1007" s="104">
        <f t="shared" ca="1" si="311"/>
        <v>30.760470398417571</v>
      </c>
    </row>
    <row r="1008" spans="1:24" x14ac:dyDescent="0.2">
      <c r="A1008" s="98">
        <v>3</v>
      </c>
      <c r="B1008" s="98">
        <v>2</v>
      </c>
      <c r="C1008" s="98">
        <f t="shared" si="293"/>
        <v>8</v>
      </c>
      <c r="D1008" s="98">
        <f t="shared" si="294"/>
        <v>7</v>
      </c>
      <c r="E1008" s="98">
        <f t="shared" si="295"/>
        <v>3</v>
      </c>
      <c r="F1008" s="118">
        <f t="shared" ca="1" si="296"/>
        <v>2.6189999999999994E-3</v>
      </c>
      <c r="G1008" s="98">
        <v>1</v>
      </c>
      <c r="H1008" s="98">
        <v>0</v>
      </c>
      <c r="I1008" s="98">
        <v>6</v>
      </c>
      <c r="J1008" s="118">
        <f t="shared" ca="1" si="297"/>
        <v>0.24441805363281272</v>
      </c>
      <c r="K1008" s="118">
        <f t="shared" ca="1" si="298"/>
        <v>6.4013088246433634E-4</v>
      </c>
      <c r="L1008" s="133">
        <f t="shared" ca="1" si="299"/>
        <v>240</v>
      </c>
      <c r="M1008" s="130">
        <f t="shared" ca="1" si="300"/>
        <v>760</v>
      </c>
      <c r="N1008" s="100">
        <f t="shared" ca="1" si="301"/>
        <v>4</v>
      </c>
      <c r="O1008" s="136">
        <f t="shared" ca="1" si="302"/>
        <v>2.6973744602864622</v>
      </c>
      <c r="P1008" s="136">
        <f t="shared" ca="1" si="303"/>
        <v>26.973744602864617</v>
      </c>
      <c r="Q1008" s="136">
        <f t="shared" ca="1" si="304"/>
        <v>26.973744602864617</v>
      </c>
      <c r="R1008" s="136">
        <f t="shared" ca="1" si="305"/>
        <v>2.6973744602864618</v>
      </c>
      <c r="S1008" s="136">
        <f t="shared" ca="1" si="306"/>
        <v>2.6973744602864622</v>
      </c>
      <c r="T1008" s="104">
        <f t="shared" ca="1" si="307"/>
        <v>1.726672693599936E-3</v>
      </c>
      <c r="U1008" s="120">
        <f t="shared" ca="1" si="308"/>
        <v>1259.0695270312358</v>
      </c>
      <c r="V1008" s="104">
        <f t="shared" ca="1" si="309"/>
        <v>0.80596928742245955</v>
      </c>
      <c r="W1008" s="133">
        <f t="shared" ca="1" si="310"/>
        <v>15526.287226121562</v>
      </c>
      <c r="X1008" s="104">
        <f t="shared" ca="1" si="311"/>
        <v>9.9388559434519479</v>
      </c>
    </row>
    <row r="1009" spans="1:24" x14ac:dyDescent="0.2">
      <c r="A1009" s="98">
        <v>3</v>
      </c>
      <c r="B1009" s="98">
        <v>2</v>
      </c>
      <c r="C1009" s="98">
        <f t="shared" si="293"/>
        <v>8</v>
      </c>
      <c r="D1009" s="98">
        <f t="shared" si="294"/>
        <v>7</v>
      </c>
      <c r="E1009" s="98">
        <f t="shared" si="295"/>
        <v>3</v>
      </c>
      <c r="F1009" s="118">
        <f t="shared" ca="1" si="296"/>
        <v>2.6189999999999994E-3</v>
      </c>
      <c r="G1009" s="98">
        <v>1</v>
      </c>
      <c r="H1009" s="98">
        <v>0</v>
      </c>
      <c r="I1009" s="98">
        <v>5</v>
      </c>
      <c r="J1009" s="118">
        <f t="shared" ca="1" si="297"/>
        <v>3.8592324257812567E-2</v>
      </c>
      <c r="K1009" s="118">
        <f t="shared" ca="1" si="298"/>
        <v>1.0107329723121109E-4</v>
      </c>
      <c r="L1009" s="133">
        <f t="shared" ca="1" si="299"/>
        <v>228</v>
      </c>
      <c r="M1009" s="130">
        <f t="shared" ca="1" si="300"/>
        <v>772</v>
      </c>
      <c r="N1009" s="100">
        <f t="shared" ca="1" si="301"/>
        <v>4</v>
      </c>
      <c r="O1009" s="136">
        <f t="shared" ca="1" si="302"/>
        <v>2.6973744602864622</v>
      </c>
      <c r="P1009" s="136">
        <f t="shared" ca="1" si="303"/>
        <v>26.973744602864617</v>
      </c>
      <c r="Q1009" s="136">
        <f t="shared" ca="1" si="304"/>
        <v>26.973744602864617</v>
      </c>
      <c r="R1009" s="136">
        <f t="shared" ca="1" si="305"/>
        <v>2.6973744602864618</v>
      </c>
      <c r="S1009" s="136">
        <f t="shared" ca="1" si="306"/>
        <v>2.6973744602864622</v>
      </c>
      <c r="T1009" s="104">
        <f t="shared" ca="1" si="307"/>
        <v>2.7263253056841117E-4</v>
      </c>
      <c r="U1009" s="120">
        <f t="shared" ca="1" si="308"/>
        <v>1247.0695270312358</v>
      </c>
      <c r="V1009" s="104">
        <f t="shared" ca="1" si="309"/>
        <v>0.12604542897361393</v>
      </c>
      <c r="W1009" s="133">
        <f t="shared" ca="1" si="310"/>
        <v>13348.687334659911</v>
      </c>
      <c r="X1009" s="104">
        <f t="shared" ca="1" si="311"/>
        <v>1.3491958426225843</v>
      </c>
    </row>
    <row r="1010" spans="1:24" x14ac:dyDescent="0.2">
      <c r="A1010" s="98">
        <v>3</v>
      </c>
      <c r="B1010" s="98">
        <v>2</v>
      </c>
      <c r="C1010" s="98">
        <f t="shared" si="293"/>
        <v>8</v>
      </c>
      <c r="D1010" s="98">
        <f t="shared" si="294"/>
        <v>7</v>
      </c>
      <c r="E1010" s="98">
        <f t="shared" si="295"/>
        <v>3</v>
      </c>
      <c r="F1010" s="118">
        <f t="shared" ca="1" si="296"/>
        <v>2.6189999999999994E-3</v>
      </c>
      <c r="G1010" s="98">
        <v>1</v>
      </c>
      <c r="H1010" s="98">
        <v>0</v>
      </c>
      <c r="I1010" s="98">
        <v>4</v>
      </c>
      <c r="J1010" s="118">
        <f t="shared" ca="1" si="297"/>
        <v>3.3852916015625085E-3</v>
      </c>
      <c r="K1010" s="118">
        <f t="shared" ca="1" si="298"/>
        <v>8.8660787044922078E-6</v>
      </c>
      <c r="L1010" s="133">
        <f t="shared" ca="1" si="299"/>
        <v>216</v>
      </c>
      <c r="M1010" s="130">
        <f t="shared" ca="1" si="300"/>
        <v>784</v>
      </c>
      <c r="N1010" s="100">
        <f t="shared" ca="1" si="301"/>
        <v>4</v>
      </c>
      <c r="O1010" s="136">
        <f t="shared" ca="1" si="302"/>
        <v>2.6973744602864622</v>
      </c>
      <c r="P1010" s="136">
        <f t="shared" ca="1" si="303"/>
        <v>26.973744602864617</v>
      </c>
      <c r="Q1010" s="136">
        <f t="shared" ca="1" si="304"/>
        <v>26.973744602864617</v>
      </c>
      <c r="R1010" s="136">
        <f t="shared" ca="1" si="305"/>
        <v>2.6973744602864618</v>
      </c>
      <c r="S1010" s="136">
        <f t="shared" ca="1" si="306"/>
        <v>2.6973744602864622</v>
      </c>
      <c r="T1010" s="104">
        <f t="shared" ca="1" si="307"/>
        <v>2.3915134260386965E-5</v>
      </c>
      <c r="U1010" s="120">
        <f t="shared" ca="1" si="308"/>
        <v>1235.0695270312358</v>
      </c>
      <c r="V1010" s="104">
        <f t="shared" ca="1" si="309"/>
        <v>1.0950223632178903E-2</v>
      </c>
      <c r="W1010" s="133">
        <f t="shared" ca="1" si="310"/>
        <v>11171.087443198261</v>
      </c>
      <c r="X1010" s="104">
        <f t="shared" ca="1" si="311"/>
        <v>9.9043740486160409E-2</v>
      </c>
    </row>
    <row r="1011" spans="1:24" x14ac:dyDescent="0.2">
      <c r="A1011" s="98">
        <v>3</v>
      </c>
      <c r="B1011" s="98">
        <v>2</v>
      </c>
      <c r="C1011" s="98">
        <f t="shared" si="293"/>
        <v>8</v>
      </c>
      <c r="D1011" s="98">
        <f t="shared" si="294"/>
        <v>7</v>
      </c>
      <c r="E1011" s="98">
        <f t="shared" si="295"/>
        <v>3</v>
      </c>
      <c r="F1011" s="118">
        <f t="shared" ca="1" si="296"/>
        <v>2.6189999999999994E-3</v>
      </c>
      <c r="G1011" s="98">
        <v>1</v>
      </c>
      <c r="H1011" s="98">
        <v>0</v>
      </c>
      <c r="I1011" s="98">
        <v>3</v>
      </c>
      <c r="J1011" s="118">
        <f t="shared" ca="1" si="297"/>
        <v>1.7817324218750058E-4</v>
      </c>
      <c r="K1011" s="118">
        <f t="shared" ca="1" si="298"/>
        <v>4.6663572128906391E-7</v>
      </c>
      <c r="L1011" s="133">
        <f t="shared" ca="1" si="299"/>
        <v>204</v>
      </c>
      <c r="M1011" s="130">
        <f t="shared" ca="1" si="300"/>
        <v>796</v>
      </c>
      <c r="N1011" s="100">
        <f t="shared" ca="1" si="301"/>
        <v>4</v>
      </c>
      <c r="O1011" s="136">
        <f t="shared" ca="1" si="302"/>
        <v>2.6973744602864622</v>
      </c>
      <c r="P1011" s="136">
        <f t="shared" ca="1" si="303"/>
        <v>26.973744602864617</v>
      </c>
      <c r="Q1011" s="136">
        <f t="shared" ca="1" si="304"/>
        <v>26.973744602864617</v>
      </c>
      <c r="R1011" s="136">
        <f t="shared" ca="1" si="305"/>
        <v>2.6973744602864618</v>
      </c>
      <c r="S1011" s="136">
        <f t="shared" ca="1" si="306"/>
        <v>2.6973744602864622</v>
      </c>
      <c r="T1011" s="104">
        <f t="shared" ca="1" si="307"/>
        <v>1.2586912768624727E-6</v>
      </c>
      <c r="U1011" s="120">
        <f t="shared" ca="1" si="308"/>
        <v>1223.0695270312358</v>
      </c>
      <c r="V1011" s="104">
        <f t="shared" ca="1" si="309"/>
        <v>5.7072793093289494E-4</v>
      </c>
      <c r="W1011" s="133">
        <f t="shared" ca="1" si="310"/>
        <v>8993.4875517366127</v>
      </c>
      <c r="X1011" s="104">
        <f t="shared" ca="1" si="311"/>
        <v>4.1966825506088313E-3</v>
      </c>
    </row>
    <row r="1012" spans="1:24" x14ac:dyDescent="0.2">
      <c r="A1012" s="98">
        <v>3</v>
      </c>
      <c r="B1012" s="98">
        <v>2</v>
      </c>
      <c r="C1012" s="98">
        <f t="shared" si="293"/>
        <v>8</v>
      </c>
      <c r="D1012" s="98">
        <f t="shared" si="294"/>
        <v>7</v>
      </c>
      <c r="E1012" s="98">
        <f t="shared" si="295"/>
        <v>3</v>
      </c>
      <c r="F1012" s="118">
        <f t="shared" ca="1" si="296"/>
        <v>2.6189999999999994E-3</v>
      </c>
      <c r="G1012" s="98">
        <v>1</v>
      </c>
      <c r="H1012" s="98">
        <v>0</v>
      </c>
      <c r="I1012" s="98">
        <v>2</v>
      </c>
      <c r="J1012" s="118">
        <f t="shared" ca="1" si="297"/>
        <v>5.6265234375000243E-6</v>
      </c>
      <c r="K1012" s="118">
        <f t="shared" ca="1" si="298"/>
        <v>1.473586488281256E-8</v>
      </c>
      <c r="L1012" s="133">
        <f t="shared" ca="1" si="299"/>
        <v>192</v>
      </c>
      <c r="M1012" s="130">
        <f t="shared" ca="1" si="300"/>
        <v>808</v>
      </c>
      <c r="N1012" s="100">
        <f t="shared" ca="1" si="301"/>
        <v>4</v>
      </c>
      <c r="O1012" s="136">
        <f t="shared" ca="1" si="302"/>
        <v>2.6973744602864622</v>
      </c>
      <c r="P1012" s="136">
        <f t="shared" ca="1" si="303"/>
        <v>26.973744602864617</v>
      </c>
      <c r="Q1012" s="136">
        <f t="shared" ca="1" si="304"/>
        <v>26.973744602864617</v>
      </c>
      <c r="R1012" s="136">
        <f t="shared" ca="1" si="305"/>
        <v>2.6973744602864618</v>
      </c>
      <c r="S1012" s="136">
        <f t="shared" ca="1" si="306"/>
        <v>2.6973744602864622</v>
      </c>
      <c r="T1012" s="104">
        <f t="shared" ca="1" si="307"/>
        <v>3.974814558513076E-8</v>
      </c>
      <c r="U1012" s="120">
        <f t="shared" ca="1" si="308"/>
        <v>1211.0695270312358</v>
      </c>
      <c r="V1012" s="104">
        <f t="shared" ca="1" si="309"/>
        <v>1.7846156914024005E-5</v>
      </c>
      <c r="W1012" s="133">
        <f t="shared" ca="1" si="310"/>
        <v>6815.8876602749624</v>
      </c>
      <c r="X1012" s="104">
        <f t="shared" ca="1" si="311"/>
        <v>1.0043799961824129E-4</v>
      </c>
    </row>
    <row r="1013" spans="1:24" x14ac:dyDescent="0.2">
      <c r="A1013" s="98">
        <v>3</v>
      </c>
      <c r="B1013" s="98">
        <v>2</v>
      </c>
      <c r="C1013" s="98">
        <f t="shared" si="293"/>
        <v>8</v>
      </c>
      <c r="D1013" s="98">
        <f t="shared" si="294"/>
        <v>7</v>
      </c>
      <c r="E1013" s="98">
        <f t="shared" si="295"/>
        <v>3</v>
      </c>
      <c r="F1013" s="118">
        <f t="shared" ca="1" si="296"/>
        <v>2.6189999999999994E-3</v>
      </c>
      <c r="G1013" s="98">
        <v>1</v>
      </c>
      <c r="H1013" s="98">
        <v>0</v>
      </c>
      <c r="I1013" s="98">
        <v>1</v>
      </c>
      <c r="J1013" s="118">
        <f t="shared" ca="1" si="297"/>
        <v>9.8710937500000504E-8</v>
      </c>
      <c r="K1013" s="118">
        <f t="shared" ca="1" si="298"/>
        <v>2.5852394531250123E-10</v>
      </c>
      <c r="L1013" s="133">
        <f t="shared" ca="1" si="299"/>
        <v>180</v>
      </c>
      <c r="M1013" s="130">
        <f t="shared" ca="1" si="300"/>
        <v>820</v>
      </c>
      <c r="N1013" s="100">
        <f t="shared" ca="1" si="301"/>
        <v>4</v>
      </c>
      <c r="O1013" s="136">
        <f t="shared" ca="1" si="302"/>
        <v>2.6973744602864622</v>
      </c>
      <c r="P1013" s="136">
        <f t="shared" ca="1" si="303"/>
        <v>26.973744602864617</v>
      </c>
      <c r="Q1013" s="136">
        <f t="shared" ca="1" si="304"/>
        <v>26.973744602864617</v>
      </c>
      <c r="R1013" s="136">
        <f t="shared" ca="1" si="305"/>
        <v>2.6973744602864618</v>
      </c>
      <c r="S1013" s="136">
        <f t="shared" ca="1" si="306"/>
        <v>2.6973744602864622</v>
      </c>
      <c r="T1013" s="104">
        <f t="shared" ca="1" si="307"/>
        <v>6.9733588745843492E-10</v>
      </c>
      <c r="U1013" s="120">
        <f t="shared" ca="1" si="308"/>
        <v>1199.0695270312358</v>
      </c>
      <c r="V1013" s="104">
        <f t="shared" ca="1" si="309"/>
        <v>3.0998818483210994E-7</v>
      </c>
      <c r="W1013" s="133">
        <f t="shared" ca="1" si="310"/>
        <v>4638.2877688133131</v>
      </c>
      <c r="X1013" s="104">
        <f t="shared" ca="1" si="311"/>
        <v>1.1991084534883362E-6</v>
      </c>
    </row>
    <row r="1014" spans="1:24" x14ac:dyDescent="0.2">
      <c r="A1014" s="98">
        <v>3</v>
      </c>
      <c r="B1014" s="98">
        <v>2</v>
      </c>
      <c r="C1014" s="98">
        <f t="shared" si="293"/>
        <v>8</v>
      </c>
      <c r="D1014" s="98">
        <f t="shared" si="294"/>
        <v>7</v>
      </c>
      <c r="E1014" s="98">
        <f t="shared" si="295"/>
        <v>3</v>
      </c>
      <c r="F1014" s="118">
        <f t="shared" ca="1" si="296"/>
        <v>2.6189999999999994E-3</v>
      </c>
      <c r="G1014" s="98">
        <v>1</v>
      </c>
      <c r="H1014" s="98">
        <v>0</v>
      </c>
      <c r="I1014" s="98">
        <v>0</v>
      </c>
      <c r="J1014" s="118">
        <f t="shared" ca="1" si="297"/>
        <v>7.4218750000000458E-10</v>
      </c>
      <c r="K1014" s="118">
        <f t="shared" ca="1" si="298"/>
        <v>1.9437890625000117E-12</v>
      </c>
      <c r="L1014" s="133">
        <f t="shared" ca="1" si="299"/>
        <v>168</v>
      </c>
      <c r="M1014" s="130">
        <f t="shared" ca="1" si="300"/>
        <v>832</v>
      </c>
      <c r="N1014" s="100">
        <f t="shared" ca="1" si="301"/>
        <v>4</v>
      </c>
      <c r="O1014" s="136">
        <f t="shared" ca="1" si="302"/>
        <v>2.6973744602864622</v>
      </c>
      <c r="P1014" s="136">
        <f t="shared" ca="1" si="303"/>
        <v>26.973744602864617</v>
      </c>
      <c r="Q1014" s="136">
        <f t="shared" ca="1" si="304"/>
        <v>26.973744602864617</v>
      </c>
      <c r="R1014" s="136">
        <f t="shared" ca="1" si="305"/>
        <v>2.6973744602864618</v>
      </c>
      <c r="S1014" s="136">
        <f t="shared" ca="1" si="306"/>
        <v>2.6973744602864622</v>
      </c>
      <c r="T1014" s="104">
        <f t="shared" ca="1" si="307"/>
        <v>5.2431269733716974E-12</v>
      </c>
      <c r="U1014" s="120">
        <f t="shared" ca="1" si="308"/>
        <v>1187.0695270312358</v>
      </c>
      <c r="V1014" s="104">
        <f t="shared" ca="1" si="309"/>
        <v>2.3074127630703781E-9</v>
      </c>
      <c r="W1014" s="133">
        <f t="shared" ca="1" si="310"/>
        <v>2460.6878773516637</v>
      </c>
      <c r="X1014" s="104">
        <f t="shared" ca="1" si="311"/>
        <v>4.7830581822225346E-9</v>
      </c>
    </row>
    <row r="1015" spans="1:24" x14ac:dyDescent="0.2">
      <c r="A1015" s="98">
        <v>3</v>
      </c>
      <c r="B1015" s="98">
        <v>2</v>
      </c>
      <c r="C1015" s="98">
        <f t="shared" si="293"/>
        <v>8</v>
      </c>
      <c r="D1015" s="98">
        <f t="shared" si="294"/>
        <v>7</v>
      </c>
      <c r="E1015" s="98">
        <f t="shared" si="295"/>
        <v>3</v>
      </c>
      <c r="F1015" s="118">
        <f t="shared" ca="1" si="296"/>
        <v>2.6189999999999994E-3</v>
      </c>
      <c r="G1015" s="98">
        <v>0</v>
      </c>
      <c r="H1015" s="98">
        <v>1</v>
      </c>
      <c r="I1015" s="98">
        <v>7</v>
      </c>
      <c r="J1015" s="118">
        <f t="shared" ca="1" si="297"/>
        <v>0</v>
      </c>
      <c r="K1015" s="118">
        <f t="shared" ca="1" si="298"/>
        <v>0</v>
      </c>
      <c r="L1015" s="133">
        <f t="shared" ca="1" si="299"/>
        <v>252</v>
      </c>
      <c r="M1015" s="130">
        <f t="shared" ca="1" si="300"/>
        <v>748</v>
      </c>
      <c r="N1015" s="100">
        <f t="shared" ca="1" si="301"/>
        <v>4</v>
      </c>
      <c r="O1015" s="136">
        <f t="shared" ca="1" si="302"/>
        <v>2.6973744602864622</v>
      </c>
      <c r="P1015" s="136">
        <f t="shared" ca="1" si="303"/>
        <v>26.973744602864617</v>
      </c>
      <c r="Q1015" s="136">
        <f t="shared" ca="1" si="304"/>
        <v>26.973744602864617</v>
      </c>
      <c r="R1015" s="136">
        <f t="shared" ca="1" si="305"/>
        <v>2.6973744602864618</v>
      </c>
      <c r="S1015" s="136">
        <f t="shared" ca="1" si="306"/>
        <v>2.6973744602864622</v>
      </c>
      <c r="T1015" s="104">
        <f t="shared" ca="1" si="307"/>
        <v>0</v>
      </c>
      <c r="U1015" s="120">
        <f t="shared" ca="1" si="308"/>
        <v>1271.0695270312358</v>
      </c>
      <c r="V1015" s="104">
        <f t="shared" ca="1" si="309"/>
        <v>0</v>
      </c>
      <c r="W1015" s="133">
        <f t="shared" ca="1" si="310"/>
        <v>17420.799131693195</v>
      </c>
      <c r="X1015" s="104">
        <f t="shared" ca="1" si="311"/>
        <v>0</v>
      </c>
    </row>
    <row r="1016" spans="1:24" x14ac:dyDescent="0.2">
      <c r="A1016" s="98">
        <v>3</v>
      </c>
      <c r="B1016" s="98">
        <v>2</v>
      </c>
      <c r="C1016" s="98">
        <f t="shared" si="293"/>
        <v>8</v>
      </c>
      <c r="D1016" s="98">
        <f t="shared" si="294"/>
        <v>7</v>
      </c>
      <c r="E1016" s="98">
        <f t="shared" si="295"/>
        <v>3</v>
      </c>
      <c r="F1016" s="118">
        <f t="shared" ca="1" si="296"/>
        <v>2.6189999999999994E-3</v>
      </c>
      <c r="G1016" s="98">
        <v>0</v>
      </c>
      <c r="H1016" s="98">
        <v>1</v>
      </c>
      <c r="I1016" s="98">
        <v>6</v>
      </c>
      <c r="J1016" s="118">
        <f t="shared" ca="1" si="297"/>
        <v>0</v>
      </c>
      <c r="K1016" s="118">
        <f t="shared" ca="1" si="298"/>
        <v>0</v>
      </c>
      <c r="L1016" s="133">
        <f t="shared" ca="1" si="299"/>
        <v>240</v>
      </c>
      <c r="M1016" s="130">
        <f t="shared" ca="1" si="300"/>
        <v>760</v>
      </c>
      <c r="N1016" s="100">
        <f t="shared" ca="1" si="301"/>
        <v>4</v>
      </c>
      <c r="O1016" s="136">
        <f t="shared" ca="1" si="302"/>
        <v>2.6973744602864622</v>
      </c>
      <c r="P1016" s="136">
        <f t="shared" ca="1" si="303"/>
        <v>26.973744602864617</v>
      </c>
      <c r="Q1016" s="136">
        <f t="shared" ca="1" si="304"/>
        <v>26.973744602864617</v>
      </c>
      <c r="R1016" s="136">
        <f t="shared" ca="1" si="305"/>
        <v>2.6973744602864618</v>
      </c>
      <c r="S1016" s="136">
        <f t="shared" ca="1" si="306"/>
        <v>2.6973744602864622</v>
      </c>
      <c r="T1016" s="104">
        <f t="shared" ca="1" si="307"/>
        <v>0</v>
      </c>
      <c r="U1016" s="120">
        <f t="shared" ca="1" si="308"/>
        <v>1259.0695270312358</v>
      </c>
      <c r="V1016" s="104">
        <f t="shared" ca="1" si="309"/>
        <v>0</v>
      </c>
      <c r="W1016" s="133">
        <f t="shared" ca="1" si="310"/>
        <v>15243.199240231548</v>
      </c>
      <c r="X1016" s="104">
        <f t="shared" ca="1" si="311"/>
        <v>0</v>
      </c>
    </row>
    <row r="1017" spans="1:24" x14ac:dyDescent="0.2">
      <c r="A1017" s="98">
        <v>3</v>
      </c>
      <c r="B1017" s="98">
        <v>2</v>
      </c>
      <c r="C1017" s="98">
        <f t="shared" si="293"/>
        <v>8</v>
      </c>
      <c r="D1017" s="98">
        <f t="shared" si="294"/>
        <v>7</v>
      </c>
      <c r="E1017" s="98">
        <f t="shared" si="295"/>
        <v>3</v>
      </c>
      <c r="F1017" s="118">
        <f t="shared" ca="1" si="296"/>
        <v>2.6189999999999994E-3</v>
      </c>
      <c r="G1017" s="98">
        <v>0</v>
      </c>
      <c r="H1017" s="98">
        <v>1</v>
      </c>
      <c r="I1017" s="98">
        <v>5</v>
      </c>
      <c r="J1017" s="118">
        <f t="shared" ca="1" si="297"/>
        <v>0</v>
      </c>
      <c r="K1017" s="118">
        <f t="shared" ca="1" si="298"/>
        <v>0</v>
      </c>
      <c r="L1017" s="133">
        <f t="shared" ca="1" si="299"/>
        <v>228</v>
      </c>
      <c r="M1017" s="130">
        <f t="shared" ca="1" si="300"/>
        <v>772</v>
      </c>
      <c r="N1017" s="100">
        <f t="shared" ca="1" si="301"/>
        <v>4</v>
      </c>
      <c r="O1017" s="136">
        <f t="shared" ca="1" si="302"/>
        <v>2.6973744602864622</v>
      </c>
      <c r="P1017" s="136">
        <f t="shared" ca="1" si="303"/>
        <v>26.973744602864617</v>
      </c>
      <c r="Q1017" s="136">
        <f t="shared" ca="1" si="304"/>
        <v>26.973744602864617</v>
      </c>
      <c r="R1017" s="136">
        <f t="shared" ca="1" si="305"/>
        <v>2.6973744602864618</v>
      </c>
      <c r="S1017" s="136">
        <f t="shared" ca="1" si="306"/>
        <v>2.6973744602864622</v>
      </c>
      <c r="T1017" s="104">
        <f t="shared" ca="1" si="307"/>
        <v>0</v>
      </c>
      <c r="U1017" s="120">
        <f t="shared" ca="1" si="308"/>
        <v>1247.0695270312358</v>
      </c>
      <c r="V1017" s="104">
        <f t="shared" ca="1" si="309"/>
        <v>0</v>
      </c>
      <c r="W1017" s="133">
        <f t="shared" ca="1" si="310"/>
        <v>13065.599348769898</v>
      </c>
      <c r="X1017" s="104">
        <f t="shared" ca="1" si="311"/>
        <v>0</v>
      </c>
    </row>
    <row r="1018" spans="1:24" x14ac:dyDescent="0.2">
      <c r="A1018" s="98">
        <v>3</v>
      </c>
      <c r="B1018" s="98">
        <v>2</v>
      </c>
      <c r="C1018" s="98">
        <f t="shared" si="293"/>
        <v>8</v>
      </c>
      <c r="D1018" s="98">
        <f t="shared" si="294"/>
        <v>7</v>
      </c>
      <c r="E1018" s="98">
        <f t="shared" si="295"/>
        <v>3</v>
      </c>
      <c r="F1018" s="118">
        <f t="shared" ca="1" si="296"/>
        <v>2.6189999999999994E-3</v>
      </c>
      <c r="G1018" s="98">
        <v>0</v>
      </c>
      <c r="H1018" s="98">
        <v>1</v>
      </c>
      <c r="I1018" s="98">
        <v>4</v>
      </c>
      <c r="J1018" s="118">
        <f t="shared" ca="1" si="297"/>
        <v>0</v>
      </c>
      <c r="K1018" s="118">
        <f t="shared" ca="1" si="298"/>
        <v>0</v>
      </c>
      <c r="L1018" s="133">
        <f t="shared" ca="1" si="299"/>
        <v>216</v>
      </c>
      <c r="M1018" s="130">
        <f t="shared" ca="1" si="300"/>
        <v>784</v>
      </c>
      <c r="N1018" s="100">
        <f t="shared" ca="1" si="301"/>
        <v>4</v>
      </c>
      <c r="O1018" s="136">
        <f t="shared" ca="1" si="302"/>
        <v>2.6973744602864622</v>
      </c>
      <c r="P1018" s="136">
        <f t="shared" ca="1" si="303"/>
        <v>26.973744602864617</v>
      </c>
      <c r="Q1018" s="136">
        <f t="shared" ca="1" si="304"/>
        <v>26.973744602864617</v>
      </c>
      <c r="R1018" s="136">
        <f t="shared" ca="1" si="305"/>
        <v>2.6973744602864618</v>
      </c>
      <c r="S1018" s="136">
        <f t="shared" ca="1" si="306"/>
        <v>2.6973744602864622</v>
      </c>
      <c r="T1018" s="104">
        <f t="shared" ca="1" si="307"/>
        <v>0</v>
      </c>
      <c r="U1018" s="120">
        <f t="shared" ca="1" si="308"/>
        <v>1235.0695270312358</v>
      </c>
      <c r="V1018" s="104">
        <f t="shared" ca="1" si="309"/>
        <v>0</v>
      </c>
      <c r="W1018" s="133">
        <f t="shared" ca="1" si="310"/>
        <v>10887.999457308248</v>
      </c>
      <c r="X1018" s="104">
        <f t="shared" ca="1" si="311"/>
        <v>0</v>
      </c>
    </row>
    <row r="1019" spans="1:24" x14ac:dyDescent="0.2">
      <c r="A1019" s="98">
        <v>3</v>
      </c>
      <c r="B1019" s="98">
        <v>2</v>
      </c>
      <c r="C1019" s="98">
        <f t="shared" si="293"/>
        <v>8</v>
      </c>
      <c r="D1019" s="98">
        <f t="shared" si="294"/>
        <v>7</v>
      </c>
      <c r="E1019" s="98">
        <f t="shared" si="295"/>
        <v>3</v>
      </c>
      <c r="F1019" s="118">
        <f t="shared" ca="1" si="296"/>
        <v>2.6189999999999994E-3</v>
      </c>
      <c r="G1019" s="98">
        <v>0</v>
      </c>
      <c r="H1019" s="98">
        <v>1</v>
      </c>
      <c r="I1019" s="98">
        <v>3</v>
      </c>
      <c r="J1019" s="118">
        <f t="shared" ca="1" si="297"/>
        <v>0</v>
      </c>
      <c r="K1019" s="118">
        <f t="shared" ca="1" si="298"/>
        <v>0</v>
      </c>
      <c r="L1019" s="133">
        <f t="shared" ca="1" si="299"/>
        <v>204</v>
      </c>
      <c r="M1019" s="130">
        <f t="shared" ca="1" si="300"/>
        <v>796</v>
      </c>
      <c r="N1019" s="100">
        <f t="shared" ca="1" si="301"/>
        <v>4</v>
      </c>
      <c r="O1019" s="136">
        <f t="shared" ca="1" si="302"/>
        <v>2.6973744602864622</v>
      </c>
      <c r="P1019" s="136">
        <f t="shared" ca="1" si="303"/>
        <v>26.973744602864617</v>
      </c>
      <c r="Q1019" s="136">
        <f t="shared" ca="1" si="304"/>
        <v>26.973744602864617</v>
      </c>
      <c r="R1019" s="136">
        <f t="shared" ca="1" si="305"/>
        <v>2.6973744602864618</v>
      </c>
      <c r="S1019" s="136">
        <f t="shared" ca="1" si="306"/>
        <v>2.6973744602864622</v>
      </c>
      <c r="T1019" s="104">
        <f t="shared" ca="1" si="307"/>
        <v>0</v>
      </c>
      <c r="U1019" s="120">
        <f t="shared" ca="1" si="308"/>
        <v>1223.0695270312358</v>
      </c>
      <c r="V1019" s="104">
        <f t="shared" ca="1" si="309"/>
        <v>0</v>
      </c>
      <c r="W1019" s="133">
        <f t="shared" ca="1" si="310"/>
        <v>8710.3995658465974</v>
      </c>
      <c r="X1019" s="104">
        <f t="shared" ca="1" si="311"/>
        <v>0</v>
      </c>
    </row>
    <row r="1020" spans="1:24" x14ac:dyDescent="0.2">
      <c r="A1020" s="98">
        <v>3</v>
      </c>
      <c r="B1020" s="98">
        <v>2</v>
      </c>
      <c r="C1020" s="98">
        <f t="shared" si="293"/>
        <v>8</v>
      </c>
      <c r="D1020" s="98">
        <f t="shared" si="294"/>
        <v>7</v>
      </c>
      <c r="E1020" s="98">
        <f t="shared" si="295"/>
        <v>3</v>
      </c>
      <c r="F1020" s="118">
        <f t="shared" ca="1" si="296"/>
        <v>2.6189999999999994E-3</v>
      </c>
      <c r="G1020" s="98">
        <v>0</v>
      </c>
      <c r="H1020" s="98">
        <v>1</v>
      </c>
      <c r="I1020" s="98">
        <v>2</v>
      </c>
      <c r="J1020" s="118">
        <f t="shared" ca="1" si="297"/>
        <v>0</v>
      </c>
      <c r="K1020" s="118">
        <f t="shared" ca="1" si="298"/>
        <v>0</v>
      </c>
      <c r="L1020" s="133">
        <f t="shared" ca="1" si="299"/>
        <v>192</v>
      </c>
      <c r="M1020" s="130">
        <f t="shared" ca="1" si="300"/>
        <v>808</v>
      </c>
      <c r="N1020" s="100">
        <f t="shared" ca="1" si="301"/>
        <v>4</v>
      </c>
      <c r="O1020" s="136">
        <f t="shared" ca="1" si="302"/>
        <v>2.6973744602864622</v>
      </c>
      <c r="P1020" s="136">
        <f t="shared" ca="1" si="303"/>
        <v>26.973744602864617</v>
      </c>
      <c r="Q1020" s="136">
        <f t="shared" ca="1" si="304"/>
        <v>26.973744602864617</v>
      </c>
      <c r="R1020" s="136">
        <f t="shared" ca="1" si="305"/>
        <v>2.6973744602864618</v>
      </c>
      <c r="S1020" s="136">
        <f t="shared" ca="1" si="306"/>
        <v>2.6973744602864622</v>
      </c>
      <c r="T1020" s="104">
        <f t="shared" ca="1" si="307"/>
        <v>0</v>
      </c>
      <c r="U1020" s="120">
        <f t="shared" ca="1" si="308"/>
        <v>1211.0695270312358</v>
      </c>
      <c r="V1020" s="104">
        <f t="shared" ca="1" si="309"/>
        <v>0</v>
      </c>
      <c r="W1020" s="133">
        <f t="shared" ca="1" si="310"/>
        <v>6532.799674384948</v>
      </c>
      <c r="X1020" s="104">
        <f t="shared" ca="1" si="311"/>
        <v>0</v>
      </c>
    </row>
    <row r="1021" spans="1:24" x14ac:dyDescent="0.2">
      <c r="A1021" s="98">
        <v>3</v>
      </c>
      <c r="B1021" s="98">
        <v>2</v>
      </c>
      <c r="C1021" s="98">
        <f t="shared" si="293"/>
        <v>8</v>
      </c>
      <c r="D1021" s="98">
        <f t="shared" si="294"/>
        <v>7</v>
      </c>
      <c r="E1021" s="98">
        <f t="shared" si="295"/>
        <v>3</v>
      </c>
      <c r="F1021" s="118">
        <f t="shared" ca="1" si="296"/>
        <v>2.6189999999999994E-3</v>
      </c>
      <c r="G1021" s="98">
        <v>0</v>
      </c>
      <c r="H1021" s="98">
        <v>1</v>
      </c>
      <c r="I1021" s="98">
        <v>1</v>
      </c>
      <c r="J1021" s="118">
        <f t="shared" ca="1" si="297"/>
        <v>0</v>
      </c>
      <c r="K1021" s="118">
        <f t="shared" ca="1" si="298"/>
        <v>0</v>
      </c>
      <c r="L1021" s="133">
        <f t="shared" ca="1" si="299"/>
        <v>180</v>
      </c>
      <c r="M1021" s="130">
        <f t="shared" ca="1" si="300"/>
        <v>820</v>
      </c>
      <c r="N1021" s="100">
        <f t="shared" ca="1" si="301"/>
        <v>4</v>
      </c>
      <c r="O1021" s="136">
        <f t="shared" ca="1" si="302"/>
        <v>2.6973744602864622</v>
      </c>
      <c r="P1021" s="136">
        <f t="shared" ca="1" si="303"/>
        <v>26.973744602864617</v>
      </c>
      <c r="Q1021" s="136">
        <f t="shared" ca="1" si="304"/>
        <v>26.973744602864617</v>
      </c>
      <c r="R1021" s="136">
        <f t="shared" ca="1" si="305"/>
        <v>2.6973744602864618</v>
      </c>
      <c r="S1021" s="136">
        <f t="shared" ca="1" si="306"/>
        <v>2.6973744602864622</v>
      </c>
      <c r="T1021" s="104">
        <f t="shared" ca="1" si="307"/>
        <v>0</v>
      </c>
      <c r="U1021" s="120">
        <f t="shared" ca="1" si="308"/>
        <v>1199.0695270312358</v>
      </c>
      <c r="V1021" s="104">
        <f t="shared" ca="1" si="309"/>
        <v>0</v>
      </c>
      <c r="W1021" s="133">
        <f t="shared" ca="1" si="310"/>
        <v>4355.1997829232987</v>
      </c>
      <c r="X1021" s="104">
        <f t="shared" ca="1" si="311"/>
        <v>0</v>
      </c>
    </row>
    <row r="1022" spans="1:24" x14ac:dyDescent="0.2">
      <c r="A1022" s="98">
        <v>3</v>
      </c>
      <c r="B1022" s="98">
        <v>2</v>
      </c>
      <c r="C1022" s="98">
        <f t="shared" si="293"/>
        <v>8</v>
      </c>
      <c r="D1022" s="98">
        <f t="shared" si="294"/>
        <v>7</v>
      </c>
      <c r="E1022" s="98">
        <f t="shared" si="295"/>
        <v>3</v>
      </c>
      <c r="F1022" s="118">
        <f t="shared" ca="1" si="296"/>
        <v>2.6189999999999994E-3</v>
      </c>
      <c r="G1022" s="98">
        <v>0</v>
      </c>
      <c r="H1022" s="98">
        <v>1</v>
      </c>
      <c r="I1022" s="98">
        <v>0</v>
      </c>
      <c r="J1022" s="118">
        <f t="shared" ca="1" si="297"/>
        <v>0</v>
      </c>
      <c r="K1022" s="118">
        <f t="shared" ca="1" si="298"/>
        <v>0</v>
      </c>
      <c r="L1022" s="133">
        <f t="shared" ca="1" si="299"/>
        <v>168</v>
      </c>
      <c r="M1022" s="130">
        <f t="shared" ca="1" si="300"/>
        <v>832</v>
      </c>
      <c r="N1022" s="100">
        <f t="shared" ca="1" si="301"/>
        <v>4</v>
      </c>
      <c r="O1022" s="136">
        <f t="shared" ca="1" si="302"/>
        <v>2.6973744602864622</v>
      </c>
      <c r="P1022" s="136">
        <f t="shared" ca="1" si="303"/>
        <v>26.973744602864617</v>
      </c>
      <c r="Q1022" s="136">
        <f t="shared" ca="1" si="304"/>
        <v>26.973744602864617</v>
      </c>
      <c r="R1022" s="136">
        <f t="shared" ca="1" si="305"/>
        <v>2.6973744602864618</v>
      </c>
      <c r="S1022" s="136">
        <f t="shared" ca="1" si="306"/>
        <v>2.6973744602864622</v>
      </c>
      <c r="T1022" s="104">
        <f t="shared" ca="1" si="307"/>
        <v>0</v>
      </c>
      <c r="U1022" s="120">
        <f t="shared" ca="1" si="308"/>
        <v>1187.0695270312358</v>
      </c>
      <c r="V1022" s="104">
        <f t="shared" ca="1" si="309"/>
        <v>0</v>
      </c>
      <c r="W1022" s="133">
        <f t="shared" ca="1" si="310"/>
        <v>2177.5998914616493</v>
      </c>
      <c r="X1022" s="104">
        <f t="shared" ca="1" si="311"/>
        <v>0</v>
      </c>
    </row>
    <row r="1023" spans="1:24" x14ac:dyDescent="0.2">
      <c r="A1023" s="98">
        <v>3</v>
      </c>
      <c r="B1023" s="98">
        <v>2</v>
      </c>
      <c r="C1023" s="98">
        <f t="shared" si="293"/>
        <v>8</v>
      </c>
      <c r="D1023" s="98">
        <f t="shared" si="294"/>
        <v>7</v>
      </c>
      <c r="E1023" s="98">
        <f t="shared" si="295"/>
        <v>3</v>
      </c>
      <c r="F1023" s="118">
        <f t="shared" ca="1" si="296"/>
        <v>2.6189999999999994E-3</v>
      </c>
      <c r="G1023" s="98">
        <v>0</v>
      </c>
      <c r="H1023" s="98">
        <v>0</v>
      </c>
      <c r="I1023" s="98">
        <v>7</v>
      </c>
      <c r="J1023" s="118">
        <f t="shared" ca="1" si="297"/>
        <v>3.4916864804687496E-2</v>
      </c>
      <c r="K1023" s="118">
        <f t="shared" ca="1" si="298"/>
        <v>9.1447268923476526E-5</v>
      </c>
      <c r="L1023" s="133">
        <f t="shared" ca="1" si="299"/>
        <v>84</v>
      </c>
      <c r="M1023" s="130">
        <f t="shared" ca="1" si="300"/>
        <v>916</v>
      </c>
      <c r="N1023" s="100">
        <f t="shared" ca="1" si="301"/>
        <v>5</v>
      </c>
      <c r="O1023" s="136">
        <f t="shared" ca="1" si="302"/>
        <v>3.301004590397413</v>
      </c>
      <c r="P1023" s="136">
        <f t="shared" ca="1" si="303"/>
        <v>33.010045903974124</v>
      </c>
      <c r="Q1023" s="136">
        <f t="shared" ca="1" si="304"/>
        <v>33.010045903974124</v>
      </c>
      <c r="R1023" s="136">
        <f t="shared" ca="1" si="305"/>
        <v>3.3010045903974126</v>
      </c>
      <c r="S1023" s="136">
        <f t="shared" ca="1" si="306"/>
        <v>3.3010045903974126</v>
      </c>
      <c r="T1023" s="104">
        <f t="shared" ca="1" si="307"/>
        <v>3.0186785449570265E-4</v>
      </c>
      <c r="U1023" s="120">
        <f t="shared" ca="1" si="308"/>
        <v>1323.3671890482913</v>
      </c>
      <c r="V1023" s="104">
        <f t="shared" ca="1" si="309"/>
        <v>0.12101831522140429</v>
      </c>
      <c r="W1023" s="133">
        <f t="shared" ca="1" si="310"/>
        <v>15243.199240231546</v>
      </c>
      <c r="X1023" s="104">
        <f t="shared" ca="1" si="311"/>
        <v>1.3939489401755873</v>
      </c>
    </row>
    <row r="1024" spans="1:24" x14ac:dyDescent="0.2">
      <c r="A1024" s="98">
        <v>3</v>
      </c>
      <c r="B1024" s="98">
        <v>2</v>
      </c>
      <c r="C1024" s="98">
        <f t="shared" si="293"/>
        <v>8</v>
      </c>
      <c r="D1024" s="98">
        <f t="shared" si="294"/>
        <v>7</v>
      </c>
      <c r="E1024" s="98">
        <f t="shared" si="295"/>
        <v>3</v>
      </c>
      <c r="F1024" s="118">
        <f t="shared" ca="1" si="296"/>
        <v>2.6189999999999994E-3</v>
      </c>
      <c r="G1024" s="98">
        <v>0</v>
      </c>
      <c r="H1024" s="98">
        <v>0</v>
      </c>
      <c r="I1024" s="98">
        <v>6</v>
      </c>
      <c r="J1024" s="118">
        <f t="shared" ca="1" si="297"/>
        <v>1.2864108085937513E-2</v>
      </c>
      <c r="K1024" s="118">
        <f t="shared" ca="1" si="298"/>
        <v>3.3691099077070339E-5</v>
      </c>
      <c r="L1024" s="133">
        <f t="shared" ca="1" si="299"/>
        <v>72</v>
      </c>
      <c r="M1024" s="130">
        <f t="shared" ca="1" si="300"/>
        <v>928</v>
      </c>
      <c r="N1024" s="100">
        <f t="shared" ca="1" si="301"/>
        <v>5</v>
      </c>
      <c r="O1024" s="136">
        <f t="shared" ca="1" si="302"/>
        <v>3.301004590397413</v>
      </c>
      <c r="P1024" s="136">
        <f t="shared" ca="1" si="303"/>
        <v>33.010045903974124</v>
      </c>
      <c r="Q1024" s="136">
        <f t="shared" ca="1" si="304"/>
        <v>33.010045903974124</v>
      </c>
      <c r="R1024" s="136">
        <f t="shared" ca="1" si="305"/>
        <v>3.3010045903974126</v>
      </c>
      <c r="S1024" s="136">
        <f t="shared" ca="1" si="306"/>
        <v>3.3010045903974126</v>
      </c>
      <c r="T1024" s="104">
        <f t="shared" ca="1" si="307"/>
        <v>1.1121447270894322E-4</v>
      </c>
      <c r="U1024" s="120">
        <f t="shared" ca="1" si="308"/>
        <v>1311.3671890482913</v>
      </c>
      <c r="V1024" s="104">
        <f t="shared" ca="1" si="309"/>
        <v>4.418140189264521E-2</v>
      </c>
      <c r="W1024" s="133">
        <f t="shared" ca="1" si="310"/>
        <v>13065.599348769898</v>
      </c>
      <c r="X1024" s="104">
        <f t="shared" ca="1" si="311"/>
        <v>0.44019440216071232</v>
      </c>
    </row>
    <row r="1025" spans="1:24" x14ac:dyDescent="0.2">
      <c r="A1025" s="98">
        <v>3</v>
      </c>
      <c r="B1025" s="98">
        <v>2</v>
      </c>
      <c r="C1025" s="98">
        <f t="shared" si="293"/>
        <v>8</v>
      </c>
      <c r="D1025" s="98">
        <f t="shared" si="294"/>
        <v>7</v>
      </c>
      <c r="E1025" s="98">
        <f t="shared" si="295"/>
        <v>3</v>
      </c>
      <c r="F1025" s="118">
        <f t="shared" ca="1" si="296"/>
        <v>2.6189999999999994E-3</v>
      </c>
      <c r="G1025" s="98">
        <v>0</v>
      </c>
      <c r="H1025" s="98">
        <v>0</v>
      </c>
      <c r="I1025" s="98">
        <v>5</v>
      </c>
      <c r="J1025" s="118">
        <f t="shared" ca="1" si="297"/>
        <v>2.0311749609375038E-3</v>
      </c>
      <c r="K1025" s="118">
        <f t="shared" ca="1" si="298"/>
        <v>5.3196472226953211E-6</v>
      </c>
      <c r="L1025" s="133">
        <f t="shared" ca="1" si="299"/>
        <v>60</v>
      </c>
      <c r="M1025" s="130">
        <f t="shared" ca="1" si="300"/>
        <v>940</v>
      </c>
      <c r="N1025" s="100">
        <f t="shared" ca="1" si="301"/>
        <v>5</v>
      </c>
      <c r="O1025" s="136">
        <f t="shared" ca="1" si="302"/>
        <v>3.301004590397413</v>
      </c>
      <c r="P1025" s="136">
        <f t="shared" ca="1" si="303"/>
        <v>33.010045903974124</v>
      </c>
      <c r="Q1025" s="136">
        <f t="shared" ca="1" si="304"/>
        <v>33.010045903974124</v>
      </c>
      <c r="R1025" s="136">
        <f t="shared" ca="1" si="305"/>
        <v>3.3010045903974126</v>
      </c>
      <c r="S1025" s="136">
        <f t="shared" ca="1" si="306"/>
        <v>3.3010045903974126</v>
      </c>
      <c r="T1025" s="104">
        <f t="shared" ca="1" si="307"/>
        <v>1.7560179901412101E-5</v>
      </c>
      <c r="U1025" s="120">
        <f t="shared" ca="1" si="308"/>
        <v>1299.3671890482913</v>
      </c>
      <c r="V1025" s="104">
        <f t="shared" ca="1" si="309"/>
        <v>6.9121750584821692E-3</v>
      </c>
      <c r="W1025" s="133">
        <f t="shared" ca="1" si="310"/>
        <v>10887.999457308248</v>
      </c>
      <c r="X1025" s="104">
        <f t="shared" ca="1" si="311"/>
        <v>5.7920316073777983E-2</v>
      </c>
    </row>
    <row r="1026" spans="1:24" x14ac:dyDescent="0.2">
      <c r="A1026" s="98">
        <v>3</v>
      </c>
      <c r="B1026" s="98">
        <v>2</v>
      </c>
      <c r="C1026" s="98">
        <f t="shared" si="293"/>
        <v>8</v>
      </c>
      <c r="D1026" s="98">
        <f t="shared" si="294"/>
        <v>7</v>
      </c>
      <c r="E1026" s="98">
        <f t="shared" si="295"/>
        <v>3</v>
      </c>
      <c r="F1026" s="118">
        <f t="shared" ca="1" si="296"/>
        <v>2.6189999999999994E-3</v>
      </c>
      <c r="G1026" s="98">
        <v>0</v>
      </c>
      <c r="H1026" s="98">
        <v>0</v>
      </c>
      <c r="I1026" s="98">
        <v>4</v>
      </c>
      <c r="J1026" s="118">
        <f t="shared" ca="1" si="297"/>
        <v>1.7817324218750047E-4</v>
      </c>
      <c r="K1026" s="118">
        <f t="shared" ca="1" si="298"/>
        <v>4.6663572128906364E-7</v>
      </c>
      <c r="L1026" s="133">
        <f t="shared" ca="1" si="299"/>
        <v>48</v>
      </c>
      <c r="M1026" s="130">
        <f t="shared" ca="1" si="300"/>
        <v>952</v>
      </c>
      <c r="N1026" s="100">
        <f t="shared" ca="1" si="301"/>
        <v>5</v>
      </c>
      <c r="O1026" s="136">
        <f t="shared" ca="1" si="302"/>
        <v>3.301004590397413</v>
      </c>
      <c r="P1026" s="136">
        <f t="shared" ca="1" si="303"/>
        <v>33.010045903974124</v>
      </c>
      <c r="Q1026" s="136">
        <f t="shared" ca="1" si="304"/>
        <v>33.010045903974124</v>
      </c>
      <c r="R1026" s="136">
        <f t="shared" ca="1" si="305"/>
        <v>3.3010045903974126</v>
      </c>
      <c r="S1026" s="136">
        <f t="shared" ca="1" si="306"/>
        <v>3.3010045903974126</v>
      </c>
      <c r="T1026" s="104">
        <f t="shared" ca="1" si="307"/>
        <v>1.5403666580186066E-6</v>
      </c>
      <c r="U1026" s="120">
        <f t="shared" ca="1" si="308"/>
        <v>1287.3671890482913</v>
      </c>
      <c r="V1026" s="104">
        <f t="shared" ca="1" si="309"/>
        <v>6.0073151682542378E-4</v>
      </c>
      <c r="W1026" s="133">
        <f t="shared" ca="1" si="310"/>
        <v>8710.3995658465974</v>
      </c>
      <c r="X1026" s="104">
        <f t="shared" ca="1" si="311"/>
        <v>4.0645835841247738E-3</v>
      </c>
    </row>
    <row r="1027" spans="1:24" x14ac:dyDescent="0.2">
      <c r="A1027" s="98">
        <v>3</v>
      </c>
      <c r="B1027" s="98">
        <v>2</v>
      </c>
      <c r="C1027" s="98">
        <f t="shared" si="293"/>
        <v>8</v>
      </c>
      <c r="D1027" s="98">
        <f t="shared" si="294"/>
        <v>7</v>
      </c>
      <c r="E1027" s="98">
        <f t="shared" si="295"/>
        <v>3</v>
      </c>
      <c r="F1027" s="118">
        <f t="shared" ca="1" si="296"/>
        <v>2.6189999999999994E-3</v>
      </c>
      <c r="G1027" s="98">
        <v>0</v>
      </c>
      <c r="H1027" s="98">
        <v>0</v>
      </c>
      <c r="I1027" s="98">
        <v>3</v>
      </c>
      <c r="J1027" s="118">
        <f t="shared" ca="1" si="297"/>
        <v>9.3775390625000315E-6</v>
      </c>
      <c r="K1027" s="118">
        <f t="shared" ca="1" si="298"/>
        <v>2.4559774804687577E-8</v>
      </c>
      <c r="L1027" s="133">
        <f t="shared" ca="1" si="299"/>
        <v>36</v>
      </c>
      <c r="M1027" s="130">
        <f t="shared" ca="1" si="300"/>
        <v>964</v>
      </c>
      <c r="N1027" s="100">
        <f t="shared" ca="1" si="301"/>
        <v>5</v>
      </c>
      <c r="O1027" s="136">
        <f t="shared" ca="1" si="302"/>
        <v>3.301004590397413</v>
      </c>
      <c r="P1027" s="136">
        <f t="shared" ca="1" si="303"/>
        <v>33.010045903974124</v>
      </c>
      <c r="Q1027" s="136">
        <f t="shared" ca="1" si="304"/>
        <v>33.010045903974124</v>
      </c>
      <c r="R1027" s="136">
        <f t="shared" ca="1" si="305"/>
        <v>3.3010045903974126</v>
      </c>
      <c r="S1027" s="136">
        <f t="shared" ca="1" si="306"/>
        <v>3.3010045903974126</v>
      </c>
      <c r="T1027" s="104">
        <f t="shared" ca="1" si="307"/>
        <v>8.1071929369400406E-8</v>
      </c>
      <c r="U1027" s="120">
        <f t="shared" ca="1" si="308"/>
        <v>1275.3671890482913</v>
      </c>
      <c r="V1027" s="104">
        <f t="shared" ca="1" si="309"/>
        <v>3.1322730956313445E-5</v>
      </c>
      <c r="W1027" s="133">
        <f t="shared" ca="1" si="310"/>
        <v>6532.799674384949</v>
      </c>
      <c r="X1027" s="104">
        <f t="shared" ca="1" si="311"/>
        <v>1.6044408884703068E-4</v>
      </c>
    </row>
    <row r="1028" spans="1:24" x14ac:dyDescent="0.2">
      <c r="A1028" s="98">
        <v>3</v>
      </c>
      <c r="B1028" s="98">
        <v>2</v>
      </c>
      <c r="C1028" s="98">
        <f t="shared" si="293"/>
        <v>8</v>
      </c>
      <c r="D1028" s="98">
        <f t="shared" si="294"/>
        <v>7</v>
      </c>
      <c r="E1028" s="98">
        <f t="shared" si="295"/>
        <v>3</v>
      </c>
      <c r="F1028" s="118">
        <f t="shared" ca="1" si="296"/>
        <v>2.6189999999999994E-3</v>
      </c>
      <c r="G1028" s="98">
        <v>0</v>
      </c>
      <c r="H1028" s="98">
        <v>0</v>
      </c>
      <c r="I1028" s="98">
        <v>2</v>
      </c>
      <c r="J1028" s="118">
        <f t="shared" ca="1" si="297"/>
        <v>2.961328125000013E-7</v>
      </c>
      <c r="K1028" s="118">
        <f t="shared" ca="1" si="298"/>
        <v>7.7557183593750319E-10</v>
      </c>
      <c r="L1028" s="133">
        <f t="shared" ca="1" si="299"/>
        <v>24</v>
      </c>
      <c r="M1028" s="130">
        <f t="shared" ca="1" si="300"/>
        <v>976</v>
      </c>
      <c r="N1028" s="100">
        <f t="shared" ca="1" si="301"/>
        <v>5</v>
      </c>
      <c r="O1028" s="136">
        <f t="shared" ca="1" si="302"/>
        <v>3.301004590397413</v>
      </c>
      <c r="P1028" s="136">
        <f t="shared" ca="1" si="303"/>
        <v>33.010045903974124</v>
      </c>
      <c r="Q1028" s="136">
        <f t="shared" ca="1" si="304"/>
        <v>33.010045903974124</v>
      </c>
      <c r="R1028" s="136">
        <f t="shared" ca="1" si="305"/>
        <v>3.3010045903974126</v>
      </c>
      <c r="S1028" s="136">
        <f t="shared" ca="1" si="306"/>
        <v>3.3010045903974126</v>
      </c>
      <c r="T1028" s="104">
        <f t="shared" ca="1" si="307"/>
        <v>2.5601661906126468E-9</v>
      </c>
      <c r="U1028" s="120">
        <f t="shared" ca="1" si="308"/>
        <v>1263.3671890482913</v>
      </c>
      <c r="V1028" s="104">
        <f t="shared" ca="1" si="309"/>
        <v>9.7983201027338602E-7</v>
      </c>
      <c r="W1028" s="133">
        <f t="shared" ca="1" si="310"/>
        <v>4355.1997829232987</v>
      </c>
      <c r="X1028" s="104">
        <f t="shared" ca="1" si="311"/>
        <v>3.3777702915164381E-6</v>
      </c>
    </row>
    <row r="1029" spans="1:24" x14ac:dyDescent="0.2">
      <c r="A1029" s="98">
        <v>3</v>
      </c>
      <c r="B1029" s="98">
        <v>2</v>
      </c>
      <c r="C1029" s="98">
        <f t="shared" si="293"/>
        <v>8</v>
      </c>
      <c r="D1029" s="98">
        <f t="shared" si="294"/>
        <v>7</v>
      </c>
      <c r="E1029" s="98">
        <f t="shared" si="295"/>
        <v>3</v>
      </c>
      <c r="F1029" s="118">
        <f t="shared" ca="1" si="296"/>
        <v>2.6189999999999994E-3</v>
      </c>
      <c r="G1029" s="98">
        <v>0</v>
      </c>
      <c r="H1029" s="98">
        <v>0</v>
      </c>
      <c r="I1029" s="98">
        <v>1</v>
      </c>
      <c r="J1029" s="118">
        <f t="shared" ca="1" si="297"/>
        <v>5.1953125000000272E-9</v>
      </c>
      <c r="K1029" s="118">
        <f t="shared" ca="1" si="298"/>
        <v>1.3606523437500068E-11</v>
      </c>
      <c r="L1029" s="133">
        <f t="shared" ca="1" si="299"/>
        <v>12</v>
      </c>
      <c r="M1029" s="130">
        <f t="shared" ca="1" si="300"/>
        <v>988</v>
      </c>
      <c r="N1029" s="100">
        <f t="shared" ca="1" si="301"/>
        <v>5</v>
      </c>
      <c r="O1029" s="136">
        <f t="shared" ca="1" si="302"/>
        <v>3.301004590397413</v>
      </c>
      <c r="P1029" s="136">
        <f t="shared" ca="1" si="303"/>
        <v>33.010045903974124</v>
      </c>
      <c r="Q1029" s="136">
        <f t="shared" ca="1" si="304"/>
        <v>33.010045903974124</v>
      </c>
      <c r="R1029" s="136">
        <f t="shared" ca="1" si="305"/>
        <v>3.3010045903974126</v>
      </c>
      <c r="S1029" s="136">
        <f t="shared" ca="1" si="306"/>
        <v>3.3010045903974126</v>
      </c>
      <c r="T1029" s="104">
        <f t="shared" ca="1" si="307"/>
        <v>4.4915196326537706E-11</v>
      </c>
      <c r="U1029" s="120">
        <f t="shared" ca="1" si="308"/>
        <v>1251.3671890482913</v>
      </c>
      <c r="V1029" s="104">
        <f t="shared" ca="1" si="309"/>
        <v>1.7026756986704153E-8</v>
      </c>
      <c r="W1029" s="133">
        <f t="shared" ca="1" si="310"/>
        <v>2177.5998914616493</v>
      </c>
      <c r="X1029" s="104">
        <f t="shared" ca="1" si="311"/>
        <v>2.9629563960670538E-8</v>
      </c>
    </row>
    <row r="1030" spans="1:24" x14ac:dyDescent="0.2">
      <c r="A1030" s="98">
        <v>3</v>
      </c>
      <c r="B1030" s="98">
        <v>2</v>
      </c>
      <c r="C1030" s="98">
        <f t="shared" si="293"/>
        <v>8</v>
      </c>
      <c r="D1030" s="98">
        <f t="shared" si="294"/>
        <v>7</v>
      </c>
      <c r="E1030" s="98">
        <f t="shared" si="295"/>
        <v>3</v>
      </c>
      <c r="F1030" s="118">
        <f t="shared" ca="1" si="296"/>
        <v>2.6189999999999994E-3</v>
      </c>
      <c r="G1030" s="98">
        <v>0</v>
      </c>
      <c r="H1030" s="98">
        <v>0</v>
      </c>
      <c r="I1030" s="98">
        <v>0</v>
      </c>
      <c r="J1030" s="118">
        <f t="shared" ca="1" si="297"/>
        <v>3.9062500000000246E-11</v>
      </c>
      <c r="K1030" s="118">
        <f t="shared" ca="1" si="298"/>
        <v>1.0230468750000063E-13</v>
      </c>
      <c r="L1030" s="133">
        <f t="shared" ca="1" si="299"/>
        <v>0</v>
      </c>
      <c r="M1030" s="130">
        <f t="shared" ca="1" si="300"/>
        <v>1000</v>
      </c>
      <c r="N1030" s="100">
        <f t="shared" ca="1" si="301"/>
        <v>5</v>
      </c>
      <c r="O1030" s="136">
        <f t="shared" ca="1" si="302"/>
        <v>3.301004590397413</v>
      </c>
      <c r="P1030" s="136">
        <f t="shared" ca="1" si="303"/>
        <v>33.010045903974124</v>
      </c>
      <c r="Q1030" s="136">
        <f t="shared" ca="1" si="304"/>
        <v>33.010045903974124</v>
      </c>
      <c r="R1030" s="136">
        <f t="shared" ca="1" si="305"/>
        <v>3.3010045903974126</v>
      </c>
      <c r="S1030" s="136">
        <f t="shared" ca="1" si="306"/>
        <v>3.3010045903974126</v>
      </c>
      <c r="T1030" s="104">
        <f t="shared" ca="1" si="307"/>
        <v>3.3770824305667485E-13</v>
      </c>
      <c r="U1030" s="120">
        <f t="shared" ca="1" si="308"/>
        <v>1239.3671890482913</v>
      </c>
      <c r="V1030" s="104">
        <f t="shared" ca="1" si="309"/>
        <v>1.2679307297333963E-10</v>
      </c>
      <c r="W1030" s="133">
        <f t="shared" ca="1" si="310"/>
        <v>0</v>
      </c>
      <c r="X1030" s="104">
        <f t="shared" ca="1" si="311"/>
        <v>0</v>
      </c>
    </row>
    <row r="1031" spans="1:24" x14ac:dyDescent="0.2">
      <c r="A1031" s="98">
        <v>3</v>
      </c>
      <c r="B1031" s="98">
        <v>3</v>
      </c>
      <c r="C1031" s="98">
        <f t="shared" si="293"/>
        <v>8</v>
      </c>
      <c r="D1031" s="98">
        <f t="shared" si="294"/>
        <v>7</v>
      </c>
      <c r="E1031" s="98">
        <f t="shared" si="295"/>
        <v>3</v>
      </c>
      <c r="F1031" s="118">
        <f t="shared" ca="1" si="296"/>
        <v>8.9999999999999998E-4</v>
      </c>
      <c r="G1031" s="98">
        <v>1</v>
      </c>
      <c r="H1031" s="98">
        <v>1</v>
      </c>
      <c r="I1031" s="98">
        <v>7</v>
      </c>
      <c r="J1031" s="118">
        <f t="shared" ca="1" si="297"/>
        <v>0</v>
      </c>
      <c r="K1031" s="118">
        <f t="shared" ca="1" si="298"/>
        <v>0</v>
      </c>
      <c r="L1031" s="133">
        <f t="shared" ca="1" si="299"/>
        <v>420</v>
      </c>
      <c r="M1031" s="130">
        <f t="shared" ca="1" si="300"/>
        <v>580</v>
      </c>
      <c r="N1031" s="100">
        <f t="shared" ca="1" si="301"/>
        <v>3</v>
      </c>
      <c r="O1031" s="136">
        <f t="shared" ca="1" si="302"/>
        <v>2.1177215542739054</v>
      </c>
      <c r="P1031" s="136">
        <f t="shared" ca="1" si="303"/>
        <v>21.177215542739059</v>
      </c>
      <c r="Q1031" s="136">
        <f t="shared" ca="1" si="304"/>
        <v>21.177215542739059</v>
      </c>
      <c r="R1031" s="136">
        <f t="shared" ca="1" si="305"/>
        <v>2.1177215542739058</v>
      </c>
      <c r="S1031" s="136">
        <f t="shared" ca="1" si="306"/>
        <v>2.1177215542739054</v>
      </c>
      <c r="T1031" s="104">
        <f t="shared" ca="1" si="307"/>
        <v>0</v>
      </c>
      <c r="U1031" s="120">
        <f t="shared" ca="1" si="308"/>
        <v>1227.5224659982036</v>
      </c>
      <c r="V1031" s="104">
        <f t="shared" ca="1" si="309"/>
        <v>0</v>
      </c>
      <c r="W1031" s="133">
        <f t="shared" ca="1" si="310"/>
        <v>19881.48700904486</v>
      </c>
      <c r="X1031" s="104">
        <f t="shared" ca="1" si="311"/>
        <v>0</v>
      </c>
    </row>
    <row r="1032" spans="1:24" x14ac:dyDescent="0.2">
      <c r="A1032" s="98">
        <v>3</v>
      </c>
      <c r="B1032" s="98">
        <v>3</v>
      </c>
      <c r="C1032" s="98">
        <f t="shared" si="293"/>
        <v>8</v>
      </c>
      <c r="D1032" s="98">
        <f t="shared" si="294"/>
        <v>7</v>
      </c>
      <c r="E1032" s="98">
        <f t="shared" si="295"/>
        <v>3</v>
      </c>
      <c r="F1032" s="118">
        <f t="shared" ca="1" si="296"/>
        <v>8.9999999999999998E-4</v>
      </c>
      <c r="G1032" s="98">
        <v>1</v>
      </c>
      <c r="H1032" s="98">
        <v>1</v>
      </c>
      <c r="I1032" s="98">
        <v>6</v>
      </c>
      <c r="J1032" s="118">
        <f t="shared" ca="1" si="297"/>
        <v>0</v>
      </c>
      <c r="K1032" s="118">
        <f t="shared" ca="1" si="298"/>
        <v>0</v>
      </c>
      <c r="L1032" s="133">
        <f t="shared" ca="1" si="299"/>
        <v>408</v>
      </c>
      <c r="M1032" s="130">
        <f t="shared" ca="1" si="300"/>
        <v>592</v>
      </c>
      <c r="N1032" s="100">
        <f t="shared" ca="1" si="301"/>
        <v>3</v>
      </c>
      <c r="O1032" s="136">
        <f t="shared" ca="1" si="302"/>
        <v>2.1177215542739054</v>
      </c>
      <c r="P1032" s="136">
        <f t="shared" ca="1" si="303"/>
        <v>21.177215542739059</v>
      </c>
      <c r="Q1032" s="136">
        <f t="shared" ca="1" si="304"/>
        <v>21.177215542739059</v>
      </c>
      <c r="R1032" s="136">
        <f t="shared" ca="1" si="305"/>
        <v>2.1177215542739058</v>
      </c>
      <c r="S1032" s="136">
        <f t="shared" ca="1" si="306"/>
        <v>2.1177215542739054</v>
      </c>
      <c r="T1032" s="104">
        <f t="shared" ca="1" si="307"/>
        <v>0</v>
      </c>
      <c r="U1032" s="120">
        <f t="shared" ca="1" si="308"/>
        <v>1215.5224659982036</v>
      </c>
      <c r="V1032" s="104">
        <f t="shared" ca="1" si="309"/>
        <v>0</v>
      </c>
      <c r="W1032" s="133">
        <f t="shared" ca="1" si="310"/>
        <v>17703.88711758321</v>
      </c>
      <c r="X1032" s="104">
        <f t="shared" ca="1" si="311"/>
        <v>0</v>
      </c>
    </row>
    <row r="1033" spans="1:24" x14ac:dyDescent="0.2">
      <c r="A1033" s="98">
        <v>3</v>
      </c>
      <c r="B1033" s="98">
        <v>3</v>
      </c>
      <c r="C1033" s="98">
        <f t="shared" si="293"/>
        <v>8</v>
      </c>
      <c r="D1033" s="98">
        <f t="shared" si="294"/>
        <v>7</v>
      </c>
      <c r="E1033" s="98">
        <f t="shared" si="295"/>
        <v>3</v>
      </c>
      <c r="F1033" s="118">
        <f t="shared" ca="1" si="296"/>
        <v>8.9999999999999998E-4</v>
      </c>
      <c r="G1033" s="98">
        <v>1</v>
      </c>
      <c r="H1033" s="98">
        <v>1</v>
      </c>
      <c r="I1033" s="98">
        <v>5</v>
      </c>
      <c r="J1033" s="118">
        <f t="shared" ca="1" si="297"/>
        <v>0</v>
      </c>
      <c r="K1033" s="118">
        <f t="shared" ca="1" si="298"/>
        <v>0</v>
      </c>
      <c r="L1033" s="133">
        <f t="shared" ca="1" si="299"/>
        <v>396</v>
      </c>
      <c r="M1033" s="130">
        <f t="shared" ca="1" si="300"/>
        <v>604</v>
      </c>
      <c r="N1033" s="100">
        <f t="shared" ca="1" si="301"/>
        <v>3</v>
      </c>
      <c r="O1033" s="136">
        <f t="shared" ca="1" si="302"/>
        <v>2.1177215542739054</v>
      </c>
      <c r="P1033" s="136">
        <f t="shared" ca="1" si="303"/>
        <v>21.177215542739059</v>
      </c>
      <c r="Q1033" s="136">
        <f t="shared" ca="1" si="304"/>
        <v>21.177215542739059</v>
      </c>
      <c r="R1033" s="136">
        <f t="shared" ca="1" si="305"/>
        <v>2.1177215542739058</v>
      </c>
      <c r="S1033" s="136">
        <f t="shared" ca="1" si="306"/>
        <v>2.1177215542739054</v>
      </c>
      <c r="T1033" s="104">
        <f t="shared" ca="1" si="307"/>
        <v>0</v>
      </c>
      <c r="U1033" s="120">
        <f t="shared" ca="1" si="308"/>
        <v>1203.5224659982036</v>
      </c>
      <c r="V1033" s="104">
        <f t="shared" ca="1" si="309"/>
        <v>0</v>
      </c>
      <c r="W1033" s="133">
        <f t="shared" ca="1" si="310"/>
        <v>15526.28722612156</v>
      </c>
      <c r="X1033" s="104">
        <f t="shared" ca="1" si="311"/>
        <v>0</v>
      </c>
    </row>
    <row r="1034" spans="1:24" x14ac:dyDescent="0.2">
      <c r="A1034" s="98">
        <v>3</v>
      </c>
      <c r="B1034" s="98">
        <v>3</v>
      </c>
      <c r="C1034" s="98">
        <f t="shared" si="293"/>
        <v>8</v>
      </c>
      <c r="D1034" s="98">
        <f t="shared" si="294"/>
        <v>7</v>
      </c>
      <c r="E1034" s="98">
        <f t="shared" si="295"/>
        <v>3</v>
      </c>
      <c r="F1034" s="118">
        <f t="shared" ca="1" si="296"/>
        <v>8.9999999999999998E-4</v>
      </c>
      <c r="G1034" s="98">
        <v>1</v>
      </c>
      <c r="H1034" s="98">
        <v>1</v>
      </c>
      <c r="I1034" s="98">
        <v>4</v>
      </c>
      <c r="J1034" s="118">
        <f t="shared" ca="1" si="297"/>
        <v>0</v>
      </c>
      <c r="K1034" s="118">
        <f t="shared" ca="1" si="298"/>
        <v>0</v>
      </c>
      <c r="L1034" s="133">
        <f t="shared" ca="1" si="299"/>
        <v>384</v>
      </c>
      <c r="M1034" s="130">
        <f t="shared" ca="1" si="300"/>
        <v>616</v>
      </c>
      <c r="N1034" s="100">
        <f t="shared" ca="1" si="301"/>
        <v>3</v>
      </c>
      <c r="O1034" s="136">
        <f t="shared" ca="1" si="302"/>
        <v>2.1177215542739054</v>
      </c>
      <c r="P1034" s="136">
        <f t="shared" ca="1" si="303"/>
        <v>21.177215542739059</v>
      </c>
      <c r="Q1034" s="136">
        <f t="shared" ca="1" si="304"/>
        <v>21.177215542739059</v>
      </c>
      <c r="R1034" s="136">
        <f t="shared" ca="1" si="305"/>
        <v>2.1177215542739058</v>
      </c>
      <c r="S1034" s="136">
        <f t="shared" ca="1" si="306"/>
        <v>2.1177215542739054</v>
      </c>
      <c r="T1034" s="104">
        <f t="shared" ca="1" si="307"/>
        <v>0</v>
      </c>
      <c r="U1034" s="120">
        <f t="shared" ca="1" si="308"/>
        <v>1191.5224659982036</v>
      </c>
      <c r="V1034" s="104">
        <f t="shared" ca="1" si="309"/>
        <v>0</v>
      </c>
      <c r="W1034" s="133">
        <f t="shared" ca="1" si="310"/>
        <v>13348.68733465991</v>
      </c>
      <c r="X1034" s="104">
        <f t="shared" ca="1" si="311"/>
        <v>0</v>
      </c>
    </row>
    <row r="1035" spans="1:24" x14ac:dyDescent="0.2">
      <c r="A1035" s="98">
        <v>3</v>
      </c>
      <c r="B1035" s="98">
        <v>3</v>
      </c>
      <c r="C1035" s="98">
        <f t="shared" si="293"/>
        <v>8</v>
      </c>
      <c r="D1035" s="98">
        <f t="shared" si="294"/>
        <v>7</v>
      </c>
      <c r="E1035" s="98">
        <f t="shared" si="295"/>
        <v>3</v>
      </c>
      <c r="F1035" s="118">
        <f t="shared" ca="1" si="296"/>
        <v>8.9999999999999998E-4</v>
      </c>
      <c r="G1035" s="98">
        <v>1</v>
      </c>
      <c r="H1035" s="98">
        <v>1</v>
      </c>
      <c r="I1035" s="98">
        <v>3</v>
      </c>
      <c r="J1035" s="118">
        <f t="shared" ca="1" si="297"/>
        <v>0</v>
      </c>
      <c r="K1035" s="118">
        <f t="shared" ca="1" si="298"/>
        <v>0</v>
      </c>
      <c r="L1035" s="133">
        <f t="shared" ca="1" si="299"/>
        <v>372</v>
      </c>
      <c r="M1035" s="130">
        <f t="shared" ca="1" si="300"/>
        <v>628</v>
      </c>
      <c r="N1035" s="100">
        <f t="shared" ca="1" si="301"/>
        <v>3</v>
      </c>
      <c r="O1035" s="136">
        <f t="shared" ca="1" si="302"/>
        <v>2.1177215542739054</v>
      </c>
      <c r="P1035" s="136">
        <f t="shared" ca="1" si="303"/>
        <v>21.177215542739059</v>
      </c>
      <c r="Q1035" s="136">
        <f t="shared" ca="1" si="304"/>
        <v>21.177215542739059</v>
      </c>
      <c r="R1035" s="136">
        <f t="shared" ca="1" si="305"/>
        <v>2.1177215542739058</v>
      </c>
      <c r="S1035" s="136">
        <f t="shared" ca="1" si="306"/>
        <v>2.1177215542739054</v>
      </c>
      <c r="T1035" s="104">
        <f t="shared" ca="1" si="307"/>
        <v>0</v>
      </c>
      <c r="U1035" s="120">
        <f t="shared" ca="1" si="308"/>
        <v>1179.5224659982036</v>
      </c>
      <c r="V1035" s="104">
        <f t="shared" ca="1" si="309"/>
        <v>0</v>
      </c>
      <c r="W1035" s="133">
        <f t="shared" ca="1" si="310"/>
        <v>11171.087443198263</v>
      </c>
      <c r="X1035" s="104">
        <f t="shared" ca="1" si="311"/>
        <v>0</v>
      </c>
    </row>
    <row r="1036" spans="1:24" x14ac:dyDescent="0.2">
      <c r="A1036" s="98">
        <v>3</v>
      </c>
      <c r="B1036" s="98">
        <v>3</v>
      </c>
      <c r="C1036" s="98">
        <f t="shared" si="293"/>
        <v>8</v>
      </c>
      <c r="D1036" s="98">
        <f t="shared" si="294"/>
        <v>7</v>
      </c>
      <c r="E1036" s="98">
        <f t="shared" si="295"/>
        <v>3</v>
      </c>
      <c r="F1036" s="118">
        <f t="shared" ca="1" si="296"/>
        <v>8.9999999999999998E-4</v>
      </c>
      <c r="G1036" s="98">
        <v>1</v>
      </c>
      <c r="H1036" s="98">
        <v>1</v>
      </c>
      <c r="I1036" s="98">
        <v>2</v>
      </c>
      <c r="J1036" s="118">
        <f t="shared" ca="1" si="297"/>
        <v>0</v>
      </c>
      <c r="K1036" s="118">
        <f t="shared" ca="1" si="298"/>
        <v>0</v>
      </c>
      <c r="L1036" s="133">
        <f t="shared" ca="1" si="299"/>
        <v>360</v>
      </c>
      <c r="M1036" s="130">
        <f t="shared" ca="1" si="300"/>
        <v>640</v>
      </c>
      <c r="N1036" s="100">
        <f t="shared" ca="1" si="301"/>
        <v>3</v>
      </c>
      <c r="O1036" s="136">
        <f t="shared" ca="1" si="302"/>
        <v>2.1177215542739054</v>
      </c>
      <c r="P1036" s="136">
        <f t="shared" ca="1" si="303"/>
        <v>21.177215542739059</v>
      </c>
      <c r="Q1036" s="136">
        <f t="shared" ca="1" si="304"/>
        <v>21.177215542739059</v>
      </c>
      <c r="R1036" s="136">
        <f t="shared" ca="1" si="305"/>
        <v>2.1177215542739058</v>
      </c>
      <c r="S1036" s="136">
        <f t="shared" ca="1" si="306"/>
        <v>2.1177215542739054</v>
      </c>
      <c r="T1036" s="104">
        <f t="shared" ca="1" si="307"/>
        <v>0</v>
      </c>
      <c r="U1036" s="120">
        <f t="shared" ca="1" si="308"/>
        <v>1167.5224659982036</v>
      </c>
      <c r="V1036" s="104">
        <f t="shared" ca="1" si="309"/>
        <v>0</v>
      </c>
      <c r="W1036" s="133">
        <f t="shared" ca="1" si="310"/>
        <v>8993.4875517366127</v>
      </c>
      <c r="X1036" s="104">
        <f t="shared" ca="1" si="311"/>
        <v>0</v>
      </c>
    </row>
    <row r="1037" spans="1:24" x14ac:dyDescent="0.2">
      <c r="A1037" s="98">
        <v>3</v>
      </c>
      <c r="B1037" s="98">
        <v>3</v>
      </c>
      <c r="C1037" s="98">
        <f t="shared" si="293"/>
        <v>8</v>
      </c>
      <c r="D1037" s="98">
        <f t="shared" si="294"/>
        <v>7</v>
      </c>
      <c r="E1037" s="98">
        <f t="shared" si="295"/>
        <v>3</v>
      </c>
      <c r="F1037" s="118">
        <f t="shared" ca="1" si="296"/>
        <v>8.9999999999999998E-4</v>
      </c>
      <c r="G1037" s="98">
        <v>1</v>
      </c>
      <c r="H1037" s="98">
        <v>1</v>
      </c>
      <c r="I1037" s="98">
        <v>1</v>
      </c>
      <c r="J1037" s="118">
        <f t="shared" ca="1" si="297"/>
        <v>0</v>
      </c>
      <c r="K1037" s="118">
        <f t="shared" ca="1" si="298"/>
        <v>0</v>
      </c>
      <c r="L1037" s="133">
        <f t="shared" ca="1" si="299"/>
        <v>348</v>
      </c>
      <c r="M1037" s="130">
        <f t="shared" ca="1" si="300"/>
        <v>652</v>
      </c>
      <c r="N1037" s="100">
        <f t="shared" ca="1" si="301"/>
        <v>4</v>
      </c>
      <c r="O1037" s="136">
        <f t="shared" ca="1" si="302"/>
        <v>2.6973744602864622</v>
      </c>
      <c r="P1037" s="136">
        <f t="shared" ca="1" si="303"/>
        <v>21.177215542739059</v>
      </c>
      <c r="Q1037" s="136">
        <f t="shared" ca="1" si="304"/>
        <v>21.177215542739059</v>
      </c>
      <c r="R1037" s="136">
        <f t="shared" ca="1" si="305"/>
        <v>2.1177215542739058</v>
      </c>
      <c r="S1037" s="136">
        <f t="shared" ca="1" si="306"/>
        <v>2.5060890013023185</v>
      </c>
      <c r="T1037" s="104">
        <f t="shared" ca="1" si="307"/>
        <v>0</v>
      </c>
      <c r="U1037" s="120">
        <f t="shared" ca="1" si="308"/>
        <v>1297.2589968903351</v>
      </c>
      <c r="V1037" s="104">
        <f t="shared" ca="1" si="309"/>
        <v>0</v>
      </c>
      <c r="W1037" s="133">
        <f t="shared" ca="1" si="310"/>
        <v>6815.8876602749624</v>
      </c>
      <c r="X1037" s="104">
        <f t="shared" ca="1" si="311"/>
        <v>0</v>
      </c>
    </row>
    <row r="1038" spans="1:24" x14ac:dyDescent="0.2">
      <c r="A1038" s="98">
        <v>3</v>
      </c>
      <c r="B1038" s="98">
        <v>3</v>
      </c>
      <c r="C1038" s="98">
        <f t="shared" si="293"/>
        <v>8</v>
      </c>
      <c r="D1038" s="98">
        <f t="shared" si="294"/>
        <v>7</v>
      </c>
      <c r="E1038" s="98">
        <f t="shared" si="295"/>
        <v>3</v>
      </c>
      <c r="F1038" s="118">
        <f t="shared" ca="1" si="296"/>
        <v>8.9999999999999998E-4</v>
      </c>
      <c r="G1038" s="98">
        <v>1</v>
      </c>
      <c r="H1038" s="98">
        <v>1</v>
      </c>
      <c r="I1038" s="98">
        <v>0</v>
      </c>
      <c r="J1038" s="118">
        <f t="shared" ca="1" si="297"/>
        <v>0</v>
      </c>
      <c r="K1038" s="118">
        <f t="shared" ca="1" si="298"/>
        <v>0</v>
      </c>
      <c r="L1038" s="133">
        <f t="shared" ca="1" si="299"/>
        <v>336</v>
      </c>
      <c r="M1038" s="130">
        <f t="shared" ca="1" si="300"/>
        <v>664</v>
      </c>
      <c r="N1038" s="100">
        <f t="shared" ca="1" si="301"/>
        <v>4</v>
      </c>
      <c r="O1038" s="136">
        <f t="shared" ca="1" si="302"/>
        <v>2.6973744602864622</v>
      </c>
      <c r="P1038" s="136">
        <f t="shared" ca="1" si="303"/>
        <v>26.973744602864617</v>
      </c>
      <c r="Q1038" s="136">
        <f t="shared" ca="1" si="304"/>
        <v>22.336521354764173</v>
      </c>
      <c r="R1038" s="136">
        <f t="shared" ca="1" si="305"/>
        <v>2.4655132978814391</v>
      </c>
      <c r="S1038" s="136">
        <f t="shared" ca="1" si="306"/>
        <v>2.6208602766928046</v>
      </c>
      <c r="T1038" s="104">
        <f t="shared" ca="1" si="307"/>
        <v>0</v>
      </c>
      <c r="U1038" s="120">
        <f t="shared" ca="1" si="308"/>
        <v>1327.1453149748754</v>
      </c>
      <c r="V1038" s="104">
        <f t="shared" ca="1" si="309"/>
        <v>0</v>
      </c>
      <c r="W1038" s="133">
        <f t="shared" ca="1" si="310"/>
        <v>4638.2877688133131</v>
      </c>
      <c r="X1038" s="104">
        <f t="shared" ca="1" si="311"/>
        <v>0</v>
      </c>
    </row>
    <row r="1039" spans="1:24" x14ac:dyDescent="0.2">
      <c r="A1039" s="98">
        <v>3</v>
      </c>
      <c r="B1039" s="98">
        <v>3</v>
      </c>
      <c r="C1039" s="98">
        <f t="shared" si="293"/>
        <v>8</v>
      </c>
      <c r="D1039" s="98">
        <f t="shared" si="294"/>
        <v>7</v>
      </c>
      <c r="E1039" s="98">
        <f t="shared" si="295"/>
        <v>3</v>
      </c>
      <c r="F1039" s="118">
        <f t="shared" ca="1" si="296"/>
        <v>8.9999999999999998E-4</v>
      </c>
      <c r="G1039" s="98">
        <v>1</v>
      </c>
      <c r="H1039" s="98">
        <v>0</v>
      </c>
      <c r="I1039" s="98">
        <v>7</v>
      </c>
      <c r="J1039" s="118">
        <f t="shared" ca="1" si="297"/>
        <v>0.66342043128906247</v>
      </c>
      <c r="K1039" s="118">
        <f t="shared" ca="1" si="298"/>
        <v>5.9707838816015616E-4</v>
      </c>
      <c r="L1039" s="133">
        <f t="shared" ca="1" si="299"/>
        <v>252</v>
      </c>
      <c r="M1039" s="130">
        <f t="shared" ca="1" si="300"/>
        <v>748</v>
      </c>
      <c r="N1039" s="100">
        <f t="shared" ca="1" si="301"/>
        <v>4</v>
      </c>
      <c r="O1039" s="136">
        <f t="shared" ca="1" si="302"/>
        <v>2.6973744602864622</v>
      </c>
      <c r="P1039" s="136">
        <f t="shared" ca="1" si="303"/>
        <v>26.973744602864617</v>
      </c>
      <c r="Q1039" s="136">
        <f t="shared" ca="1" si="304"/>
        <v>26.973744602864617</v>
      </c>
      <c r="R1039" s="136">
        <f t="shared" ca="1" si="305"/>
        <v>2.6973744602864618</v>
      </c>
      <c r="S1039" s="136">
        <f t="shared" ca="1" si="306"/>
        <v>2.6973744602864622</v>
      </c>
      <c r="T1039" s="104">
        <f t="shared" ca="1" si="307"/>
        <v>1.610543995012212E-3</v>
      </c>
      <c r="U1039" s="120">
        <f t="shared" ca="1" si="308"/>
        <v>1271.0695270312358</v>
      </c>
      <c r="V1039" s="104">
        <f t="shared" ca="1" si="309"/>
        <v>0.75892814443930234</v>
      </c>
      <c r="W1039" s="133">
        <f t="shared" ca="1" si="310"/>
        <v>17703.88711758321</v>
      </c>
      <c r="X1039" s="104">
        <f t="shared" ca="1" si="311"/>
        <v>10.570608384335936</v>
      </c>
    </row>
    <row r="1040" spans="1:24" x14ac:dyDescent="0.2">
      <c r="A1040" s="98">
        <v>3</v>
      </c>
      <c r="B1040" s="98">
        <v>3</v>
      </c>
      <c r="C1040" s="98">
        <f t="shared" si="293"/>
        <v>8</v>
      </c>
      <c r="D1040" s="98">
        <f t="shared" si="294"/>
        <v>7</v>
      </c>
      <c r="E1040" s="98">
        <f t="shared" si="295"/>
        <v>3</v>
      </c>
      <c r="F1040" s="118">
        <f t="shared" ca="1" si="296"/>
        <v>8.9999999999999998E-4</v>
      </c>
      <c r="G1040" s="98">
        <v>1</v>
      </c>
      <c r="H1040" s="98">
        <v>0</v>
      </c>
      <c r="I1040" s="98">
        <v>6</v>
      </c>
      <c r="J1040" s="118">
        <f t="shared" ca="1" si="297"/>
        <v>0.24441805363281272</v>
      </c>
      <c r="K1040" s="118">
        <f t="shared" ca="1" si="298"/>
        <v>2.1997624826953143E-4</v>
      </c>
      <c r="L1040" s="133">
        <f t="shared" ca="1" si="299"/>
        <v>240</v>
      </c>
      <c r="M1040" s="130">
        <f t="shared" ca="1" si="300"/>
        <v>760</v>
      </c>
      <c r="N1040" s="100">
        <f t="shared" ca="1" si="301"/>
        <v>4</v>
      </c>
      <c r="O1040" s="136">
        <f t="shared" ca="1" si="302"/>
        <v>2.6973744602864622</v>
      </c>
      <c r="P1040" s="136">
        <f t="shared" ca="1" si="303"/>
        <v>26.973744602864617</v>
      </c>
      <c r="Q1040" s="136">
        <f t="shared" ca="1" si="304"/>
        <v>26.973744602864617</v>
      </c>
      <c r="R1040" s="136">
        <f t="shared" ca="1" si="305"/>
        <v>2.6973744602864618</v>
      </c>
      <c r="S1040" s="136">
        <f t="shared" ca="1" si="306"/>
        <v>2.6973744602864622</v>
      </c>
      <c r="T1040" s="104">
        <f t="shared" ca="1" si="307"/>
        <v>5.9335831395186819E-4</v>
      </c>
      <c r="U1040" s="120">
        <f t="shared" ca="1" si="308"/>
        <v>1259.0695270312358</v>
      </c>
      <c r="V1040" s="104">
        <f t="shared" ca="1" si="309"/>
        <v>0.27696539086682465</v>
      </c>
      <c r="W1040" s="133">
        <f t="shared" ca="1" si="310"/>
        <v>15526.287226121562</v>
      </c>
      <c r="X1040" s="104">
        <f t="shared" ca="1" si="311"/>
        <v>3.4154144135573712</v>
      </c>
    </row>
    <row r="1041" spans="1:24" x14ac:dyDescent="0.2">
      <c r="A1041" s="98">
        <v>3</v>
      </c>
      <c r="B1041" s="98">
        <v>3</v>
      </c>
      <c r="C1041" s="98">
        <f t="shared" si="293"/>
        <v>8</v>
      </c>
      <c r="D1041" s="98">
        <f t="shared" si="294"/>
        <v>7</v>
      </c>
      <c r="E1041" s="98">
        <f t="shared" si="295"/>
        <v>3</v>
      </c>
      <c r="F1041" s="118">
        <f t="shared" ca="1" si="296"/>
        <v>8.9999999999999998E-4</v>
      </c>
      <c r="G1041" s="98">
        <v>1</v>
      </c>
      <c r="H1041" s="98">
        <v>0</v>
      </c>
      <c r="I1041" s="98">
        <v>5</v>
      </c>
      <c r="J1041" s="118">
        <f t="shared" ca="1" si="297"/>
        <v>3.8592324257812567E-2</v>
      </c>
      <c r="K1041" s="118">
        <f t="shared" ca="1" si="298"/>
        <v>3.4733091832031313E-5</v>
      </c>
      <c r="L1041" s="133">
        <f t="shared" ca="1" si="299"/>
        <v>228</v>
      </c>
      <c r="M1041" s="130">
        <f t="shared" ca="1" si="300"/>
        <v>772</v>
      </c>
      <c r="N1041" s="100">
        <f t="shared" ca="1" si="301"/>
        <v>4</v>
      </c>
      <c r="O1041" s="136">
        <f t="shared" ca="1" si="302"/>
        <v>2.6973744602864622</v>
      </c>
      <c r="P1041" s="136">
        <f t="shared" ca="1" si="303"/>
        <v>26.973744602864617</v>
      </c>
      <c r="Q1041" s="136">
        <f t="shared" ca="1" si="304"/>
        <v>26.973744602864617</v>
      </c>
      <c r="R1041" s="136">
        <f t="shared" ca="1" si="305"/>
        <v>2.6973744602864618</v>
      </c>
      <c r="S1041" s="136">
        <f t="shared" ca="1" si="306"/>
        <v>2.6973744602864622</v>
      </c>
      <c r="T1041" s="104">
        <f t="shared" ca="1" si="307"/>
        <v>9.3688154834505597E-5</v>
      </c>
      <c r="U1041" s="120">
        <f t="shared" ca="1" si="308"/>
        <v>1247.0695270312358</v>
      </c>
      <c r="V1041" s="104">
        <f t="shared" ca="1" si="309"/>
        <v>4.3314580403303771E-2</v>
      </c>
      <c r="W1041" s="133">
        <f t="shared" ca="1" si="310"/>
        <v>13348.687334659911</v>
      </c>
      <c r="X1041" s="104">
        <f t="shared" ca="1" si="311"/>
        <v>0.46364118303181601</v>
      </c>
    </row>
    <row r="1042" spans="1:24" x14ac:dyDescent="0.2">
      <c r="A1042" s="98">
        <v>3</v>
      </c>
      <c r="B1042" s="98">
        <v>3</v>
      </c>
      <c r="C1042" s="98">
        <f t="shared" si="293"/>
        <v>8</v>
      </c>
      <c r="D1042" s="98">
        <f t="shared" si="294"/>
        <v>7</v>
      </c>
      <c r="E1042" s="98">
        <f t="shared" si="295"/>
        <v>3</v>
      </c>
      <c r="F1042" s="118">
        <f t="shared" ca="1" si="296"/>
        <v>8.9999999999999998E-4</v>
      </c>
      <c r="G1042" s="98">
        <v>1</v>
      </c>
      <c r="H1042" s="98">
        <v>0</v>
      </c>
      <c r="I1042" s="98">
        <v>4</v>
      </c>
      <c r="J1042" s="118">
        <f t="shared" ca="1" si="297"/>
        <v>3.3852916015625085E-3</v>
      </c>
      <c r="K1042" s="118">
        <f t="shared" ca="1" si="298"/>
        <v>3.0467624414062576E-6</v>
      </c>
      <c r="L1042" s="133">
        <f t="shared" ca="1" si="299"/>
        <v>216</v>
      </c>
      <c r="M1042" s="130">
        <f t="shared" ca="1" si="300"/>
        <v>784</v>
      </c>
      <c r="N1042" s="100">
        <f t="shared" ca="1" si="301"/>
        <v>4</v>
      </c>
      <c r="O1042" s="136">
        <f t="shared" ca="1" si="302"/>
        <v>2.6973744602864622</v>
      </c>
      <c r="P1042" s="136">
        <f t="shared" ca="1" si="303"/>
        <v>26.973744602864617</v>
      </c>
      <c r="Q1042" s="136">
        <f t="shared" ca="1" si="304"/>
        <v>26.973744602864617</v>
      </c>
      <c r="R1042" s="136">
        <f t="shared" ca="1" si="305"/>
        <v>2.6973744602864618</v>
      </c>
      <c r="S1042" s="136">
        <f t="shared" ca="1" si="306"/>
        <v>2.6973744602864622</v>
      </c>
      <c r="T1042" s="104">
        <f t="shared" ca="1" si="307"/>
        <v>8.2182591960092686E-6</v>
      </c>
      <c r="U1042" s="120">
        <f t="shared" ca="1" si="308"/>
        <v>1235.0695270312358</v>
      </c>
      <c r="V1042" s="104">
        <f t="shared" ca="1" si="309"/>
        <v>3.7629634474841598E-3</v>
      </c>
      <c r="W1042" s="133">
        <f t="shared" ca="1" si="310"/>
        <v>11171.087443198261</v>
      </c>
      <c r="X1042" s="104">
        <f t="shared" ca="1" si="311"/>
        <v>3.4035649651601524E-2</v>
      </c>
    </row>
    <row r="1043" spans="1:24" x14ac:dyDescent="0.2">
      <c r="A1043" s="98">
        <v>3</v>
      </c>
      <c r="B1043" s="98">
        <v>3</v>
      </c>
      <c r="C1043" s="98">
        <f t="shared" si="293"/>
        <v>8</v>
      </c>
      <c r="D1043" s="98">
        <f t="shared" si="294"/>
        <v>7</v>
      </c>
      <c r="E1043" s="98">
        <f t="shared" si="295"/>
        <v>3</v>
      </c>
      <c r="F1043" s="118">
        <f t="shared" ca="1" si="296"/>
        <v>8.9999999999999998E-4</v>
      </c>
      <c r="G1043" s="98">
        <v>1</v>
      </c>
      <c r="H1043" s="98">
        <v>0</v>
      </c>
      <c r="I1043" s="98">
        <v>3</v>
      </c>
      <c r="J1043" s="118">
        <f t="shared" ca="1" si="297"/>
        <v>1.7817324218750058E-4</v>
      </c>
      <c r="K1043" s="118">
        <f t="shared" ca="1" si="298"/>
        <v>1.6035591796875052E-7</v>
      </c>
      <c r="L1043" s="133">
        <f t="shared" ca="1" si="299"/>
        <v>204</v>
      </c>
      <c r="M1043" s="130">
        <f t="shared" ca="1" si="300"/>
        <v>796</v>
      </c>
      <c r="N1043" s="100">
        <f t="shared" ca="1" si="301"/>
        <v>4</v>
      </c>
      <c r="O1043" s="136">
        <f t="shared" ca="1" si="302"/>
        <v>2.6973744602864622</v>
      </c>
      <c r="P1043" s="136">
        <f t="shared" ca="1" si="303"/>
        <v>26.973744602864617</v>
      </c>
      <c r="Q1043" s="136">
        <f t="shared" ca="1" si="304"/>
        <v>26.973744602864617</v>
      </c>
      <c r="R1043" s="136">
        <f t="shared" ca="1" si="305"/>
        <v>2.6973744602864618</v>
      </c>
      <c r="S1043" s="136">
        <f t="shared" ca="1" si="306"/>
        <v>2.6973744602864622</v>
      </c>
      <c r="T1043" s="104">
        <f t="shared" ca="1" si="307"/>
        <v>4.3253995768469864E-7</v>
      </c>
      <c r="U1043" s="120">
        <f t="shared" ca="1" si="308"/>
        <v>1223.0695270312358</v>
      </c>
      <c r="V1043" s="104">
        <f t="shared" ca="1" si="309"/>
        <v>1.9612643674669935E-4</v>
      </c>
      <c r="W1043" s="133">
        <f t="shared" ca="1" si="310"/>
        <v>8993.4875517366127</v>
      </c>
      <c r="X1043" s="104">
        <f t="shared" ca="1" si="311"/>
        <v>1.4421589520992551E-3</v>
      </c>
    </row>
    <row r="1044" spans="1:24" x14ac:dyDescent="0.2">
      <c r="A1044" s="98">
        <v>3</v>
      </c>
      <c r="B1044" s="98">
        <v>3</v>
      </c>
      <c r="C1044" s="98">
        <f t="shared" si="293"/>
        <v>8</v>
      </c>
      <c r="D1044" s="98">
        <f t="shared" si="294"/>
        <v>7</v>
      </c>
      <c r="E1044" s="98">
        <f t="shared" si="295"/>
        <v>3</v>
      </c>
      <c r="F1044" s="118">
        <f t="shared" ca="1" si="296"/>
        <v>8.9999999999999998E-4</v>
      </c>
      <c r="G1044" s="98">
        <v>1</v>
      </c>
      <c r="H1044" s="98">
        <v>0</v>
      </c>
      <c r="I1044" s="98">
        <v>2</v>
      </c>
      <c r="J1044" s="118">
        <f t="shared" ca="1" si="297"/>
        <v>5.6265234375000243E-6</v>
      </c>
      <c r="K1044" s="118">
        <f t="shared" ca="1" si="298"/>
        <v>5.063871093750022E-9</v>
      </c>
      <c r="L1044" s="133">
        <f t="shared" ca="1" si="299"/>
        <v>192</v>
      </c>
      <c r="M1044" s="130">
        <f t="shared" ca="1" si="300"/>
        <v>808</v>
      </c>
      <c r="N1044" s="100">
        <f t="shared" ca="1" si="301"/>
        <v>4</v>
      </c>
      <c r="O1044" s="136">
        <f t="shared" ca="1" si="302"/>
        <v>2.6973744602864622</v>
      </c>
      <c r="P1044" s="136">
        <f t="shared" ca="1" si="303"/>
        <v>26.973744602864617</v>
      </c>
      <c r="Q1044" s="136">
        <f t="shared" ca="1" si="304"/>
        <v>26.973744602864617</v>
      </c>
      <c r="R1044" s="136">
        <f t="shared" ca="1" si="305"/>
        <v>2.6973744602864618</v>
      </c>
      <c r="S1044" s="136">
        <f t="shared" ca="1" si="306"/>
        <v>2.6973744602864622</v>
      </c>
      <c r="T1044" s="104">
        <f t="shared" ca="1" si="307"/>
        <v>1.3659156558464183E-8</v>
      </c>
      <c r="U1044" s="120">
        <f t="shared" ca="1" si="308"/>
        <v>1211.0695270312358</v>
      </c>
      <c r="V1044" s="104">
        <f t="shared" ca="1" si="309"/>
        <v>6.1326999704549857E-6</v>
      </c>
      <c r="W1044" s="133">
        <f t="shared" ca="1" si="310"/>
        <v>6815.8876602749624</v>
      </c>
      <c r="X1044" s="104">
        <f t="shared" ca="1" si="311"/>
        <v>3.4514776501113851E-5</v>
      </c>
    </row>
    <row r="1045" spans="1:24" x14ac:dyDescent="0.2">
      <c r="A1045" s="98">
        <v>3</v>
      </c>
      <c r="B1045" s="98">
        <v>3</v>
      </c>
      <c r="C1045" s="98">
        <f t="shared" si="293"/>
        <v>8</v>
      </c>
      <c r="D1045" s="98">
        <f t="shared" si="294"/>
        <v>7</v>
      </c>
      <c r="E1045" s="98">
        <f t="shared" si="295"/>
        <v>3</v>
      </c>
      <c r="F1045" s="118">
        <f t="shared" ca="1" si="296"/>
        <v>8.9999999999999998E-4</v>
      </c>
      <c r="G1045" s="98">
        <v>1</v>
      </c>
      <c r="H1045" s="98">
        <v>0</v>
      </c>
      <c r="I1045" s="98">
        <v>1</v>
      </c>
      <c r="J1045" s="118">
        <f t="shared" ca="1" si="297"/>
        <v>9.8710937500000504E-8</v>
      </c>
      <c r="K1045" s="118">
        <f t="shared" ca="1" si="298"/>
        <v>8.8839843750000455E-11</v>
      </c>
      <c r="L1045" s="133">
        <f t="shared" ca="1" si="299"/>
        <v>180</v>
      </c>
      <c r="M1045" s="130">
        <f t="shared" ca="1" si="300"/>
        <v>820</v>
      </c>
      <c r="N1045" s="100">
        <f t="shared" ca="1" si="301"/>
        <v>4</v>
      </c>
      <c r="O1045" s="136">
        <f t="shared" ca="1" si="302"/>
        <v>2.6973744602864622</v>
      </c>
      <c r="P1045" s="136">
        <f t="shared" ca="1" si="303"/>
        <v>26.973744602864617</v>
      </c>
      <c r="Q1045" s="136">
        <f t="shared" ca="1" si="304"/>
        <v>26.973744602864617</v>
      </c>
      <c r="R1045" s="136">
        <f t="shared" ca="1" si="305"/>
        <v>2.6973744602864618</v>
      </c>
      <c r="S1045" s="136">
        <f t="shared" ca="1" si="306"/>
        <v>2.6973744602864622</v>
      </c>
      <c r="T1045" s="104">
        <f t="shared" ca="1" si="307"/>
        <v>2.3963432558709109E-10</v>
      </c>
      <c r="U1045" s="120">
        <f t="shared" ca="1" si="308"/>
        <v>1199.0695270312358</v>
      </c>
      <c r="V1045" s="104">
        <f t="shared" ca="1" si="309"/>
        <v>1.0652514942684193E-7</v>
      </c>
      <c r="W1045" s="133">
        <f t="shared" ca="1" si="310"/>
        <v>4638.2877688133131</v>
      </c>
      <c r="X1045" s="104">
        <f t="shared" ca="1" si="311"/>
        <v>4.1206476064891295E-7</v>
      </c>
    </row>
    <row r="1046" spans="1:24" x14ac:dyDescent="0.2">
      <c r="A1046" s="98">
        <v>3</v>
      </c>
      <c r="B1046" s="98">
        <v>3</v>
      </c>
      <c r="C1046" s="98">
        <f t="shared" si="293"/>
        <v>8</v>
      </c>
      <c r="D1046" s="98">
        <f t="shared" si="294"/>
        <v>7</v>
      </c>
      <c r="E1046" s="98">
        <f t="shared" si="295"/>
        <v>3</v>
      </c>
      <c r="F1046" s="118">
        <f t="shared" ca="1" si="296"/>
        <v>8.9999999999999998E-4</v>
      </c>
      <c r="G1046" s="98">
        <v>1</v>
      </c>
      <c r="H1046" s="98">
        <v>0</v>
      </c>
      <c r="I1046" s="98">
        <v>0</v>
      </c>
      <c r="J1046" s="118">
        <f t="shared" ca="1" si="297"/>
        <v>7.4218750000000458E-10</v>
      </c>
      <c r="K1046" s="118">
        <f t="shared" ca="1" si="298"/>
        <v>6.6796875000000405E-13</v>
      </c>
      <c r="L1046" s="133">
        <f t="shared" ca="1" si="299"/>
        <v>168</v>
      </c>
      <c r="M1046" s="130">
        <f t="shared" ca="1" si="300"/>
        <v>832</v>
      </c>
      <c r="N1046" s="100">
        <f t="shared" ca="1" si="301"/>
        <v>4</v>
      </c>
      <c r="O1046" s="136">
        <f t="shared" ca="1" si="302"/>
        <v>2.6973744602864622</v>
      </c>
      <c r="P1046" s="136">
        <f t="shared" ca="1" si="303"/>
        <v>26.973744602864617</v>
      </c>
      <c r="Q1046" s="136">
        <f t="shared" ca="1" si="304"/>
        <v>26.973744602864617</v>
      </c>
      <c r="R1046" s="136">
        <f t="shared" ca="1" si="305"/>
        <v>2.6973744602864618</v>
      </c>
      <c r="S1046" s="136">
        <f t="shared" ca="1" si="306"/>
        <v>2.6973744602864622</v>
      </c>
      <c r="T1046" s="104">
        <f t="shared" ca="1" si="307"/>
        <v>1.8017618465194837E-12</v>
      </c>
      <c r="U1046" s="120">
        <f t="shared" ca="1" si="308"/>
        <v>1187.0695270312358</v>
      </c>
      <c r="V1046" s="104">
        <f t="shared" ca="1" si="309"/>
        <v>7.9292534813415055E-10</v>
      </c>
      <c r="W1046" s="133">
        <f t="shared" ca="1" si="310"/>
        <v>2460.6878773516637</v>
      </c>
      <c r="X1046" s="104">
        <f t="shared" ca="1" si="311"/>
        <v>1.6436626055747541E-9</v>
      </c>
    </row>
    <row r="1047" spans="1:24" x14ac:dyDescent="0.2">
      <c r="A1047" s="98">
        <v>3</v>
      </c>
      <c r="B1047" s="98">
        <v>3</v>
      </c>
      <c r="C1047" s="98">
        <f t="shared" si="293"/>
        <v>8</v>
      </c>
      <c r="D1047" s="98">
        <f t="shared" si="294"/>
        <v>7</v>
      </c>
      <c r="E1047" s="98">
        <f t="shared" si="295"/>
        <v>3</v>
      </c>
      <c r="F1047" s="118">
        <f t="shared" ca="1" si="296"/>
        <v>8.9999999999999998E-4</v>
      </c>
      <c r="G1047" s="98">
        <v>0</v>
      </c>
      <c r="H1047" s="98">
        <v>1</v>
      </c>
      <c r="I1047" s="98">
        <v>7</v>
      </c>
      <c r="J1047" s="118">
        <f t="shared" ca="1" si="297"/>
        <v>0</v>
      </c>
      <c r="K1047" s="118">
        <f t="shared" ca="1" si="298"/>
        <v>0</v>
      </c>
      <c r="L1047" s="133">
        <f t="shared" ca="1" si="299"/>
        <v>252</v>
      </c>
      <c r="M1047" s="130">
        <f t="shared" ca="1" si="300"/>
        <v>748</v>
      </c>
      <c r="N1047" s="100">
        <f t="shared" ca="1" si="301"/>
        <v>4</v>
      </c>
      <c r="O1047" s="136">
        <f t="shared" ca="1" si="302"/>
        <v>2.6973744602864622</v>
      </c>
      <c r="P1047" s="136">
        <f t="shared" ca="1" si="303"/>
        <v>26.973744602864617</v>
      </c>
      <c r="Q1047" s="136">
        <f t="shared" ca="1" si="304"/>
        <v>26.973744602864617</v>
      </c>
      <c r="R1047" s="136">
        <f t="shared" ca="1" si="305"/>
        <v>2.6973744602864618</v>
      </c>
      <c r="S1047" s="136">
        <f t="shared" ca="1" si="306"/>
        <v>2.6973744602864622</v>
      </c>
      <c r="T1047" s="104">
        <f t="shared" ca="1" si="307"/>
        <v>0</v>
      </c>
      <c r="U1047" s="120">
        <f t="shared" ca="1" si="308"/>
        <v>1271.0695270312358</v>
      </c>
      <c r="V1047" s="104">
        <f t="shared" ca="1" si="309"/>
        <v>0</v>
      </c>
      <c r="W1047" s="133">
        <f t="shared" ca="1" si="310"/>
        <v>17420.799131693195</v>
      </c>
      <c r="X1047" s="104">
        <f t="shared" ca="1" si="311"/>
        <v>0</v>
      </c>
    </row>
    <row r="1048" spans="1:24" x14ac:dyDescent="0.2">
      <c r="A1048" s="98">
        <v>3</v>
      </c>
      <c r="B1048" s="98">
        <v>3</v>
      </c>
      <c r="C1048" s="98">
        <f t="shared" si="293"/>
        <v>8</v>
      </c>
      <c r="D1048" s="98">
        <f t="shared" si="294"/>
        <v>7</v>
      </c>
      <c r="E1048" s="98">
        <f t="shared" si="295"/>
        <v>3</v>
      </c>
      <c r="F1048" s="118">
        <f t="shared" ca="1" si="296"/>
        <v>8.9999999999999998E-4</v>
      </c>
      <c r="G1048" s="98">
        <v>0</v>
      </c>
      <c r="H1048" s="98">
        <v>1</v>
      </c>
      <c r="I1048" s="98">
        <v>6</v>
      </c>
      <c r="J1048" s="118">
        <f t="shared" ca="1" si="297"/>
        <v>0</v>
      </c>
      <c r="K1048" s="118">
        <f t="shared" ca="1" si="298"/>
        <v>0</v>
      </c>
      <c r="L1048" s="133">
        <f t="shared" ca="1" si="299"/>
        <v>240</v>
      </c>
      <c r="M1048" s="130">
        <f t="shared" ca="1" si="300"/>
        <v>760</v>
      </c>
      <c r="N1048" s="100">
        <f t="shared" ca="1" si="301"/>
        <v>4</v>
      </c>
      <c r="O1048" s="136">
        <f t="shared" ca="1" si="302"/>
        <v>2.6973744602864622</v>
      </c>
      <c r="P1048" s="136">
        <f t="shared" ca="1" si="303"/>
        <v>26.973744602864617</v>
      </c>
      <c r="Q1048" s="136">
        <f t="shared" ca="1" si="304"/>
        <v>26.973744602864617</v>
      </c>
      <c r="R1048" s="136">
        <f t="shared" ca="1" si="305"/>
        <v>2.6973744602864618</v>
      </c>
      <c r="S1048" s="136">
        <f t="shared" ca="1" si="306"/>
        <v>2.6973744602864622</v>
      </c>
      <c r="T1048" s="104">
        <f t="shared" ca="1" si="307"/>
        <v>0</v>
      </c>
      <c r="U1048" s="120">
        <f t="shared" ca="1" si="308"/>
        <v>1259.0695270312358</v>
      </c>
      <c r="V1048" s="104">
        <f t="shared" ca="1" si="309"/>
        <v>0</v>
      </c>
      <c r="W1048" s="133">
        <f t="shared" ca="1" si="310"/>
        <v>15243.199240231548</v>
      </c>
      <c r="X1048" s="104">
        <f t="shared" ca="1" si="311"/>
        <v>0</v>
      </c>
    </row>
    <row r="1049" spans="1:24" x14ac:dyDescent="0.2">
      <c r="A1049" s="98">
        <v>3</v>
      </c>
      <c r="B1049" s="98">
        <v>3</v>
      </c>
      <c r="C1049" s="98">
        <f t="shared" si="293"/>
        <v>8</v>
      </c>
      <c r="D1049" s="98">
        <f t="shared" si="294"/>
        <v>7</v>
      </c>
      <c r="E1049" s="98">
        <f t="shared" si="295"/>
        <v>3</v>
      </c>
      <c r="F1049" s="118">
        <f t="shared" ca="1" si="296"/>
        <v>8.9999999999999998E-4</v>
      </c>
      <c r="G1049" s="98">
        <v>0</v>
      </c>
      <c r="H1049" s="98">
        <v>1</v>
      </c>
      <c r="I1049" s="98">
        <v>5</v>
      </c>
      <c r="J1049" s="118">
        <f t="shared" ca="1" si="297"/>
        <v>0</v>
      </c>
      <c r="K1049" s="118">
        <f t="shared" ca="1" si="298"/>
        <v>0</v>
      </c>
      <c r="L1049" s="133">
        <f t="shared" ca="1" si="299"/>
        <v>228</v>
      </c>
      <c r="M1049" s="130">
        <f t="shared" ca="1" si="300"/>
        <v>772</v>
      </c>
      <c r="N1049" s="100">
        <f t="shared" ca="1" si="301"/>
        <v>4</v>
      </c>
      <c r="O1049" s="136">
        <f t="shared" ca="1" si="302"/>
        <v>2.6973744602864622</v>
      </c>
      <c r="P1049" s="136">
        <f t="shared" ca="1" si="303"/>
        <v>26.973744602864617</v>
      </c>
      <c r="Q1049" s="136">
        <f t="shared" ca="1" si="304"/>
        <v>26.973744602864617</v>
      </c>
      <c r="R1049" s="136">
        <f t="shared" ca="1" si="305"/>
        <v>2.6973744602864618</v>
      </c>
      <c r="S1049" s="136">
        <f t="shared" ca="1" si="306"/>
        <v>2.6973744602864622</v>
      </c>
      <c r="T1049" s="104">
        <f t="shared" ca="1" si="307"/>
        <v>0</v>
      </c>
      <c r="U1049" s="120">
        <f t="shared" ca="1" si="308"/>
        <v>1247.0695270312358</v>
      </c>
      <c r="V1049" s="104">
        <f t="shared" ca="1" si="309"/>
        <v>0</v>
      </c>
      <c r="W1049" s="133">
        <f t="shared" ca="1" si="310"/>
        <v>13065.599348769898</v>
      </c>
      <c r="X1049" s="104">
        <f t="shared" ca="1" si="311"/>
        <v>0</v>
      </c>
    </row>
    <row r="1050" spans="1:24" x14ac:dyDescent="0.2">
      <c r="A1050" s="98">
        <v>3</v>
      </c>
      <c r="B1050" s="98">
        <v>3</v>
      </c>
      <c r="C1050" s="98">
        <f t="shared" si="293"/>
        <v>8</v>
      </c>
      <c r="D1050" s="98">
        <f t="shared" si="294"/>
        <v>7</v>
      </c>
      <c r="E1050" s="98">
        <f t="shared" si="295"/>
        <v>3</v>
      </c>
      <c r="F1050" s="118">
        <f t="shared" ca="1" si="296"/>
        <v>8.9999999999999998E-4</v>
      </c>
      <c r="G1050" s="98">
        <v>0</v>
      </c>
      <c r="H1050" s="98">
        <v>1</v>
      </c>
      <c r="I1050" s="98">
        <v>4</v>
      </c>
      <c r="J1050" s="118">
        <f t="shared" ca="1" si="297"/>
        <v>0</v>
      </c>
      <c r="K1050" s="118">
        <f t="shared" ca="1" si="298"/>
        <v>0</v>
      </c>
      <c r="L1050" s="133">
        <f t="shared" ca="1" si="299"/>
        <v>216</v>
      </c>
      <c r="M1050" s="130">
        <f t="shared" ca="1" si="300"/>
        <v>784</v>
      </c>
      <c r="N1050" s="100">
        <f t="shared" ca="1" si="301"/>
        <v>4</v>
      </c>
      <c r="O1050" s="136">
        <f t="shared" ca="1" si="302"/>
        <v>2.6973744602864622</v>
      </c>
      <c r="P1050" s="136">
        <f t="shared" ca="1" si="303"/>
        <v>26.973744602864617</v>
      </c>
      <c r="Q1050" s="136">
        <f t="shared" ca="1" si="304"/>
        <v>26.973744602864617</v>
      </c>
      <c r="R1050" s="136">
        <f t="shared" ca="1" si="305"/>
        <v>2.6973744602864618</v>
      </c>
      <c r="S1050" s="136">
        <f t="shared" ca="1" si="306"/>
        <v>2.6973744602864622</v>
      </c>
      <c r="T1050" s="104">
        <f t="shared" ca="1" si="307"/>
        <v>0</v>
      </c>
      <c r="U1050" s="120">
        <f t="shared" ca="1" si="308"/>
        <v>1235.0695270312358</v>
      </c>
      <c r="V1050" s="104">
        <f t="shared" ca="1" si="309"/>
        <v>0</v>
      </c>
      <c r="W1050" s="133">
        <f t="shared" ca="1" si="310"/>
        <v>10887.999457308248</v>
      </c>
      <c r="X1050" s="104">
        <f t="shared" ca="1" si="311"/>
        <v>0</v>
      </c>
    </row>
    <row r="1051" spans="1:24" x14ac:dyDescent="0.2">
      <c r="A1051" s="98">
        <v>3</v>
      </c>
      <c r="B1051" s="98">
        <v>3</v>
      </c>
      <c r="C1051" s="98">
        <f t="shared" si="293"/>
        <v>8</v>
      </c>
      <c r="D1051" s="98">
        <f t="shared" si="294"/>
        <v>7</v>
      </c>
      <c r="E1051" s="98">
        <f t="shared" si="295"/>
        <v>3</v>
      </c>
      <c r="F1051" s="118">
        <f t="shared" ca="1" si="296"/>
        <v>8.9999999999999998E-4</v>
      </c>
      <c r="G1051" s="98">
        <v>0</v>
      </c>
      <c r="H1051" s="98">
        <v>1</v>
      </c>
      <c r="I1051" s="98">
        <v>3</v>
      </c>
      <c r="J1051" s="118">
        <f t="shared" ca="1" si="297"/>
        <v>0</v>
      </c>
      <c r="K1051" s="118">
        <f t="shared" ca="1" si="298"/>
        <v>0</v>
      </c>
      <c r="L1051" s="133">
        <f t="shared" ca="1" si="299"/>
        <v>204</v>
      </c>
      <c r="M1051" s="130">
        <f t="shared" ca="1" si="300"/>
        <v>796</v>
      </c>
      <c r="N1051" s="100">
        <f t="shared" ca="1" si="301"/>
        <v>4</v>
      </c>
      <c r="O1051" s="136">
        <f t="shared" ca="1" si="302"/>
        <v>2.6973744602864622</v>
      </c>
      <c r="P1051" s="136">
        <f t="shared" ca="1" si="303"/>
        <v>26.973744602864617</v>
      </c>
      <c r="Q1051" s="136">
        <f t="shared" ca="1" si="304"/>
        <v>26.973744602864617</v>
      </c>
      <c r="R1051" s="136">
        <f t="shared" ca="1" si="305"/>
        <v>2.6973744602864618</v>
      </c>
      <c r="S1051" s="136">
        <f t="shared" ca="1" si="306"/>
        <v>2.6973744602864622</v>
      </c>
      <c r="T1051" s="104">
        <f t="shared" ca="1" si="307"/>
        <v>0</v>
      </c>
      <c r="U1051" s="120">
        <f t="shared" ca="1" si="308"/>
        <v>1223.0695270312358</v>
      </c>
      <c r="V1051" s="104">
        <f t="shared" ca="1" si="309"/>
        <v>0</v>
      </c>
      <c r="W1051" s="133">
        <f t="shared" ca="1" si="310"/>
        <v>8710.3995658465974</v>
      </c>
      <c r="X1051" s="104">
        <f t="shared" ca="1" si="311"/>
        <v>0</v>
      </c>
    </row>
    <row r="1052" spans="1:24" x14ac:dyDescent="0.2">
      <c r="A1052" s="98">
        <v>3</v>
      </c>
      <c r="B1052" s="98">
        <v>3</v>
      </c>
      <c r="C1052" s="98">
        <f t="shared" si="293"/>
        <v>8</v>
      </c>
      <c r="D1052" s="98">
        <f t="shared" si="294"/>
        <v>7</v>
      </c>
      <c r="E1052" s="98">
        <f t="shared" si="295"/>
        <v>3</v>
      </c>
      <c r="F1052" s="118">
        <f t="shared" ca="1" si="296"/>
        <v>8.9999999999999998E-4</v>
      </c>
      <c r="G1052" s="98">
        <v>0</v>
      </c>
      <c r="H1052" s="98">
        <v>1</v>
      </c>
      <c r="I1052" s="98">
        <v>2</v>
      </c>
      <c r="J1052" s="118">
        <f t="shared" ca="1" si="297"/>
        <v>0</v>
      </c>
      <c r="K1052" s="118">
        <f t="shared" ca="1" si="298"/>
        <v>0</v>
      </c>
      <c r="L1052" s="133">
        <f t="shared" ca="1" si="299"/>
        <v>192</v>
      </c>
      <c r="M1052" s="130">
        <f t="shared" ca="1" si="300"/>
        <v>808</v>
      </c>
      <c r="N1052" s="100">
        <f t="shared" ca="1" si="301"/>
        <v>4</v>
      </c>
      <c r="O1052" s="136">
        <f t="shared" ca="1" si="302"/>
        <v>2.6973744602864622</v>
      </c>
      <c r="P1052" s="136">
        <f t="shared" ca="1" si="303"/>
        <v>26.973744602864617</v>
      </c>
      <c r="Q1052" s="136">
        <f t="shared" ca="1" si="304"/>
        <v>26.973744602864617</v>
      </c>
      <c r="R1052" s="136">
        <f t="shared" ca="1" si="305"/>
        <v>2.6973744602864618</v>
      </c>
      <c r="S1052" s="136">
        <f t="shared" ca="1" si="306"/>
        <v>2.6973744602864622</v>
      </c>
      <c r="T1052" s="104">
        <f t="shared" ca="1" si="307"/>
        <v>0</v>
      </c>
      <c r="U1052" s="120">
        <f t="shared" ca="1" si="308"/>
        <v>1211.0695270312358</v>
      </c>
      <c r="V1052" s="104">
        <f t="shared" ca="1" si="309"/>
        <v>0</v>
      </c>
      <c r="W1052" s="133">
        <f t="shared" ca="1" si="310"/>
        <v>6532.799674384948</v>
      </c>
      <c r="X1052" s="104">
        <f t="shared" ca="1" si="311"/>
        <v>0</v>
      </c>
    </row>
    <row r="1053" spans="1:24" x14ac:dyDescent="0.2">
      <c r="A1053" s="98">
        <v>3</v>
      </c>
      <c r="B1053" s="98">
        <v>3</v>
      </c>
      <c r="C1053" s="98">
        <f t="shared" si="293"/>
        <v>8</v>
      </c>
      <c r="D1053" s="98">
        <f t="shared" si="294"/>
        <v>7</v>
      </c>
      <c r="E1053" s="98">
        <f t="shared" si="295"/>
        <v>3</v>
      </c>
      <c r="F1053" s="118">
        <f t="shared" ca="1" si="296"/>
        <v>8.9999999999999998E-4</v>
      </c>
      <c r="G1053" s="98">
        <v>0</v>
      </c>
      <c r="H1053" s="98">
        <v>1</v>
      </c>
      <c r="I1053" s="98">
        <v>1</v>
      </c>
      <c r="J1053" s="118">
        <f t="shared" ca="1" si="297"/>
        <v>0</v>
      </c>
      <c r="K1053" s="118">
        <f t="shared" ca="1" si="298"/>
        <v>0</v>
      </c>
      <c r="L1053" s="133">
        <f t="shared" ca="1" si="299"/>
        <v>180</v>
      </c>
      <c r="M1053" s="130">
        <f t="shared" ca="1" si="300"/>
        <v>820</v>
      </c>
      <c r="N1053" s="100">
        <f t="shared" ca="1" si="301"/>
        <v>4</v>
      </c>
      <c r="O1053" s="136">
        <f t="shared" ca="1" si="302"/>
        <v>2.6973744602864622</v>
      </c>
      <c r="P1053" s="136">
        <f t="shared" ca="1" si="303"/>
        <v>26.973744602864617</v>
      </c>
      <c r="Q1053" s="136">
        <f t="shared" ca="1" si="304"/>
        <v>26.973744602864617</v>
      </c>
      <c r="R1053" s="136">
        <f t="shared" ca="1" si="305"/>
        <v>2.6973744602864618</v>
      </c>
      <c r="S1053" s="136">
        <f t="shared" ca="1" si="306"/>
        <v>2.6973744602864622</v>
      </c>
      <c r="T1053" s="104">
        <f t="shared" ca="1" si="307"/>
        <v>0</v>
      </c>
      <c r="U1053" s="120">
        <f t="shared" ca="1" si="308"/>
        <v>1199.0695270312358</v>
      </c>
      <c r="V1053" s="104">
        <f t="shared" ca="1" si="309"/>
        <v>0</v>
      </c>
      <c r="W1053" s="133">
        <f t="shared" ca="1" si="310"/>
        <v>4355.1997829232987</v>
      </c>
      <c r="X1053" s="104">
        <f t="shared" ca="1" si="311"/>
        <v>0</v>
      </c>
    </row>
    <row r="1054" spans="1:24" x14ac:dyDescent="0.2">
      <c r="A1054" s="98">
        <v>3</v>
      </c>
      <c r="B1054" s="98">
        <v>3</v>
      </c>
      <c r="C1054" s="98">
        <f t="shared" si="293"/>
        <v>8</v>
      </c>
      <c r="D1054" s="98">
        <f t="shared" si="294"/>
        <v>7</v>
      </c>
      <c r="E1054" s="98">
        <f t="shared" si="295"/>
        <v>3</v>
      </c>
      <c r="F1054" s="118">
        <f t="shared" ca="1" si="296"/>
        <v>8.9999999999999998E-4</v>
      </c>
      <c r="G1054" s="98">
        <v>0</v>
      </c>
      <c r="H1054" s="98">
        <v>1</v>
      </c>
      <c r="I1054" s="98">
        <v>0</v>
      </c>
      <c r="J1054" s="118">
        <f t="shared" ca="1" si="297"/>
        <v>0</v>
      </c>
      <c r="K1054" s="118">
        <f t="shared" ca="1" si="298"/>
        <v>0</v>
      </c>
      <c r="L1054" s="133">
        <f t="shared" ca="1" si="299"/>
        <v>168</v>
      </c>
      <c r="M1054" s="130">
        <f t="shared" ca="1" si="300"/>
        <v>832</v>
      </c>
      <c r="N1054" s="100">
        <f t="shared" ca="1" si="301"/>
        <v>4</v>
      </c>
      <c r="O1054" s="136">
        <f t="shared" ca="1" si="302"/>
        <v>2.6973744602864622</v>
      </c>
      <c r="P1054" s="136">
        <f t="shared" ca="1" si="303"/>
        <v>26.973744602864617</v>
      </c>
      <c r="Q1054" s="136">
        <f t="shared" ca="1" si="304"/>
        <v>26.973744602864617</v>
      </c>
      <c r="R1054" s="136">
        <f t="shared" ca="1" si="305"/>
        <v>2.6973744602864618</v>
      </c>
      <c r="S1054" s="136">
        <f t="shared" ca="1" si="306"/>
        <v>2.6973744602864622</v>
      </c>
      <c r="T1054" s="104">
        <f t="shared" ca="1" si="307"/>
        <v>0</v>
      </c>
      <c r="U1054" s="120">
        <f t="shared" ca="1" si="308"/>
        <v>1187.0695270312358</v>
      </c>
      <c r="V1054" s="104">
        <f t="shared" ca="1" si="309"/>
        <v>0</v>
      </c>
      <c r="W1054" s="133">
        <f t="shared" ca="1" si="310"/>
        <v>2177.5998914616493</v>
      </c>
      <c r="X1054" s="104">
        <f t="shared" ca="1" si="311"/>
        <v>0</v>
      </c>
    </row>
    <row r="1055" spans="1:24" x14ac:dyDescent="0.2">
      <c r="A1055" s="98">
        <v>3</v>
      </c>
      <c r="B1055" s="98">
        <v>3</v>
      </c>
      <c r="C1055" s="98">
        <f t="shared" si="293"/>
        <v>8</v>
      </c>
      <c r="D1055" s="98">
        <f t="shared" si="294"/>
        <v>7</v>
      </c>
      <c r="E1055" s="98">
        <f t="shared" si="295"/>
        <v>3</v>
      </c>
      <c r="F1055" s="118">
        <f t="shared" ca="1" si="296"/>
        <v>8.9999999999999998E-4</v>
      </c>
      <c r="G1055" s="98">
        <v>0</v>
      </c>
      <c r="H1055" s="98">
        <v>0</v>
      </c>
      <c r="I1055" s="98">
        <v>7</v>
      </c>
      <c r="J1055" s="118">
        <f t="shared" ca="1" si="297"/>
        <v>3.4916864804687496E-2</v>
      </c>
      <c r="K1055" s="118">
        <f t="shared" ca="1" si="298"/>
        <v>3.1425178324218745E-5</v>
      </c>
      <c r="L1055" s="133">
        <f t="shared" ca="1" si="299"/>
        <v>84</v>
      </c>
      <c r="M1055" s="130">
        <f t="shared" ca="1" si="300"/>
        <v>916</v>
      </c>
      <c r="N1055" s="100">
        <f t="shared" ca="1" si="301"/>
        <v>5</v>
      </c>
      <c r="O1055" s="136">
        <f t="shared" ca="1" si="302"/>
        <v>3.301004590397413</v>
      </c>
      <c r="P1055" s="136">
        <f t="shared" ca="1" si="303"/>
        <v>33.010045903974124</v>
      </c>
      <c r="Q1055" s="136">
        <f t="shared" ca="1" si="304"/>
        <v>33.010045903974124</v>
      </c>
      <c r="R1055" s="136">
        <f t="shared" ca="1" si="305"/>
        <v>3.3010045903974126</v>
      </c>
      <c r="S1055" s="136">
        <f t="shared" ca="1" si="306"/>
        <v>3.3010045903974126</v>
      </c>
      <c r="T1055" s="104">
        <f t="shared" ca="1" si="307"/>
        <v>1.0373465790230335E-4</v>
      </c>
      <c r="U1055" s="120">
        <f t="shared" ca="1" si="308"/>
        <v>1323.3671890482913</v>
      </c>
      <c r="V1055" s="104">
        <f t="shared" ca="1" si="309"/>
        <v>4.1587049904262652E-2</v>
      </c>
      <c r="W1055" s="133">
        <f t="shared" ca="1" si="310"/>
        <v>15243.199240231546</v>
      </c>
      <c r="X1055" s="104">
        <f t="shared" ca="1" si="311"/>
        <v>0.47902025435587203</v>
      </c>
    </row>
    <row r="1056" spans="1:24" x14ac:dyDescent="0.2">
      <c r="A1056" s="98">
        <v>3</v>
      </c>
      <c r="B1056" s="98">
        <v>3</v>
      </c>
      <c r="C1056" s="98">
        <f t="shared" si="293"/>
        <v>8</v>
      </c>
      <c r="D1056" s="98">
        <f t="shared" si="294"/>
        <v>7</v>
      </c>
      <c r="E1056" s="98">
        <f t="shared" si="295"/>
        <v>3</v>
      </c>
      <c r="F1056" s="118">
        <f t="shared" ca="1" si="296"/>
        <v>8.9999999999999998E-4</v>
      </c>
      <c r="G1056" s="98">
        <v>0</v>
      </c>
      <c r="H1056" s="98">
        <v>0</v>
      </c>
      <c r="I1056" s="98">
        <v>6</v>
      </c>
      <c r="J1056" s="118">
        <f t="shared" ca="1" si="297"/>
        <v>1.2864108085937513E-2</v>
      </c>
      <c r="K1056" s="118">
        <f t="shared" ca="1" si="298"/>
        <v>1.1577697277343762E-5</v>
      </c>
      <c r="L1056" s="133">
        <f t="shared" ca="1" si="299"/>
        <v>72</v>
      </c>
      <c r="M1056" s="130">
        <f t="shared" ca="1" si="300"/>
        <v>928</v>
      </c>
      <c r="N1056" s="100">
        <f t="shared" ca="1" si="301"/>
        <v>5</v>
      </c>
      <c r="O1056" s="136">
        <f t="shared" ca="1" si="302"/>
        <v>3.301004590397413</v>
      </c>
      <c r="P1056" s="136">
        <f t="shared" ca="1" si="303"/>
        <v>33.010045903974124</v>
      </c>
      <c r="Q1056" s="136">
        <f t="shared" ca="1" si="304"/>
        <v>33.010045903974124</v>
      </c>
      <c r="R1056" s="136">
        <f t="shared" ca="1" si="305"/>
        <v>3.3010045903974126</v>
      </c>
      <c r="S1056" s="136">
        <f t="shared" ca="1" si="306"/>
        <v>3.3010045903974126</v>
      </c>
      <c r="T1056" s="104">
        <f t="shared" ca="1" si="307"/>
        <v>3.8218031858743385E-5</v>
      </c>
      <c r="U1056" s="120">
        <f t="shared" ca="1" si="308"/>
        <v>1311.3671890482913</v>
      </c>
      <c r="V1056" s="104">
        <f t="shared" ca="1" si="309"/>
        <v>1.5182612334242344E-2</v>
      </c>
      <c r="W1056" s="133">
        <f t="shared" ca="1" si="310"/>
        <v>13065.599348769898</v>
      </c>
      <c r="X1056" s="104">
        <f t="shared" ca="1" si="311"/>
        <v>0.15126955400711767</v>
      </c>
    </row>
    <row r="1057" spans="1:24" x14ac:dyDescent="0.2">
      <c r="A1057" s="98">
        <v>3</v>
      </c>
      <c r="B1057" s="98">
        <v>3</v>
      </c>
      <c r="C1057" s="98">
        <f t="shared" si="293"/>
        <v>8</v>
      </c>
      <c r="D1057" s="98">
        <f t="shared" si="294"/>
        <v>7</v>
      </c>
      <c r="E1057" s="98">
        <f t="shared" si="295"/>
        <v>3</v>
      </c>
      <c r="F1057" s="118">
        <f t="shared" ca="1" si="296"/>
        <v>8.9999999999999998E-4</v>
      </c>
      <c r="G1057" s="98">
        <v>0</v>
      </c>
      <c r="H1057" s="98">
        <v>0</v>
      </c>
      <c r="I1057" s="98">
        <v>5</v>
      </c>
      <c r="J1057" s="118">
        <f t="shared" ca="1" si="297"/>
        <v>2.0311749609375038E-3</v>
      </c>
      <c r="K1057" s="118">
        <f t="shared" ca="1" si="298"/>
        <v>1.8280574648437534E-6</v>
      </c>
      <c r="L1057" s="133">
        <f t="shared" ca="1" si="299"/>
        <v>60</v>
      </c>
      <c r="M1057" s="130">
        <f t="shared" ca="1" si="300"/>
        <v>940</v>
      </c>
      <c r="N1057" s="100">
        <f t="shared" ca="1" si="301"/>
        <v>5</v>
      </c>
      <c r="O1057" s="136">
        <f t="shared" ca="1" si="302"/>
        <v>3.301004590397413</v>
      </c>
      <c r="P1057" s="136">
        <f t="shared" ca="1" si="303"/>
        <v>33.010045903974124</v>
      </c>
      <c r="Q1057" s="136">
        <f t="shared" ca="1" si="304"/>
        <v>33.010045903974124</v>
      </c>
      <c r="R1057" s="136">
        <f t="shared" ca="1" si="305"/>
        <v>3.3010045903974126</v>
      </c>
      <c r="S1057" s="136">
        <f t="shared" ca="1" si="306"/>
        <v>3.3010045903974126</v>
      </c>
      <c r="T1057" s="104">
        <f t="shared" ca="1" si="307"/>
        <v>6.0344260829594865E-6</v>
      </c>
      <c r="U1057" s="120">
        <f t="shared" ca="1" si="308"/>
        <v>1299.3671890482913</v>
      </c>
      <c r="V1057" s="104">
        <f t="shared" ca="1" si="309"/>
        <v>2.3753178895127734E-3</v>
      </c>
      <c r="W1057" s="133">
        <f t="shared" ca="1" si="310"/>
        <v>10887.999457308248</v>
      </c>
      <c r="X1057" s="104">
        <f t="shared" ca="1" si="311"/>
        <v>1.9903888685147079E-2</v>
      </c>
    </row>
    <row r="1058" spans="1:24" x14ac:dyDescent="0.2">
      <c r="A1058" s="98">
        <v>3</v>
      </c>
      <c r="B1058" s="98">
        <v>3</v>
      </c>
      <c r="C1058" s="98">
        <f t="shared" si="293"/>
        <v>8</v>
      </c>
      <c r="D1058" s="98">
        <f t="shared" si="294"/>
        <v>7</v>
      </c>
      <c r="E1058" s="98">
        <f t="shared" si="295"/>
        <v>3</v>
      </c>
      <c r="F1058" s="118">
        <f t="shared" ca="1" si="296"/>
        <v>8.9999999999999998E-4</v>
      </c>
      <c r="G1058" s="98">
        <v>0</v>
      </c>
      <c r="H1058" s="98">
        <v>0</v>
      </c>
      <c r="I1058" s="98">
        <v>4</v>
      </c>
      <c r="J1058" s="118">
        <f t="shared" ca="1" si="297"/>
        <v>1.7817324218750047E-4</v>
      </c>
      <c r="K1058" s="118">
        <f t="shared" ca="1" si="298"/>
        <v>1.6035591796875042E-7</v>
      </c>
      <c r="L1058" s="133">
        <f t="shared" ca="1" si="299"/>
        <v>48</v>
      </c>
      <c r="M1058" s="130">
        <f t="shared" ca="1" si="300"/>
        <v>952</v>
      </c>
      <c r="N1058" s="100">
        <f t="shared" ca="1" si="301"/>
        <v>5</v>
      </c>
      <c r="O1058" s="136">
        <f t="shared" ca="1" si="302"/>
        <v>3.301004590397413</v>
      </c>
      <c r="P1058" s="136">
        <f t="shared" ca="1" si="303"/>
        <v>33.010045903974124</v>
      </c>
      <c r="Q1058" s="136">
        <f t="shared" ca="1" si="304"/>
        <v>33.010045903974124</v>
      </c>
      <c r="R1058" s="136">
        <f t="shared" ca="1" si="305"/>
        <v>3.3010045903974126</v>
      </c>
      <c r="S1058" s="136">
        <f t="shared" ca="1" si="306"/>
        <v>3.3010045903974126</v>
      </c>
      <c r="T1058" s="104">
        <f t="shared" ca="1" si="307"/>
        <v>5.2933562131223604E-7</v>
      </c>
      <c r="U1058" s="120">
        <f t="shared" ca="1" si="308"/>
        <v>1287.3671890482913</v>
      </c>
      <c r="V1058" s="104">
        <f t="shared" ca="1" si="309"/>
        <v>2.064369473626886E-4</v>
      </c>
      <c r="W1058" s="133">
        <f t="shared" ca="1" si="310"/>
        <v>8710.3995658465974</v>
      </c>
      <c r="X1058" s="104">
        <f t="shared" ca="1" si="311"/>
        <v>1.3967641182559363E-3</v>
      </c>
    </row>
    <row r="1059" spans="1:24" x14ac:dyDescent="0.2">
      <c r="A1059" s="98">
        <v>3</v>
      </c>
      <c r="B1059" s="98">
        <v>3</v>
      </c>
      <c r="C1059" s="98">
        <f t="shared" si="293"/>
        <v>8</v>
      </c>
      <c r="D1059" s="98">
        <f t="shared" si="294"/>
        <v>7</v>
      </c>
      <c r="E1059" s="98">
        <f t="shared" si="295"/>
        <v>3</v>
      </c>
      <c r="F1059" s="118">
        <f t="shared" ca="1" si="296"/>
        <v>8.9999999999999998E-4</v>
      </c>
      <c r="G1059" s="98">
        <v>0</v>
      </c>
      <c r="H1059" s="98">
        <v>0</v>
      </c>
      <c r="I1059" s="98">
        <v>3</v>
      </c>
      <c r="J1059" s="118">
        <f t="shared" ca="1" si="297"/>
        <v>9.3775390625000315E-6</v>
      </c>
      <c r="K1059" s="118">
        <f t="shared" ca="1" si="298"/>
        <v>8.4397851562500278E-9</v>
      </c>
      <c r="L1059" s="133">
        <f t="shared" ca="1" si="299"/>
        <v>36</v>
      </c>
      <c r="M1059" s="130">
        <f t="shared" ca="1" si="300"/>
        <v>964</v>
      </c>
      <c r="N1059" s="100">
        <f t="shared" ca="1" si="301"/>
        <v>5</v>
      </c>
      <c r="O1059" s="136">
        <f t="shared" ca="1" si="302"/>
        <v>3.301004590397413</v>
      </c>
      <c r="P1059" s="136">
        <f t="shared" ca="1" si="303"/>
        <v>33.010045903974124</v>
      </c>
      <c r="Q1059" s="136">
        <f t="shared" ca="1" si="304"/>
        <v>33.010045903974124</v>
      </c>
      <c r="R1059" s="136">
        <f t="shared" ca="1" si="305"/>
        <v>3.3010045903974126</v>
      </c>
      <c r="S1059" s="136">
        <f t="shared" ca="1" si="306"/>
        <v>3.3010045903974126</v>
      </c>
      <c r="T1059" s="104">
        <f t="shared" ca="1" si="307"/>
        <v>2.7859769542749287E-8</v>
      </c>
      <c r="U1059" s="120">
        <f t="shared" ca="1" si="308"/>
        <v>1275.3671890482913</v>
      </c>
      <c r="V1059" s="104">
        <f t="shared" ca="1" si="309"/>
        <v>1.0763825070898091E-5</v>
      </c>
      <c r="W1059" s="133">
        <f t="shared" ca="1" si="310"/>
        <v>6532.799674384949</v>
      </c>
      <c r="X1059" s="104">
        <f t="shared" ca="1" si="311"/>
        <v>5.5135425720629105E-5</v>
      </c>
    </row>
    <row r="1060" spans="1:24" x14ac:dyDescent="0.2">
      <c r="A1060" s="98">
        <v>3</v>
      </c>
      <c r="B1060" s="98">
        <v>3</v>
      </c>
      <c r="C1060" s="98">
        <f t="shared" si="293"/>
        <v>8</v>
      </c>
      <c r="D1060" s="98">
        <f t="shared" si="294"/>
        <v>7</v>
      </c>
      <c r="E1060" s="98">
        <f t="shared" si="295"/>
        <v>3</v>
      </c>
      <c r="F1060" s="118">
        <f t="shared" ca="1" si="296"/>
        <v>8.9999999999999998E-4</v>
      </c>
      <c r="G1060" s="98">
        <v>0</v>
      </c>
      <c r="H1060" s="98">
        <v>0</v>
      </c>
      <c r="I1060" s="98">
        <v>2</v>
      </c>
      <c r="J1060" s="118">
        <f t="shared" ca="1" si="297"/>
        <v>2.961328125000013E-7</v>
      </c>
      <c r="K1060" s="118">
        <f t="shared" ca="1" si="298"/>
        <v>2.6651953125000117E-10</v>
      </c>
      <c r="L1060" s="133">
        <f t="shared" ca="1" si="299"/>
        <v>24</v>
      </c>
      <c r="M1060" s="130">
        <f t="shared" ca="1" si="300"/>
        <v>976</v>
      </c>
      <c r="N1060" s="100">
        <f t="shared" ca="1" si="301"/>
        <v>5</v>
      </c>
      <c r="O1060" s="136">
        <f t="shared" ca="1" si="302"/>
        <v>3.301004590397413</v>
      </c>
      <c r="P1060" s="136">
        <f t="shared" ca="1" si="303"/>
        <v>33.010045903974124</v>
      </c>
      <c r="Q1060" s="136">
        <f t="shared" ca="1" si="304"/>
        <v>33.010045903974124</v>
      </c>
      <c r="R1060" s="136">
        <f t="shared" ca="1" si="305"/>
        <v>3.3010045903974126</v>
      </c>
      <c r="S1060" s="136">
        <f t="shared" ca="1" si="306"/>
        <v>3.3010045903974126</v>
      </c>
      <c r="T1060" s="104">
        <f t="shared" ca="1" si="307"/>
        <v>8.797821960868205E-10</v>
      </c>
      <c r="U1060" s="120">
        <f t="shared" ca="1" si="308"/>
        <v>1263.3671890482913</v>
      </c>
      <c r="V1060" s="104">
        <f t="shared" ca="1" si="309"/>
        <v>3.367120310217822E-7</v>
      </c>
      <c r="W1060" s="133">
        <f t="shared" ca="1" si="310"/>
        <v>4355.1997829232987</v>
      </c>
      <c r="X1060" s="104">
        <f t="shared" ca="1" si="311"/>
        <v>1.1607458046448245E-6</v>
      </c>
    </row>
    <row r="1061" spans="1:24" x14ac:dyDescent="0.2">
      <c r="A1061" s="98">
        <v>3</v>
      </c>
      <c r="B1061" s="98">
        <v>3</v>
      </c>
      <c r="C1061" s="98">
        <f t="shared" si="293"/>
        <v>8</v>
      </c>
      <c r="D1061" s="98">
        <f t="shared" si="294"/>
        <v>7</v>
      </c>
      <c r="E1061" s="98">
        <f t="shared" si="295"/>
        <v>3</v>
      </c>
      <c r="F1061" s="118">
        <f t="shared" ca="1" si="296"/>
        <v>8.9999999999999998E-4</v>
      </c>
      <c r="G1061" s="98">
        <v>0</v>
      </c>
      <c r="H1061" s="98">
        <v>0</v>
      </c>
      <c r="I1061" s="98">
        <v>1</v>
      </c>
      <c r="J1061" s="118">
        <f t="shared" ca="1" si="297"/>
        <v>5.1953125000000272E-9</v>
      </c>
      <c r="K1061" s="118">
        <f t="shared" ca="1" si="298"/>
        <v>4.6757812500000246E-12</v>
      </c>
      <c r="L1061" s="133">
        <f t="shared" ca="1" si="299"/>
        <v>12</v>
      </c>
      <c r="M1061" s="130">
        <f t="shared" ca="1" si="300"/>
        <v>988</v>
      </c>
      <c r="N1061" s="100">
        <f t="shared" ca="1" si="301"/>
        <v>5</v>
      </c>
      <c r="O1061" s="136">
        <f t="shared" ca="1" si="302"/>
        <v>3.301004590397413</v>
      </c>
      <c r="P1061" s="136">
        <f t="shared" ca="1" si="303"/>
        <v>33.010045903974124</v>
      </c>
      <c r="Q1061" s="136">
        <f t="shared" ca="1" si="304"/>
        <v>33.010045903974124</v>
      </c>
      <c r="R1061" s="136">
        <f t="shared" ca="1" si="305"/>
        <v>3.3010045903974126</v>
      </c>
      <c r="S1061" s="136">
        <f t="shared" ca="1" si="306"/>
        <v>3.3010045903974126</v>
      </c>
      <c r="T1061" s="104">
        <f t="shared" ca="1" si="307"/>
        <v>1.5434775369944233E-11</v>
      </c>
      <c r="U1061" s="120">
        <f t="shared" ca="1" si="308"/>
        <v>1251.3671890482913</v>
      </c>
      <c r="V1061" s="104">
        <f t="shared" ca="1" si="309"/>
        <v>5.8511192394172362E-9</v>
      </c>
      <c r="W1061" s="133">
        <f t="shared" ca="1" si="310"/>
        <v>2177.5998914616493</v>
      </c>
      <c r="X1061" s="104">
        <f t="shared" ca="1" si="311"/>
        <v>1.0181980742498469E-8</v>
      </c>
    </row>
    <row r="1062" spans="1:24" x14ac:dyDescent="0.2">
      <c r="A1062" s="98">
        <v>3</v>
      </c>
      <c r="B1062" s="98">
        <v>3</v>
      </c>
      <c r="C1062" s="98">
        <f t="shared" si="293"/>
        <v>8</v>
      </c>
      <c r="D1062" s="98">
        <f t="shared" si="294"/>
        <v>7</v>
      </c>
      <c r="E1062" s="98">
        <f t="shared" si="295"/>
        <v>3</v>
      </c>
      <c r="F1062" s="118">
        <f t="shared" ca="1" si="296"/>
        <v>8.9999999999999998E-4</v>
      </c>
      <c r="G1062" s="98">
        <v>0</v>
      </c>
      <c r="H1062" s="98">
        <v>0</v>
      </c>
      <c r="I1062" s="98">
        <v>0</v>
      </c>
      <c r="J1062" s="118">
        <f t="shared" ca="1" si="297"/>
        <v>3.9062500000000246E-11</v>
      </c>
      <c r="K1062" s="118">
        <f t="shared" ca="1" si="298"/>
        <v>3.5156250000000219E-14</v>
      </c>
      <c r="L1062" s="133">
        <f t="shared" ca="1" si="299"/>
        <v>0</v>
      </c>
      <c r="M1062" s="130">
        <f t="shared" ca="1" si="300"/>
        <v>1000</v>
      </c>
      <c r="N1062" s="100">
        <f t="shared" ca="1" si="301"/>
        <v>5</v>
      </c>
      <c r="O1062" s="136">
        <f t="shared" ca="1" si="302"/>
        <v>3.301004590397413</v>
      </c>
      <c r="P1062" s="136">
        <f t="shared" ca="1" si="303"/>
        <v>33.010045903974124</v>
      </c>
      <c r="Q1062" s="136">
        <f t="shared" ca="1" si="304"/>
        <v>33.010045903974124</v>
      </c>
      <c r="R1062" s="136">
        <f t="shared" ca="1" si="305"/>
        <v>3.3010045903974126</v>
      </c>
      <c r="S1062" s="136">
        <f t="shared" ca="1" si="306"/>
        <v>3.3010045903974126</v>
      </c>
      <c r="T1062" s="104">
        <f t="shared" ca="1" si="307"/>
        <v>1.1605094263115975E-13</v>
      </c>
      <c r="U1062" s="120">
        <f t="shared" ca="1" si="308"/>
        <v>1239.3671890482913</v>
      </c>
      <c r="V1062" s="104">
        <f t="shared" ca="1" si="309"/>
        <v>4.3571502739979264E-11</v>
      </c>
      <c r="W1062" s="133">
        <f t="shared" ca="1" si="310"/>
        <v>0</v>
      </c>
      <c r="X1062" s="104">
        <f t="shared" ca="1" si="311"/>
        <v>0</v>
      </c>
    </row>
    <row r="1064" spans="1:24" x14ac:dyDescent="0.2">
      <c r="J1064" s="101" t="s">
        <v>235</v>
      </c>
      <c r="K1064" s="106">
        <f ca="1">SUM(K551:K1062)</f>
        <v>1.0000000000000004</v>
      </c>
      <c r="O1064" s="100"/>
      <c r="P1064" s="100"/>
      <c r="Q1064" s="100"/>
      <c r="R1064" s="100"/>
      <c r="S1064" s="100" t="s">
        <v>236</v>
      </c>
      <c r="T1064" s="104">
        <f ca="1">SUM(T551:T1062)</f>
        <v>2.727555966792008</v>
      </c>
      <c r="U1064" s="98" t="s">
        <v>202</v>
      </c>
      <c r="V1064" s="104">
        <f ca="1">SUM(V551:V1062)</f>
        <v>1237.0822585320871</v>
      </c>
      <c r="W1064" s="98" t="s">
        <v>237</v>
      </c>
      <c r="X1064" s="104">
        <f ca="1">SUM(X551:X1062)</f>
        <v>10938.782611097053</v>
      </c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indexed="52"/>
  </sheetPr>
  <dimension ref="A1:U399"/>
  <sheetViews>
    <sheetView workbookViewId="0">
      <selection activeCell="B3" sqref="B3"/>
    </sheetView>
  </sheetViews>
  <sheetFormatPr defaultRowHeight="12.75" x14ac:dyDescent="0.2"/>
  <cols>
    <col min="1" max="1" width="15.140625" style="98" customWidth="1"/>
    <col min="2" max="4" width="9.140625" style="98"/>
    <col min="5" max="5" width="9.28515625" style="98" bestFit="1" customWidth="1"/>
    <col min="6" max="16" width="9.140625" style="98"/>
    <col min="17" max="17" width="14.7109375" style="98" customWidth="1"/>
    <col min="18" max="18" width="10.7109375" style="98" customWidth="1"/>
    <col min="19" max="19" width="5.7109375" style="98" customWidth="1"/>
    <col min="20" max="20" width="14.7109375" style="98" customWidth="1"/>
    <col min="21" max="21" width="10.7109375" style="98" customWidth="1"/>
    <col min="22" max="16384" width="9.140625" style="98"/>
  </cols>
  <sheetData>
    <row r="1" spans="1:21" x14ac:dyDescent="0.2">
      <c r="A1" s="98" t="s">
        <v>0</v>
      </c>
    </row>
    <row r="3" spans="1:21" x14ac:dyDescent="0.2">
      <c r="A3" s="98" t="s">
        <v>239</v>
      </c>
      <c r="B3" s="99">
        <f ca="1">Data!B98</f>
        <v>0.95</v>
      </c>
      <c r="D3" s="100" t="s">
        <v>211</v>
      </c>
      <c r="E3" s="100"/>
      <c r="F3" s="100"/>
      <c r="G3" s="100"/>
      <c r="H3" s="100"/>
      <c r="I3" s="100"/>
      <c r="Q3" s="121" t="s">
        <v>0</v>
      </c>
      <c r="R3" s="98" t="s">
        <v>238</v>
      </c>
      <c r="T3" s="121" t="s">
        <v>1</v>
      </c>
      <c r="U3" s="98" t="s">
        <v>238</v>
      </c>
    </row>
    <row r="4" spans="1:21" x14ac:dyDescent="0.2">
      <c r="A4" s="98" t="s">
        <v>191</v>
      </c>
      <c r="B4" s="101">
        <f ca="1">Data!B79</f>
        <v>0.51</v>
      </c>
      <c r="D4" s="98" t="s">
        <v>216</v>
      </c>
      <c r="E4" s="98" t="s">
        <v>240</v>
      </c>
      <c r="F4" s="102">
        <v>0</v>
      </c>
      <c r="G4" s="102">
        <v>1</v>
      </c>
      <c r="H4" s="102">
        <v>2</v>
      </c>
      <c r="I4" s="103">
        <v>3</v>
      </c>
      <c r="J4" s="103">
        <v>4</v>
      </c>
      <c r="K4" s="103">
        <v>5</v>
      </c>
      <c r="L4" s="103">
        <v>6</v>
      </c>
      <c r="M4" s="103">
        <v>7</v>
      </c>
      <c r="N4" s="103">
        <v>8</v>
      </c>
      <c r="Q4" s="104"/>
      <c r="R4" s="104"/>
      <c r="T4" s="104"/>
      <c r="U4" s="104"/>
    </row>
    <row r="5" spans="1:21" x14ac:dyDescent="0.2">
      <c r="A5" s="98" t="s">
        <v>194</v>
      </c>
      <c r="B5" s="101">
        <f ca="1">Data!B80</f>
        <v>0.11000000000000001</v>
      </c>
      <c r="D5" s="98">
        <v>0</v>
      </c>
      <c r="E5" s="105">
        <v>0</v>
      </c>
      <c r="F5" s="106">
        <f t="shared" ref="F5:N5" ca="1" si="0">IF($D5&gt;=F4, POWER($B3, F4) * POWER((1-$B3), $D5-F4) * COMBIN($D5,F4) * $E5, 0)</f>
        <v>0</v>
      </c>
      <c r="G5" s="106">
        <f t="shared" si="0"/>
        <v>0</v>
      </c>
      <c r="H5" s="106">
        <f t="shared" si="0"/>
        <v>0</v>
      </c>
      <c r="I5" s="106">
        <f t="shared" si="0"/>
        <v>0</v>
      </c>
      <c r="J5" s="106">
        <f t="shared" si="0"/>
        <v>0</v>
      </c>
      <c r="K5" s="106">
        <f t="shared" si="0"/>
        <v>0</v>
      </c>
      <c r="L5" s="106">
        <f t="shared" si="0"/>
        <v>0</v>
      </c>
      <c r="M5" s="106">
        <f t="shared" si="0"/>
        <v>0</v>
      </c>
      <c r="N5" s="106">
        <f t="shared" si="0"/>
        <v>0</v>
      </c>
      <c r="R5" s="107">
        <v>0</v>
      </c>
      <c r="U5" s="107">
        <v>0</v>
      </c>
    </row>
    <row r="6" spans="1:21" x14ac:dyDescent="0.2">
      <c r="A6" s="98" t="s">
        <v>196</v>
      </c>
      <c r="B6" s="101">
        <f ca="1">Data!B81</f>
        <v>0.05</v>
      </c>
      <c r="D6" s="98">
        <v>1</v>
      </c>
      <c r="E6" s="165">
        <f ca="1">(1-B6)*(1-B5)*(1-B4)*(1-B8)*(1-B7)*(1-B24)</f>
        <v>0.41429499999999997</v>
      </c>
      <c r="F6" s="106">
        <f ca="1">IF($D6&gt;=F4, POWER($B3, F4) * POWER((1-$B3), $D6-F4) * COMBIN($D6,F4) * $E6, 0) * (1 - B27*B28*(1-E19))</f>
        <v>1.5794996875000012E-2</v>
      </c>
      <c r="G6" s="106">
        <f ca="1">IF($D6&gt;=G4, POWER($B3, G4) * POWER((1-$B3), $D6-G4) * COMBIN($D6,G4) * $E6, 0) + IF($D6&gt;=F4, POWER($B3, F4) * POWER((1-$B3), $D6-F4) * COMBIN($D6,F4) * $E6, 0) * B27 * B28 * (1-E19)</f>
        <v>0.39850000312499995</v>
      </c>
      <c r="H6" s="106">
        <f t="shared" ref="H6:N6" si="1">IF($D6&gt;=H4, POWER($B3, H4) * POWER((1-$B3), $D6-H4) * COMBIN($D6,H4) * $E6, 0)</f>
        <v>0</v>
      </c>
      <c r="I6" s="106">
        <f t="shared" si="1"/>
        <v>0</v>
      </c>
      <c r="J6" s="106">
        <f t="shared" si="1"/>
        <v>0</v>
      </c>
      <c r="K6" s="106">
        <f t="shared" si="1"/>
        <v>0</v>
      </c>
      <c r="L6" s="106">
        <f t="shared" si="1"/>
        <v>0</v>
      </c>
      <c r="M6" s="106">
        <f t="shared" si="1"/>
        <v>0</v>
      </c>
      <c r="N6" s="106">
        <f t="shared" si="1"/>
        <v>0</v>
      </c>
      <c r="R6" s="98">
        <v>0</v>
      </c>
      <c r="U6" s="98">
        <v>0</v>
      </c>
    </row>
    <row r="7" spans="1:21" x14ac:dyDescent="0.2">
      <c r="A7" s="98" t="s">
        <v>351</v>
      </c>
      <c r="B7" s="101">
        <v>0</v>
      </c>
      <c r="D7" s="98">
        <v>2</v>
      </c>
      <c r="E7" s="165">
        <f ca="1">(1-B6)*(1-B5)*(1-B7)*(B4) + (1-B6)*(1-B5)*(1-B4)*(1-B7)*(B8)*(B9) + (1-B6)*(1-B5)*(1-B4)*(1-B7)*(1-B8)*(B24)*(B25) + (1-B6)*(1-B5)*(1-B4)*(1-B8)*(1-B24)*(B7)</f>
        <v>0.43120499999999995</v>
      </c>
      <c r="F7" s="106">
        <f t="shared" ref="F7:N7" ca="1" si="2">IF($D7&gt;=F4, POWER($B3, F4) * POWER((1-$B3), $D7-F4) * COMBIN($D7,F4) * $E7, 0)</f>
        <v>1.0780125000000018E-3</v>
      </c>
      <c r="G7" s="106">
        <f t="shared" ca="1" si="2"/>
        <v>4.0964475000000035E-2</v>
      </c>
      <c r="H7" s="106">
        <f t="shared" ca="1" si="2"/>
        <v>0.38916251249999995</v>
      </c>
      <c r="I7" s="106">
        <f t="shared" si="2"/>
        <v>0</v>
      </c>
      <c r="J7" s="106">
        <f t="shared" si="2"/>
        <v>0</v>
      </c>
      <c r="K7" s="106">
        <f t="shared" si="2"/>
        <v>0</v>
      </c>
      <c r="L7" s="106">
        <f t="shared" si="2"/>
        <v>0</v>
      </c>
      <c r="M7" s="106">
        <f t="shared" si="2"/>
        <v>0</v>
      </c>
      <c r="N7" s="106">
        <f t="shared" si="2"/>
        <v>0</v>
      </c>
      <c r="R7" s="98">
        <v>0</v>
      </c>
      <c r="U7" s="98">
        <v>0</v>
      </c>
    </row>
    <row r="8" spans="1:21" x14ac:dyDescent="0.2">
      <c r="A8" s="98" t="s">
        <v>352</v>
      </c>
      <c r="B8" s="101">
        <f>IF(ISBLANK(Gear!$B$3), 0, VLOOKUP(Gear!$B$3, Weapon, MATCH("OAx", StatHeader, 0), 0))</f>
        <v>0</v>
      </c>
      <c r="D8" s="98">
        <v>3</v>
      </c>
      <c r="E8" s="165">
        <f ca="1">(1-B6)*(1-B7)*(B5) + (1-B6)*(1-B5)*(1-B4)*(1-B7)*(B8)*(B10) + (1-B6)*(1-B5)*(1-B4)*(1-B7)*(1-B8)*(B24)*(B26) + (1-B6)*(1-B5)*(B7)*(B4) + (1-B6)*(1-B5)*(1-B4)*(B7)*(B8)*(B9) + (1-B6)*(1-B5)*(1-B4)*(B7)*(B24)*(B25)</f>
        <v>0.10450000000000001</v>
      </c>
      <c r="F8" s="106">
        <f t="shared" ref="F8:N8" ca="1" si="3">IF($D8&gt;=F4, POWER($B3, F4) * POWER((1-$B3), $D8-F4) * COMBIN($D8,F4) * $E8, 0)</f>
        <v>1.3062500000000036E-5</v>
      </c>
      <c r="G8" s="106">
        <f t="shared" ca="1" si="3"/>
        <v>7.445625000000013E-4</v>
      </c>
      <c r="H8" s="106">
        <f t="shared" ca="1" si="3"/>
        <v>1.4146687500000015E-2</v>
      </c>
      <c r="I8" s="106">
        <f t="shared" ca="1" si="3"/>
        <v>8.9595687499999993E-2</v>
      </c>
      <c r="J8" s="106">
        <f t="shared" si="3"/>
        <v>0</v>
      </c>
      <c r="K8" s="106">
        <f t="shared" si="3"/>
        <v>0</v>
      </c>
      <c r="L8" s="106">
        <f t="shared" si="3"/>
        <v>0</v>
      </c>
      <c r="M8" s="106">
        <f t="shared" si="3"/>
        <v>0</v>
      </c>
      <c r="N8" s="106">
        <f t="shared" si="3"/>
        <v>0</v>
      </c>
      <c r="R8" s="98">
        <v>0</v>
      </c>
      <c r="U8" s="98">
        <v>0</v>
      </c>
    </row>
    <row r="9" spans="1:21" x14ac:dyDescent="0.2">
      <c r="A9" s="98" t="s">
        <v>353</v>
      </c>
      <c r="B9" s="101">
        <f>IF(ISBLANK(Gear!$B$3), 0, VLOOKUP(Gear!$B$3, Weapon, MATCH(A9, StatHeader, 0), 0))</f>
        <v>0</v>
      </c>
      <c r="D9" s="98">
        <v>4</v>
      </c>
      <c r="E9" s="165">
        <f ca="1">(B6)*(1-B7) + (1-B6)*(B7)*(B5) + (1-B6)*(1-B5)*(1-B4)*(1-B7)*(B8)*(B11) + (1-B6)*(1-B5)*(1-B4)*(B7)*(B24)*(B26) + (1-B6)*(1-B5)*(1-B4)*(B7)*(B8)*(B10)</f>
        <v>0.05</v>
      </c>
      <c r="F9" s="106">
        <f t="shared" ref="F9:N9" ca="1" si="4">IF($D9&gt;=F4, POWER($B3, F4) * POWER((1-$B3), $D9-F4) * COMBIN($D9,F4) * $E9, 0)</f>
        <v>3.1250000000000114E-7</v>
      </c>
      <c r="G9" s="106">
        <f t="shared" ca="1" si="4"/>
        <v>2.3750000000000062E-5</v>
      </c>
      <c r="H9" s="106">
        <f t="shared" ca="1" si="4"/>
        <v>6.7687500000000126E-4</v>
      </c>
      <c r="I9" s="106">
        <f t="shared" ca="1" si="4"/>
        <v>8.5737500000000067E-3</v>
      </c>
      <c r="J9" s="106">
        <f t="shared" ca="1" si="4"/>
        <v>4.0725312499999999E-2</v>
      </c>
      <c r="K9" s="106">
        <f t="shared" si="4"/>
        <v>0</v>
      </c>
      <c r="L9" s="106">
        <f t="shared" si="4"/>
        <v>0</v>
      </c>
      <c r="M9" s="106">
        <f t="shared" si="4"/>
        <v>0</v>
      </c>
      <c r="N9" s="106">
        <f t="shared" si="4"/>
        <v>0</v>
      </c>
      <c r="R9" s="98">
        <v>0</v>
      </c>
      <c r="U9" s="98">
        <v>0</v>
      </c>
    </row>
    <row r="10" spans="1:21" x14ac:dyDescent="0.2">
      <c r="A10" s="98" t="s">
        <v>354</v>
      </c>
      <c r="B10" s="101">
        <f>IF(ISBLANK(Gear!$B$3), 0, VLOOKUP(Gear!$B$3, Weapon, MATCH(A10, StatHeader, 0), 0))</f>
        <v>0</v>
      </c>
      <c r="D10" s="98">
        <v>5</v>
      </c>
      <c r="E10" s="166">
        <f ca="1">(1-B6)*(1-B5)*(1-B4)*(1-B7)*(B8)*(B12) + (1-B6)*(1-B5)*(1-B4)*(B7)*(B8)*(B11) + (B6)*(B7)</f>
        <v>0</v>
      </c>
      <c r="F10" s="106">
        <f t="shared" ref="F10:N10" ca="1" si="5">IF($D10&gt;=F4, POWER($B3, F4) * POWER((1-$B3), $D10-F4) * COMBIN($D10,F4) * $E10, 0)</f>
        <v>0</v>
      </c>
      <c r="G10" s="106">
        <f t="shared" ca="1" si="5"/>
        <v>0</v>
      </c>
      <c r="H10" s="106">
        <f t="shared" ca="1" si="5"/>
        <v>0</v>
      </c>
      <c r="I10" s="106">
        <f t="shared" ca="1" si="5"/>
        <v>0</v>
      </c>
      <c r="J10" s="106">
        <f t="shared" ca="1" si="5"/>
        <v>0</v>
      </c>
      <c r="K10" s="106">
        <f t="shared" ca="1" si="5"/>
        <v>0</v>
      </c>
      <c r="L10" s="106">
        <f t="shared" si="5"/>
        <v>0</v>
      </c>
      <c r="M10" s="106">
        <f t="shared" si="5"/>
        <v>0</v>
      </c>
      <c r="N10" s="106">
        <f t="shared" si="5"/>
        <v>0</v>
      </c>
      <c r="R10" s="98">
        <v>0</v>
      </c>
      <c r="U10" s="98">
        <v>0</v>
      </c>
    </row>
    <row r="11" spans="1:21" x14ac:dyDescent="0.2">
      <c r="A11" s="98" t="s">
        <v>355</v>
      </c>
      <c r="B11" s="101">
        <f>IF(ISBLANK(Gear!$B$3), 0, VLOOKUP(Gear!$B$3, Weapon, MATCH(A11, StatHeader, 0), 0))</f>
        <v>0</v>
      </c>
      <c r="D11" s="100">
        <v>6</v>
      </c>
      <c r="E11" s="166">
        <f ca="1">(1-B6)*(1-B5)*(1-B4)*(1-B7)*(B8)*(B13) + (1-B6)*(1-B5)*(1-B4)*(B7)*(B8)*(B12)</f>
        <v>0</v>
      </c>
      <c r="F11" s="106">
        <f t="shared" ref="F11:N11" ca="1" si="6">IF($D11&gt;=F4, POWER($B3, F4) * POWER((1-$B3), $D11-F4) * COMBIN($D11,F4) * $E11, 0)</f>
        <v>0</v>
      </c>
      <c r="G11" s="106">
        <f t="shared" ca="1" si="6"/>
        <v>0</v>
      </c>
      <c r="H11" s="106">
        <f t="shared" ca="1" si="6"/>
        <v>0</v>
      </c>
      <c r="I11" s="106">
        <f t="shared" ca="1" si="6"/>
        <v>0</v>
      </c>
      <c r="J11" s="106">
        <f t="shared" ca="1" si="6"/>
        <v>0</v>
      </c>
      <c r="K11" s="106">
        <f t="shared" ca="1" si="6"/>
        <v>0</v>
      </c>
      <c r="L11" s="106">
        <f t="shared" ca="1" si="6"/>
        <v>0</v>
      </c>
      <c r="M11" s="106">
        <f t="shared" si="6"/>
        <v>0</v>
      </c>
      <c r="N11" s="106">
        <f t="shared" si="6"/>
        <v>0</v>
      </c>
      <c r="Q11" s="98" t="s">
        <v>242</v>
      </c>
      <c r="R11" s="98">
        <v>0</v>
      </c>
      <c r="T11" s="98" t="s">
        <v>242</v>
      </c>
      <c r="U11" s="98">
        <v>0</v>
      </c>
    </row>
    <row r="12" spans="1:21" x14ac:dyDescent="0.2">
      <c r="A12" s="98" t="s">
        <v>356</v>
      </c>
      <c r="B12" s="101">
        <f>IF(ISBLANK(Gear!$B$3), 0, VLOOKUP(Gear!$B$3, Weapon, MATCH(A12, StatHeader, 0), 0))</f>
        <v>0</v>
      </c>
      <c r="D12" s="110">
        <v>7</v>
      </c>
      <c r="E12" s="165">
        <f ca="1">(1-B6)*(1-B5)*(1-B4)*(1-B7)*(B8)*(B14) + (1-B6)*(1-B5)*(1-B4)*(B7)*(B8)*(B13)</f>
        <v>0</v>
      </c>
      <c r="F12" s="106">
        <f t="shared" ref="F12:N12" ca="1" si="7">IF($D12&gt;=F4, POWER($B3, F4) * POWER((1-$B3), $D12-F4) * COMBIN($D12,F4) * $E12, 0)</f>
        <v>0</v>
      </c>
      <c r="G12" s="106">
        <f t="shared" ca="1" si="7"/>
        <v>0</v>
      </c>
      <c r="H12" s="106">
        <f t="shared" ca="1" si="7"/>
        <v>0</v>
      </c>
      <c r="I12" s="106">
        <f t="shared" ca="1" si="7"/>
        <v>0</v>
      </c>
      <c r="J12" s="106">
        <f t="shared" ca="1" si="7"/>
        <v>0</v>
      </c>
      <c r="K12" s="106">
        <f t="shared" ca="1" si="7"/>
        <v>0</v>
      </c>
      <c r="L12" s="106">
        <f t="shared" ca="1" si="7"/>
        <v>0</v>
      </c>
      <c r="M12" s="106">
        <f t="shared" ca="1" si="7"/>
        <v>0</v>
      </c>
      <c r="N12" s="106">
        <f t="shared" si="7"/>
        <v>0</v>
      </c>
      <c r="O12" s="100"/>
      <c r="P12" s="100"/>
      <c r="Q12" s="98">
        <v>0</v>
      </c>
      <c r="R12" s="98">
        <v>0</v>
      </c>
      <c r="T12" s="98">
        <v>0</v>
      </c>
      <c r="U12" s="98">
        <v>0</v>
      </c>
    </row>
    <row r="13" spans="1:21" x14ac:dyDescent="0.2">
      <c r="A13" s="98" t="s">
        <v>357</v>
      </c>
      <c r="B13" s="101">
        <f>IF(ISBLANK(Gear!$B$3), 0, VLOOKUP(Gear!$B$3, Weapon, MATCH(A13, StatHeader, 0), 0))</f>
        <v>0</v>
      </c>
      <c r="D13" s="110">
        <v>8</v>
      </c>
      <c r="E13" s="165">
        <f ca="1">(1-B6)*(1-B5)*(1-B4)*(B8)*(B15) + (1-B6)*(1-B5)*(1-B4)*(B7)*(B8)*(B14)</f>
        <v>0</v>
      </c>
      <c r="F13" s="111">
        <f t="shared" ref="F13:N13" ca="1" si="8">IF($D13&gt;=F4, POWER($B3, F4) * POWER((1-$B3), $D13-F4) * COMBIN($D13,F4) * $E13, 0)</f>
        <v>0</v>
      </c>
      <c r="G13" s="112">
        <f t="shared" ca="1" si="8"/>
        <v>0</v>
      </c>
      <c r="H13" s="112">
        <f t="shared" ca="1" si="8"/>
        <v>0</v>
      </c>
      <c r="I13" s="112">
        <f t="shared" ca="1" si="8"/>
        <v>0</v>
      </c>
      <c r="J13" s="112">
        <f t="shared" ca="1" si="8"/>
        <v>0</v>
      </c>
      <c r="K13" s="112">
        <f t="shared" ca="1" si="8"/>
        <v>0</v>
      </c>
      <c r="L13" s="112">
        <f t="shared" ca="1" si="8"/>
        <v>0</v>
      </c>
      <c r="M13" s="112">
        <f t="shared" ca="1" si="8"/>
        <v>0</v>
      </c>
      <c r="N13" s="112">
        <f t="shared" ca="1" si="8"/>
        <v>0</v>
      </c>
      <c r="O13" s="100"/>
      <c r="P13" s="100"/>
      <c r="Q13" s="98">
        <v>1</v>
      </c>
      <c r="R13" s="113">
        <f t="shared" ref="R13:R62" ca="1" si="9">(1+R12*$F$37+R11*$G$37+R10*$H$37+R9*$I$37+R8*$J$37+R7*$K$37+R6*$L$37+R5*$M$37)/(1-$E$37)</f>
        <v>1.0171764322115149</v>
      </c>
      <c r="T13" s="98">
        <v>1</v>
      </c>
      <c r="U13" s="113">
        <f t="shared" ref="U13:U62" ca="1" si="10">(1+U12*$F$77+U11*$G$77+U10*$H$77+U9*$I$77+U8*$J$77+U7*$K$77+U6*$L$77+U5*$M$77)/(1-$E$77)</f>
        <v>1.0181122292853899</v>
      </c>
    </row>
    <row r="14" spans="1:21" x14ac:dyDescent="0.2">
      <c r="A14" s="98" t="s">
        <v>358</v>
      </c>
      <c r="B14" s="101">
        <f>IF(ISBLANK(Gear!$B$3), 0, VLOOKUP(Gear!$B$3, Weapon, MATCH(A14, StatHeader, 0), 0))</f>
        <v>0</v>
      </c>
      <c r="E14" s="101">
        <f ca="1">SUM(E5:E13)</f>
        <v>1</v>
      </c>
      <c r="O14" s="106"/>
      <c r="P14" s="106"/>
      <c r="Q14" s="98">
        <v>2</v>
      </c>
      <c r="R14" s="113">
        <f t="shared" ca="1" si="9"/>
        <v>1.4726623620099519</v>
      </c>
      <c r="T14" s="98">
        <v>2</v>
      </c>
      <c r="U14" s="113">
        <f t="shared" ca="1" si="10"/>
        <v>1.4972286454081076</v>
      </c>
    </row>
    <row r="15" spans="1:21" x14ac:dyDescent="0.2">
      <c r="A15" s="98" t="s">
        <v>359</v>
      </c>
      <c r="B15" s="101">
        <f>IF(ISBLANK(Gear!$B$3), 0, VLOOKUP(Gear!$B$3, Weapon, MATCH(A15, StatHeader, 0), 0))</f>
        <v>0</v>
      </c>
      <c r="E15" s="98" t="s">
        <v>241</v>
      </c>
      <c r="F15" s="114">
        <f t="shared" ref="F15:N15" ca="1" si="11">SUM(F5:F13)</f>
        <v>1.6886384375000014E-2</v>
      </c>
      <c r="G15" s="114">
        <f t="shared" ca="1" si="11"/>
        <v>0.44023279062499998</v>
      </c>
      <c r="H15" s="114">
        <f t="shared" ca="1" si="11"/>
        <v>0.403986075</v>
      </c>
      <c r="I15" s="114">
        <f t="shared" ca="1" si="11"/>
        <v>9.8169437499999998E-2</v>
      </c>
      <c r="J15" s="114">
        <f t="shared" ca="1" si="11"/>
        <v>4.0725312499999999E-2</v>
      </c>
      <c r="K15" s="114">
        <f t="shared" ca="1" si="11"/>
        <v>0</v>
      </c>
      <c r="L15" s="114">
        <f t="shared" ca="1" si="11"/>
        <v>0</v>
      </c>
      <c r="M15" s="114">
        <f t="shared" ca="1" si="11"/>
        <v>0</v>
      </c>
      <c r="N15" s="114">
        <f t="shared" ca="1" si="11"/>
        <v>0</v>
      </c>
      <c r="O15" s="106">
        <f ca="1">SUM(F15:N15)</f>
        <v>1</v>
      </c>
      <c r="P15" s="100"/>
      <c r="Q15" s="98">
        <v>3</v>
      </c>
      <c r="R15" s="113">
        <f t="shared" ca="1" si="9"/>
        <v>2.0946097612518035</v>
      </c>
      <c r="T15" s="98">
        <v>3</v>
      </c>
      <c r="U15" s="113">
        <f t="shared" ca="1" si="10"/>
        <v>2.1177215542739054</v>
      </c>
    </row>
    <row r="16" spans="1:21" x14ac:dyDescent="0.2">
      <c r="A16" s="98" t="s">
        <v>360</v>
      </c>
      <c r="B16" s="101">
        <f>IF(ISBLANK(Gear!$B$3), 0, VLOOKUP(Gear!$B$3, Weapon, MATCH("OAx", StatHeader, 0), 0))</f>
        <v>0</v>
      </c>
      <c r="E16" s="106" t="s">
        <v>243</v>
      </c>
      <c r="F16" s="115">
        <f ca="1">F4*F15+G4*G15+H4*H15+I4*I15+J15*J4+K15*K4+L15*L4+M15*M4+N15*N4</f>
        <v>1.7056145031250001</v>
      </c>
      <c r="G16" s="106"/>
      <c r="H16" s="106"/>
      <c r="I16" s="106"/>
      <c r="O16" s="100"/>
      <c r="P16" s="100"/>
      <c r="Q16" s="98">
        <v>4</v>
      </c>
      <c r="R16" s="113">
        <f t="shared" ca="1" si="9"/>
        <v>2.6618557453501217</v>
      </c>
      <c r="T16" s="98">
        <v>4</v>
      </c>
      <c r="U16" s="113">
        <f t="shared" ca="1" si="10"/>
        <v>2.6973744602864622</v>
      </c>
    </row>
    <row r="17" spans="1:21" x14ac:dyDescent="0.2">
      <c r="A17" s="98" t="s">
        <v>353</v>
      </c>
      <c r="B17" s="101">
        <f>IF(ISBLANK(Gear!$B$3), 0, VLOOKUP(Gear!$B$3, Weapon, MATCH(A17, StatHeader, 0), 0))</f>
        <v>0</v>
      </c>
      <c r="F17"/>
      <c r="G17"/>
      <c r="H17"/>
      <c r="Q17" s="98">
        <v>5</v>
      </c>
      <c r="R17" s="113">
        <f t="shared" ca="1" si="9"/>
        <v>3.2590583346360766</v>
      </c>
      <c r="T17" s="98">
        <v>5</v>
      </c>
      <c r="U17" s="113">
        <f t="shared" ca="1" si="10"/>
        <v>3.301004590397413</v>
      </c>
    </row>
    <row r="18" spans="1:21" x14ac:dyDescent="0.2">
      <c r="A18" s="98" t="s">
        <v>354</v>
      </c>
      <c r="B18" s="101">
        <f>IF(ISBLANK(Gear!$B$3), 0, VLOOKUP(Gear!$B$3, Weapon, MATCH(A18, StatHeader, 0), 0))</f>
        <v>0</v>
      </c>
      <c r="F18" s="88"/>
      <c r="G18" s="63"/>
      <c r="H18" s="63"/>
      <c r="Q18" s="98">
        <v>6</v>
      </c>
      <c r="R18" s="113">
        <f t="shared" ca="1" si="9"/>
        <v>3.8405513230434694</v>
      </c>
      <c r="T18" s="98">
        <v>6</v>
      </c>
      <c r="U18" s="113">
        <f t="shared" ca="1" si="10"/>
        <v>3.8918543265964063</v>
      </c>
    </row>
    <row r="19" spans="1:21" x14ac:dyDescent="0.2">
      <c r="A19" s="98" t="s">
        <v>355</v>
      </c>
      <c r="B19" s="101">
        <f>IF(ISBLANK(Gear!$B$3), 0, VLOOKUP(Gear!$B$3, Weapon, MATCH(A19, StatHeader, 0), 0))</f>
        <v>0</v>
      </c>
      <c r="D19" s="100" t="s">
        <v>215</v>
      </c>
      <c r="E19" s="100">
        <v>0</v>
      </c>
      <c r="F19" s="100"/>
      <c r="G19" s="100"/>
      <c r="H19" s="100"/>
      <c r="I19" s="100"/>
      <c r="J19" s="100"/>
      <c r="Q19" s="98">
        <v>7</v>
      </c>
      <c r="R19" s="113">
        <f t="shared" ca="1" si="9"/>
        <v>4.4287529542954731</v>
      </c>
      <c r="T19" s="98">
        <v>7</v>
      </c>
      <c r="U19" s="113">
        <f t="shared" ca="1" si="10"/>
        <v>4.4877728103410561</v>
      </c>
    </row>
    <row r="20" spans="1:21" x14ac:dyDescent="0.2">
      <c r="A20" s="98" t="s">
        <v>356</v>
      </c>
      <c r="B20" s="101">
        <f>IF(ISBLANK(Gear!$B$3), 0, VLOOKUP(Gear!$B$3, Weapon, MATCH(A20, StatHeader, 0), 0))</f>
        <v>0</v>
      </c>
      <c r="D20" s="98" t="s">
        <v>216</v>
      </c>
      <c r="E20" s="98" t="s">
        <v>240</v>
      </c>
      <c r="F20" s="102">
        <v>0</v>
      </c>
      <c r="G20" s="102">
        <v>1</v>
      </c>
      <c r="H20" s="102">
        <v>2</v>
      </c>
      <c r="I20" s="103">
        <v>3</v>
      </c>
      <c r="J20" s="103">
        <v>4</v>
      </c>
      <c r="K20" s="103">
        <v>5</v>
      </c>
      <c r="L20" s="103">
        <v>6</v>
      </c>
      <c r="M20" s="103">
        <v>7</v>
      </c>
      <c r="N20" s="103">
        <v>8</v>
      </c>
      <c r="O20" s="100"/>
      <c r="Q20" s="98">
        <v>8</v>
      </c>
      <c r="R20" s="113">
        <f t="shared" ca="1" si="9"/>
        <v>5.0142285480472353</v>
      </c>
      <c r="T20" s="98">
        <v>8</v>
      </c>
      <c r="U20" s="113">
        <f t="shared" ca="1" si="10"/>
        <v>5.0818209782933916</v>
      </c>
    </row>
    <row r="21" spans="1:21" x14ac:dyDescent="0.2">
      <c r="A21" s="98" t="s">
        <v>357</v>
      </c>
      <c r="B21" s="101">
        <f>IF(ISBLANK(Gear!$B$3), 0, VLOOKUP(Gear!$B$3, Weapon, MATCH(A21, StatHeader, 0), 0))</f>
        <v>0</v>
      </c>
      <c r="D21" s="98">
        <v>0</v>
      </c>
      <c r="E21" s="105">
        <f>IF(E19=0, 100%, 0)</f>
        <v>1</v>
      </c>
      <c r="F21" s="106">
        <f t="shared" ref="F21:N21" ca="1" si="12">IF($D21&gt;=F20, POWER($B3, F20) * POWER((1-$B3), $D21-F20) * COMBIN($D21,F20) * $E21, 0)</f>
        <v>1</v>
      </c>
      <c r="G21" s="106">
        <f t="shared" si="12"/>
        <v>0</v>
      </c>
      <c r="H21" s="106">
        <f t="shared" si="12"/>
        <v>0</v>
      </c>
      <c r="I21" s="106">
        <f t="shared" si="12"/>
        <v>0</v>
      </c>
      <c r="J21" s="106">
        <f t="shared" si="12"/>
        <v>0</v>
      </c>
      <c r="K21" s="106">
        <f t="shared" si="12"/>
        <v>0</v>
      </c>
      <c r="L21" s="106">
        <f t="shared" si="12"/>
        <v>0</v>
      </c>
      <c r="M21" s="106">
        <f t="shared" si="12"/>
        <v>0</v>
      </c>
      <c r="N21" s="106">
        <f t="shared" si="12"/>
        <v>0</v>
      </c>
      <c r="O21" s="100"/>
      <c r="Q21" s="98">
        <v>9</v>
      </c>
      <c r="R21" s="113">
        <f t="shared" ca="1" si="9"/>
        <v>5.60091244224619</v>
      </c>
      <c r="T21" s="98">
        <v>9</v>
      </c>
      <c r="U21" s="113">
        <f t="shared" ca="1" si="10"/>
        <v>5.6766724435015981</v>
      </c>
    </row>
    <row r="22" spans="1:21" x14ac:dyDescent="0.2">
      <c r="A22" s="98" t="s">
        <v>358</v>
      </c>
      <c r="B22" s="101">
        <f>IF(ISBLANK(Gear!$B$3), 0, VLOOKUP(Gear!$B$3, Weapon, MATCH(A22, StatHeader, 0), 0))</f>
        <v>0</v>
      </c>
      <c r="D22" s="98">
        <v>1</v>
      </c>
      <c r="E22" s="108">
        <f>IF(E19=1, (1-B6)*(1-B5)*(1-B4)*(1-B16), 0)</f>
        <v>0</v>
      </c>
      <c r="F22" s="106">
        <f t="shared" ref="F22:N22" ca="1" si="13">IF($D22&gt;=F20, POWER($B3, F20) * POWER((1-$B3), $D22-F20) * COMBIN($D22,F20) * $E22, 0)</f>
        <v>0</v>
      </c>
      <c r="G22" s="106">
        <f t="shared" ca="1" si="13"/>
        <v>0</v>
      </c>
      <c r="H22" s="106">
        <f t="shared" si="13"/>
        <v>0</v>
      </c>
      <c r="I22" s="106">
        <f t="shared" si="13"/>
        <v>0</v>
      </c>
      <c r="J22" s="106">
        <f t="shared" si="13"/>
        <v>0</v>
      </c>
      <c r="K22" s="106">
        <f t="shared" si="13"/>
        <v>0</v>
      </c>
      <c r="L22" s="106">
        <f t="shared" si="13"/>
        <v>0</v>
      </c>
      <c r="M22" s="106">
        <f t="shared" si="13"/>
        <v>0</v>
      </c>
      <c r="N22" s="106">
        <f t="shared" si="13"/>
        <v>0</v>
      </c>
      <c r="O22" s="100"/>
      <c r="Q22" s="98">
        <v>10</v>
      </c>
      <c r="R22" s="113">
        <f t="shared" ca="1" si="9"/>
        <v>6.187036337667708</v>
      </c>
      <c r="T22" s="98">
        <v>10</v>
      </c>
      <c r="U22" s="113">
        <f t="shared" ca="1" si="10"/>
        <v>6.2711529544795299</v>
      </c>
    </row>
    <row r="23" spans="1:21" x14ac:dyDescent="0.2">
      <c r="A23" s="98" t="s">
        <v>359</v>
      </c>
      <c r="B23" s="101">
        <f>IF(ISBLANK(Gear!$B$3), 0, VLOOKUP(Gear!$B$3, Weapon, MATCH(A23, StatHeader, 0), 0))</f>
        <v>0</v>
      </c>
      <c r="D23" s="98">
        <v>2</v>
      </c>
      <c r="E23" s="108">
        <f>IF(E19=1, (1-B6)*(1-B5)*(1-B4)*(B16)*(B17) + (1-B6)*(1-B5)*B4, 0)</f>
        <v>0</v>
      </c>
      <c r="F23" s="106">
        <f t="shared" ref="F23:N23" ca="1" si="14">IF($D23&gt;=F20, POWER($B3, F20) * POWER((1-$B3), $D23-F20) * COMBIN($D23,F20) * $E23, 0)</f>
        <v>0</v>
      </c>
      <c r="G23" s="106">
        <f t="shared" ca="1" si="14"/>
        <v>0</v>
      </c>
      <c r="H23" s="106">
        <f t="shared" ca="1" si="14"/>
        <v>0</v>
      </c>
      <c r="I23" s="106">
        <f t="shared" si="14"/>
        <v>0</v>
      </c>
      <c r="J23" s="106">
        <f t="shared" si="14"/>
        <v>0</v>
      </c>
      <c r="K23" s="106">
        <f t="shared" si="14"/>
        <v>0</v>
      </c>
      <c r="L23" s="106">
        <f t="shared" si="14"/>
        <v>0</v>
      </c>
      <c r="M23" s="106">
        <f t="shared" si="14"/>
        <v>0</v>
      </c>
      <c r="N23" s="106">
        <f t="shared" si="14"/>
        <v>0</v>
      </c>
      <c r="O23" s="100"/>
      <c r="Q23" s="98">
        <v>11</v>
      </c>
      <c r="R23" s="113">
        <f t="shared" ca="1" si="9"/>
        <v>6.7734116839235057</v>
      </c>
      <c r="T23" s="98">
        <v>11</v>
      </c>
      <c r="U23" s="113">
        <f t="shared" ca="1" si="10"/>
        <v>6.8657938054177325</v>
      </c>
    </row>
    <row r="24" spans="1:21" x14ac:dyDescent="0.2">
      <c r="A24" t="s">
        <v>437</v>
      </c>
      <c r="B24" s="8">
        <f>IF(LEFT(Setup!$B$36,4)="Lv.3", IF(ISBLANK(Gear!$B$3), 0, VLOOKUP(Gear!$B$3, Weapon, MATCH(A24, StatHeader, 0), 0)), 0)</f>
        <v>0</v>
      </c>
      <c r="D24" s="98">
        <v>3</v>
      </c>
      <c r="E24" s="108">
        <f>IF(E19=1, (1-B6)*(1-B5)*(1-B4)*(B16)*(B18) + (1-B6)*(B5), 0)</f>
        <v>0</v>
      </c>
      <c r="F24" s="106">
        <f t="shared" ref="F24:N24" ca="1" si="15">IF($D24&gt;=F20, POWER($B3, F20) * POWER((1-$B3), $D24-F20) * COMBIN($D24,F20) * $E24, 0)</f>
        <v>0</v>
      </c>
      <c r="G24" s="106">
        <f t="shared" ca="1" si="15"/>
        <v>0</v>
      </c>
      <c r="H24" s="106">
        <f t="shared" ca="1" si="15"/>
        <v>0</v>
      </c>
      <c r="I24" s="106">
        <f t="shared" ca="1" si="15"/>
        <v>0</v>
      </c>
      <c r="J24" s="106">
        <f t="shared" si="15"/>
        <v>0</v>
      </c>
      <c r="K24" s="106">
        <f t="shared" si="15"/>
        <v>0</v>
      </c>
      <c r="L24" s="106">
        <f t="shared" si="15"/>
        <v>0</v>
      </c>
      <c r="M24" s="106">
        <f t="shared" si="15"/>
        <v>0</v>
      </c>
      <c r="N24" s="106">
        <f t="shared" si="15"/>
        <v>0</v>
      </c>
      <c r="O24" s="100"/>
      <c r="Q24" s="98">
        <v>12</v>
      </c>
      <c r="R24" s="113">
        <f t="shared" ca="1" si="9"/>
        <v>7.3596772408754427</v>
      </c>
      <c r="T24" s="98">
        <v>12</v>
      </c>
      <c r="U24" s="113">
        <f t="shared" ca="1" si="10"/>
        <v>7.4603689209845854</v>
      </c>
    </row>
    <row r="25" spans="1:21" x14ac:dyDescent="0.2">
      <c r="A25" t="s">
        <v>438</v>
      </c>
      <c r="B25" s="8">
        <f>IF(LEFT(Setup!$B$36,4)="Lv.3", IF(ISBLANK(Gear!$B$3), 0, VLOOKUP(Gear!$B$3, Weapon, MATCH(A25, StatHeader, 0), 0)), 0)</f>
        <v>0</v>
      </c>
      <c r="D25" s="98">
        <v>4</v>
      </c>
      <c r="E25" s="108">
        <f>IF(E19=1, (1-B6)*(1-B5)*(1-B4)*(B16)*(B19) + (B6), 0)</f>
        <v>0</v>
      </c>
      <c r="F25" s="106">
        <f t="shared" ref="F25:N25" ca="1" si="16">IF($D25&gt;=F20, POWER($B3, F20) * POWER((1-$B3), $D25-F20) * COMBIN($D25,F20) * $E25, 0)</f>
        <v>0</v>
      </c>
      <c r="G25" s="106">
        <f t="shared" ca="1" si="16"/>
        <v>0</v>
      </c>
      <c r="H25" s="106">
        <f t="shared" ca="1" si="16"/>
        <v>0</v>
      </c>
      <c r="I25" s="106">
        <f t="shared" ca="1" si="16"/>
        <v>0</v>
      </c>
      <c r="J25" s="106">
        <f t="shared" ca="1" si="16"/>
        <v>0</v>
      </c>
      <c r="K25" s="106">
        <f t="shared" si="16"/>
        <v>0</v>
      </c>
      <c r="L25" s="106">
        <f t="shared" si="16"/>
        <v>0</v>
      </c>
      <c r="M25" s="106">
        <f t="shared" si="16"/>
        <v>0</v>
      </c>
      <c r="N25" s="106">
        <f t="shared" si="16"/>
        <v>0</v>
      </c>
      <c r="O25" s="100"/>
      <c r="Q25" s="98">
        <v>13</v>
      </c>
      <c r="R25" s="113">
        <f t="shared" ca="1" si="9"/>
        <v>7.9459910968556393</v>
      </c>
      <c r="T25" s="98">
        <v>13</v>
      </c>
      <c r="U25" s="113">
        <f t="shared" ca="1" si="10"/>
        <v>8.0549715444294456</v>
      </c>
    </row>
    <row r="26" spans="1:21" x14ac:dyDescent="0.2">
      <c r="A26" t="s">
        <v>439</v>
      </c>
      <c r="B26" s="8">
        <f>IF(LEFT(Setup!$B$36,4)="Lv.3", IF(ISBLANK(Gear!$B$3), 0, VLOOKUP(Gear!$B$3, Weapon, MATCH(A26, StatHeader, 0), 0)), 0)</f>
        <v>0</v>
      </c>
      <c r="D26" s="98">
        <v>5</v>
      </c>
      <c r="E26" s="109">
        <f>IF(E19=1, (1-B6)*(1-B5)*(1-B4)*(B16)*(B20), 0)</f>
        <v>0</v>
      </c>
      <c r="F26" s="106">
        <f t="shared" ref="F26:N26" ca="1" si="17">IF($D26&gt;=F20, POWER($B3, F20) * POWER((1-$B3), $D26-F20) * COMBIN($D26,F20) * $E26, 0)</f>
        <v>0</v>
      </c>
      <c r="G26" s="106">
        <f t="shared" ca="1" si="17"/>
        <v>0</v>
      </c>
      <c r="H26" s="106">
        <f t="shared" ca="1" si="17"/>
        <v>0</v>
      </c>
      <c r="I26" s="106">
        <f t="shared" ca="1" si="17"/>
        <v>0</v>
      </c>
      <c r="J26" s="106">
        <f t="shared" ca="1" si="17"/>
        <v>0</v>
      </c>
      <c r="K26" s="106">
        <f t="shared" ca="1" si="17"/>
        <v>0</v>
      </c>
      <c r="L26" s="106">
        <f t="shared" si="17"/>
        <v>0</v>
      </c>
      <c r="M26" s="106">
        <f t="shared" si="17"/>
        <v>0</v>
      </c>
      <c r="N26" s="106">
        <f t="shared" si="17"/>
        <v>0</v>
      </c>
      <c r="O26" s="100"/>
      <c r="Q26" s="116">
        <v>14</v>
      </c>
      <c r="R26" s="113">
        <f t="shared" ca="1" si="9"/>
        <v>8.5322833766193504</v>
      </c>
      <c r="T26" s="116">
        <v>14</v>
      </c>
      <c r="U26" s="113">
        <f t="shared" ca="1" si="10"/>
        <v>8.6495622525112612</v>
      </c>
    </row>
    <row r="27" spans="1:21" x14ac:dyDescent="0.2">
      <c r="A27" s="121" t="s">
        <v>365</v>
      </c>
      <c r="B27" s="101">
        <f ca="1">Data!B83</f>
        <v>0.25</v>
      </c>
      <c r="D27" s="117">
        <v>6</v>
      </c>
      <c r="E27" s="109">
        <f>IF(E19=1, (1-B6)*(1-B5)*(1-B4)*(B16)*(B21), 0)</f>
        <v>0</v>
      </c>
      <c r="F27" s="106">
        <f t="shared" ref="F27:N27" ca="1" si="18">IF($D27&gt;=F20, POWER($B3, F20) * POWER((1-$B3), $D27-F20) * COMBIN($D27,F20) * $E27, 0)</f>
        <v>0</v>
      </c>
      <c r="G27" s="106">
        <f t="shared" ca="1" si="18"/>
        <v>0</v>
      </c>
      <c r="H27" s="106">
        <f t="shared" ca="1" si="18"/>
        <v>0</v>
      </c>
      <c r="I27" s="106">
        <f t="shared" ca="1" si="18"/>
        <v>0</v>
      </c>
      <c r="J27" s="106">
        <f t="shared" ca="1" si="18"/>
        <v>0</v>
      </c>
      <c r="K27" s="106">
        <f t="shared" ca="1" si="18"/>
        <v>0</v>
      </c>
      <c r="L27" s="106">
        <f t="shared" ca="1" si="18"/>
        <v>0</v>
      </c>
      <c r="M27" s="106">
        <f t="shared" si="18"/>
        <v>0</v>
      </c>
      <c r="N27" s="106">
        <f t="shared" si="18"/>
        <v>0</v>
      </c>
      <c r="O27" s="100"/>
      <c r="Q27" s="98">
        <v>15</v>
      </c>
      <c r="R27" s="113">
        <f t="shared" ca="1" si="9"/>
        <v>9.1185852951840189</v>
      </c>
      <c r="T27" s="98">
        <v>15</v>
      </c>
      <c r="U27" s="113">
        <f t="shared" ca="1" si="10"/>
        <v>9.2441581043509693</v>
      </c>
    </row>
    <row r="28" spans="1:21" x14ac:dyDescent="0.2">
      <c r="A28" s="121" t="s">
        <v>163</v>
      </c>
      <c r="B28" s="96">
        <f ca="1">Data!B99</f>
        <v>0.95</v>
      </c>
      <c r="D28" s="98">
        <v>7</v>
      </c>
      <c r="E28" s="109">
        <f>IF(E19=1, (1-B6)*(1-B5)*(1-B4)*(B16)*(B22), 0)</f>
        <v>0</v>
      </c>
      <c r="F28" s="106">
        <f t="shared" ref="F28:N28" ca="1" si="19">IF($D28&gt;=F20, POWER($B3, F20) * POWER((1-$B3), $D28-F20) * COMBIN($D28,F20) * $E28, 0)</f>
        <v>0</v>
      </c>
      <c r="G28" s="106">
        <f t="shared" ca="1" si="19"/>
        <v>0</v>
      </c>
      <c r="H28" s="106">
        <f t="shared" ca="1" si="19"/>
        <v>0</v>
      </c>
      <c r="I28" s="106">
        <f t="shared" ca="1" si="19"/>
        <v>0</v>
      </c>
      <c r="J28" s="106">
        <f t="shared" ca="1" si="19"/>
        <v>0</v>
      </c>
      <c r="K28" s="106">
        <f t="shared" ca="1" si="19"/>
        <v>0</v>
      </c>
      <c r="L28" s="106">
        <f t="shared" ca="1" si="19"/>
        <v>0</v>
      </c>
      <c r="M28" s="106">
        <f t="shared" ca="1" si="19"/>
        <v>0</v>
      </c>
      <c r="N28" s="106">
        <f t="shared" si="19"/>
        <v>0</v>
      </c>
      <c r="O28" s="100"/>
      <c r="Q28" s="98">
        <v>16</v>
      </c>
      <c r="R28" s="113">
        <f t="shared" ca="1" si="9"/>
        <v>9.7048829386679909</v>
      </c>
      <c r="T28" s="98">
        <v>16</v>
      </c>
      <c r="U28" s="113">
        <f t="shared" ca="1" si="10"/>
        <v>9.8387517774481879</v>
      </c>
    </row>
    <row r="29" spans="1:21" x14ac:dyDescent="0.2">
      <c r="D29" s="98">
        <v>8</v>
      </c>
      <c r="E29" s="109">
        <f>IF(E19=1, (1-B6)*(1-B5)*(1-B4)*(B16)*(B23), 0)</f>
        <v>0</v>
      </c>
      <c r="F29" s="111">
        <f t="shared" ref="F29:N29" ca="1" si="20">IF($D29&gt;=F20, POWER($B3, F20) * POWER((1-$B3), $D29-F20) * COMBIN($D29,F20) * $E29, 0)</f>
        <v>0</v>
      </c>
      <c r="G29" s="112">
        <f t="shared" ca="1" si="20"/>
        <v>0</v>
      </c>
      <c r="H29" s="112">
        <f t="shared" ca="1" si="20"/>
        <v>0</v>
      </c>
      <c r="I29" s="112">
        <f t="shared" ca="1" si="20"/>
        <v>0</v>
      </c>
      <c r="J29" s="112">
        <f t="shared" ca="1" si="20"/>
        <v>0</v>
      </c>
      <c r="K29" s="112">
        <f t="shared" ca="1" si="20"/>
        <v>0</v>
      </c>
      <c r="L29" s="112">
        <f t="shared" ca="1" si="20"/>
        <v>0</v>
      </c>
      <c r="M29" s="112">
        <f t="shared" ca="1" si="20"/>
        <v>0</v>
      </c>
      <c r="N29" s="112">
        <f t="shared" ca="1" si="20"/>
        <v>0</v>
      </c>
      <c r="O29" s="100"/>
      <c r="Q29" s="98">
        <v>17</v>
      </c>
      <c r="R29" s="113">
        <f t="shared" ca="1" si="9"/>
        <v>10.291182474892148</v>
      </c>
      <c r="T29" s="98">
        <v>17</v>
      </c>
      <c r="U29" s="113">
        <f t="shared" ca="1" si="10"/>
        <v>10.43334637065197</v>
      </c>
    </row>
    <row r="30" spans="1:21" x14ac:dyDescent="0.2">
      <c r="E30" s="101">
        <f>SUM(E21:E29)</f>
        <v>1</v>
      </c>
      <c r="O30" s="100"/>
      <c r="Q30" s="98">
        <v>18</v>
      </c>
      <c r="R30" s="113">
        <f t="shared" ca="1" si="9"/>
        <v>10.877481170634333</v>
      </c>
      <c r="T30" s="98">
        <v>18</v>
      </c>
      <c r="U30" s="113">
        <f t="shared" ca="1" si="10"/>
        <v>11.027940571566456</v>
      </c>
    </row>
    <row r="31" spans="1:21" x14ac:dyDescent="0.2">
      <c r="E31" s="98" t="s">
        <v>241</v>
      </c>
      <c r="F31" s="114">
        <f t="shared" ref="F31:N31" ca="1" si="21">SUM(F21:F29)</f>
        <v>1</v>
      </c>
      <c r="G31" s="114">
        <f t="shared" ca="1" si="21"/>
        <v>0</v>
      </c>
      <c r="H31" s="114">
        <f t="shared" ca="1" si="21"/>
        <v>0</v>
      </c>
      <c r="I31" s="114">
        <f t="shared" ca="1" si="21"/>
        <v>0</v>
      </c>
      <c r="J31" s="114">
        <f t="shared" ca="1" si="21"/>
        <v>0</v>
      </c>
      <c r="K31" s="114">
        <f t="shared" ca="1" si="21"/>
        <v>0</v>
      </c>
      <c r="L31" s="114">
        <f t="shared" ca="1" si="21"/>
        <v>0</v>
      </c>
      <c r="M31" s="114">
        <f t="shared" ca="1" si="21"/>
        <v>0</v>
      </c>
      <c r="N31" s="114">
        <f t="shared" ca="1" si="21"/>
        <v>0</v>
      </c>
      <c r="O31" s="106">
        <f ca="1">SUM(F31:N31)</f>
        <v>1</v>
      </c>
      <c r="Q31" s="98">
        <v>19</v>
      </c>
      <c r="R31" s="113">
        <f t="shared" ca="1" si="9"/>
        <v>11.46378024018262</v>
      </c>
      <c r="T31" s="98">
        <v>19</v>
      </c>
      <c r="U31" s="113">
        <f t="shared" ca="1" si="10"/>
        <v>11.622534940386057</v>
      </c>
    </row>
    <row r="32" spans="1:21" x14ac:dyDescent="0.2">
      <c r="E32" s="98" t="s">
        <v>243</v>
      </c>
      <c r="F32" s="115">
        <f ca="1">F20*F31+G20*G31+H20*H31+I20*I31+J31*J20+K31*K20+L31*L20+M31*M20+N31*N20</f>
        <v>0</v>
      </c>
      <c r="I32" s="100"/>
      <c r="J32" s="100"/>
      <c r="K32" s="106"/>
      <c r="O32" s="106"/>
      <c r="P32" s="118"/>
      <c r="Q32" s="98">
        <v>20</v>
      </c>
      <c r="R32" s="113">
        <f t="shared" ca="1" si="9"/>
        <v>12.05007914365034</v>
      </c>
      <c r="T32" s="98">
        <v>20</v>
      </c>
      <c r="U32" s="113">
        <f t="shared" ca="1" si="10"/>
        <v>12.217129237638984</v>
      </c>
    </row>
    <row r="33" spans="1:21" x14ac:dyDescent="0.2">
      <c r="K33" s="106"/>
      <c r="O33" s="100"/>
      <c r="Q33" s="98">
        <v>21</v>
      </c>
      <c r="R33" s="113">
        <f t="shared" ca="1" si="9"/>
        <v>12.636378120833996</v>
      </c>
      <c r="T33" s="98">
        <v>21</v>
      </c>
      <c r="U33" s="113">
        <f t="shared" ca="1" si="10"/>
        <v>12.811723565301744</v>
      </c>
    </row>
    <row r="34" spans="1:21" x14ac:dyDescent="0.2">
      <c r="Q34" s="98">
        <v>22</v>
      </c>
      <c r="R34" s="113">
        <f t="shared" ca="1" si="9"/>
        <v>13.222677065290386</v>
      </c>
      <c r="T34" s="98">
        <v>22</v>
      </c>
      <c r="U34" s="113">
        <f t="shared" ca="1" si="10"/>
        <v>13.40631788002376</v>
      </c>
    </row>
    <row r="35" spans="1:21" x14ac:dyDescent="0.2">
      <c r="D35" s="100" t="s">
        <v>361</v>
      </c>
      <c r="E35" s="100"/>
      <c r="F35" s="106"/>
      <c r="G35" s="106"/>
      <c r="H35" s="106"/>
      <c r="I35" s="106"/>
      <c r="J35" s="106"/>
      <c r="K35" s="106"/>
      <c r="L35" s="106"/>
      <c r="M35" s="106"/>
      <c r="N35" s="106"/>
      <c r="Q35" s="98">
        <v>23</v>
      </c>
      <c r="R35" s="113">
        <f t="shared" ca="1" si="9"/>
        <v>13.808976024284192</v>
      </c>
      <c r="T35" s="98">
        <v>23</v>
      </c>
      <c r="U35" s="113">
        <f t="shared" ca="1" si="10"/>
        <v>14.000912200263794</v>
      </c>
    </row>
    <row r="36" spans="1:21" x14ac:dyDescent="0.2">
      <c r="D36" s="100" t="s">
        <v>362</v>
      </c>
      <c r="E36" s="119">
        <v>0</v>
      </c>
      <c r="F36" s="100">
        <v>1</v>
      </c>
      <c r="G36" s="100">
        <v>2</v>
      </c>
      <c r="H36" s="110">
        <v>3</v>
      </c>
      <c r="I36" s="110">
        <v>4</v>
      </c>
      <c r="J36" s="110">
        <v>5</v>
      </c>
      <c r="K36" s="110">
        <v>6</v>
      </c>
      <c r="L36" s="110">
        <v>7</v>
      </c>
      <c r="M36" s="110">
        <v>8</v>
      </c>
      <c r="N36" s="98" t="s">
        <v>99</v>
      </c>
      <c r="Q36" s="98">
        <v>24</v>
      </c>
      <c r="R36" s="113">
        <f t="shared" ca="1" si="9"/>
        <v>14.395274976820412</v>
      </c>
      <c r="T36" s="98">
        <v>24</v>
      </c>
      <c r="U36" s="113">
        <f t="shared" ca="1" si="10"/>
        <v>14.595506518151627</v>
      </c>
    </row>
    <row r="37" spans="1:21" x14ac:dyDescent="0.2">
      <c r="D37" s="100" t="s">
        <v>363</v>
      </c>
      <c r="E37" s="106">
        <f ca="1">F15*F31</f>
        <v>1.6886384375000014E-2</v>
      </c>
      <c r="F37" s="106">
        <f ca="1">F15*G31+G15*F31</f>
        <v>0.44023279062499998</v>
      </c>
      <c r="G37" s="106">
        <f ca="1">F15*H31+G15*G31+H15*F31</f>
        <v>0.403986075</v>
      </c>
      <c r="H37" s="106">
        <f ca="1">F15*I31+G15*H31+H15*G31+I15*F31</f>
        <v>9.8169437499999998E-2</v>
      </c>
      <c r="I37" s="106">
        <f ca="1">F15*J31+G15*I31+H15*H31+I15*G31+J15*F31</f>
        <v>4.0725312499999999E-2</v>
      </c>
      <c r="J37" s="106">
        <f ca="1">F15*K31+G15*J31+H15*I31+I15*H31+J15*G31+K15*F31</f>
        <v>0</v>
      </c>
      <c r="K37" s="106">
        <f ca="1">F15*L31+G15*K31+H15*J31+I15*I31+J15*H31+K15*G31+L15*F31</f>
        <v>0</v>
      </c>
      <c r="L37" s="118">
        <f ca="1">F15*M31+G15*L31+H15*K31+I15*J31+J15*I31+K15*H31+L15*G31+M15*F31</f>
        <v>0</v>
      </c>
      <c r="M37" s="106">
        <f ca="1">F15*N31+G15*M31+H15*L31+I15*K31+J15*J31+K15*I31+L15*H31+M15*G31+N15*F31+G15*N31+H15*M31+I15*L31+J15*K31+K15*J31+L15*I31+M15*H31+N15*G31+H15*N31+I15*M31+J15*L31+K15*K31+L15*J31+M15*I31+N15*H31+I15*N31+J15*M31+K15*L31+L15*K31+M15*J31+N15*I31+J15*N31+K15*M31+L15*L31+M15*K31+N15*J31+K15*N31+L15*M31+M15*L31+N15*K31+L15*N31+M15*M31+N15*L31+M15*N31+N15*M31+N15*N31</f>
        <v>0</v>
      </c>
      <c r="N37" s="106">
        <f ca="1">SUM(E37:M37)</f>
        <v>1</v>
      </c>
      <c r="Q37" s="98">
        <v>25</v>
      </c>
      <c r="R37" s="113">
        <f t="shared" ca="1" si="9"/>
        <v>14.981573932224414</v>
      </c>
      <c r="T37" s="98">
        <v>25</v>
      </c>
      <c r="U37" s="113">
        <f t="shared" ca="1" si="10"/>
        <v>15.190100837040983</v>
      </c>
    </row>
    <row r="38" spans="1:21" x14ac:dyDescent="0.2">
      <c r="D38" s="110" t="s">
        <v>243</v>
      </c>
      <c r="E38" s="113">
        <f ca="1">E36*E37+F36*F37+G36*G37+H36*H37+I36*I37+J36*J37+K36*K37+L36*L37+M36*M37</f>
        <v>1.7056145031250001</v>
      </c>
      <c r="Q38" s="98">
        <v>26</v>
      </c>
      <c r="R38" s="113">
        <f t="shared" ca="1" si="9"/>
        <v>15.567872886354932</v>
      </c>
      <c r="T38" s="98">
        <v>26</v>
      </c>
      <c r="U38" s="113">
        <f t="shared" ca="1" si="10"/>
        <v>15.784695155503961</v>
      </c>
    </row>
    <row r="39" spans="1:21" x14ac:dyDescent="0.2">
      <c r="D39" s="100"/>
      <c r="E39" s="106"/>
      <c r="F39" s="100"/>
      <c r="G39" s="100"/>
      <c r="H39" s="100"/>
      <c r="Q39" s="98">
        <v>27</v>
      </c>
      <c r="R39" s="113">
        <f t="shared" ca="1" si="9"/>
        <v>16.154171841051017</v>
      </c>
      <c r="T39" s="98">
        <v>27</v>
      </c>
      <c r="U39" s="113">
        <f t="shared" ca="1" si="10"/>
        <v>16.379289474148568</v>
      </c>
    </row>
    <row r="40" spans="1:21" x14ac:dyDescent="0.2">
      <c r="D40" s="100"/>
      <c r="E40" s="100"/>
      <c r="F40" s="106"/>
      <c r="G40" s="106"/>
      <c r="H40" s="100"/>
      <c r="Q40" s="98">
        <v>28</v>
      </c>
      <c r="R40" s="113">
        <f t="shared" ca="1" si="9"/>
        <v>16.740470795495916</v>
      </c>
      <c r="T40" s="98">
        <v>28</v>
      </c>
      <c r="U40" s="113">
        <f t="shared" ca="1" si="10"/>
        <v>16.973883792715789</v>
      </c>
    </row>
    <row r="41" spans="1:21" x14ac:dyDescent="0.2">
      <c r="A41" s="98" t="s">
        <v>1</v>
      </c>
      <c r="Q41" s="98">
        <v>29</v>
      </c>
      <c r="R41" s="113">
        <f t="shared" ca="1" si="9"/>
        <v>17.326769750052371</v>
      </c>
      <c r="T41" s="98">
        <v>29</v>
      </c>
      <c r="U41" s="113">
        <f t="shared" ca="1" si="10"/>
        <v>17.568478111315972</v>
      </c>
    </row>
    <row r="42" spans="1:21" x14ac:dyDescent="0.2">
      <c r="Q42" s="98">
        <v>30</v>
      </c>
      <c r="R42" s="113">
        <f t="shared" ca="1" si="9"/>
        <v>17.913068704559279</v>
      </c>
      <c r="T42" s="98">
        <v>30</v>
      </c>
      <c r="U42" s="113">
        <f t="shared" ca="1" si="10"/>
        <v>18.163072429902122</v>
      </c>
    </row>
    <row r="43" spans="1:21" x14ac:dyDescent="0.2">
      <c r="A43" s="98" t="s">
        <v>239</v>
      </c>
      <c r="B43" s="99">
        <f ca="1">Data!C98</f>
        <v>0.95</v>
      </c>
      <c r="D43" s="100" t="s">
        <v>211</v>
      </c>
      <c r="E43" s="100"/>
      <c r="F43" s="100"/>
      <c r="G43" s="100"/>
      <c r="H43" s="100"/>
      <c r="I43" s="100"/>
      <c r="Q43" s="98">
        <v>31</v>
      </c>
      <c r="R43" s="113">
        <f t="shared" ca="1" si="9"/>
        <v>18.499367659088193</v>
      </c>
      <c r="T43" s="98">
        <v>31</v>
      </c>
      <c r="U43" s="113">
        <f t="shared" ca="1" si="10"/>
        <v>18.757666748494245</v>
      </c>
    </row>
    <row r="44" spans="1:21" x14ac:dyDescent="0.2">
      <c r="A44" s="98" t="s">
        <v>191</v>
      </c>
      <c r="B44" s="101">
        <f ca="1">Data!C79</f>
        <v>0.48</v>
      </c>
      <c r="D44" s="98" t="s">
        <v>216</v>
      </c>
      <c r="E44" s="98" t="s">
        <v>240</v>
      </c>
      <c r="F44" s="102">
        <v>0</v>
      </c>
      <c r="G44" s="102">
        <v>1</v>
      </c>
      <c r="H44" s="102">
        <v>2</v>
      </c>
      <c r="I44" s="103">
        <v>3</v>
      </c>
      <c r="J44" s="103">
        <v>4</v>
      </c>
      <c r="K44" s="103">
        <v>5</v>
      </c>
      <c r="L44" s="103">
        <v>6</v>
      </c>
      <c r="M44" s="103">
        <v>7</v>
      </c>
      <c r="N44" s="103">
        <v>8</v>
      </c>
      <c r="Q44" s="98">
        <v>32</v>
      </c>
      <c r="R44" s="113">
        <f t="shared" ca="1" si="9"/>
        <v>19.085666613607337</v>
      </c>
      <c r="T44" s="98">
        <v>32</v>
      </c>
      <c r="U44" s="113">
        <f t="shared" ca="1" si="10"/>
        <v>19.352261067083823</v>
      </c>
    </row>
    <row r="45" spans="1:21" x14ac:dyDescent="0.2">
      <c r="A45" s="98" t="s">
        <v>194</v>
      </c>
      <c r="B45" s="101">
        <f ca="1">Data!C80</f>
        <v>0.11000000000000001</v>
      </c>
      <c r="D45" s="98">
        <v>0</v>
      </c>
      <c r="E45" s="105">
        <v>0</v>
      </c>
      <c r="F45" s="106">
        <f t="shared" ref="F45:N53" ca="1" si="22">IF($D45&gt;=F$44, POWER($B$43, F$44) * POWER((1-$B$43), $D45-F$44) * COMBIN($D45,F$44) * $E45, 0)</f>
        <v>0</v>
      </c>
      <c r="G45" s="106">
        <f t="shared" si="22"/>
        <v>0</v>
      </c>
      <c r="H45" s="106">
        <f t="shared" si="22"/>
        <v>0</v>
      </c>
      <c r="I45" s="106">
        <f t="shared" si="22"/>
        <v>0</v>
      </c>
      <c r="J45" s="106">
        <f t="shared" si="22"/>
        <v>0</v>
      </c>
      <c r="K45" s="106">
        <f t="shared" si="22"/>
        <v>0</v>
      </c>
      <c r="L45" s="106">
        <f t="shared" si="22"/>
        <v>0</v>
      </c>
      <c r="M45" s="106">
        <f t="shared" si="22"/>
        <v>0</v>
      </c>
      <c r="N45" s="106">
        <f t="shared" si="22"/>
        <v>0</v>
      </c>
      <c r="Q45" s="98">
        <v>33</v>
      </c>
      <c r="R45" s="113">
        <f t="shared" ca="1" si="9"/>
        <v>19.671965568130819</v>
      </c>
      <c r="T45" s="98">
        <v>33</v>
      </c>
      <c r="U45" s="113">
        <f t="shared" ca="1" si="10"/>
        <v>19.946855385674485</v>
      </c>
    </row>
    <row r="46" spans="1:21" x14ac:dyDescent="0.2">
      <c r="A46" s="98" t="s">
        <v>196</v>
      </c>
      <c r="B46" s="101">
        <f ca="1">Data!C81</f>
        <v>0.05</v>
      </c>
      <c r="D46" s="98">
        <v>1</v>
      </c>
      <c r="E46" s="165">
        <f ca="1">(1-B46)*(1-B45)*(1-B44)*(1-B48)*(1-B47)*(1-B64)</f>
        <v>0.43966</v>
      </c>
      <c r="F46" s="106">
        <f ca="1">IF($D46&gt;=F$44, POWER($B$43, F$44) * POWER((1-$B$43), $D46-F$44) * COMBIN($D46,F$44) * $E46, 0) * (1 - B67*B68*(1-E59))</f>
        <v>1.6762037500000014E-2</v>
      </c>
      <c r="G46" s="106">
        <f ca="1">IF($D46&gt;=G$44, POWER($B$43, G$44) * POWER((1-$B$43), $D46-G$44) * COMBIN($D46,G$44) * $E46, 0) + IF($D46&gt;=F$44, POWER($B$43, F$44) * POWER((1-$B$43), $D46-F$44) * COMBIN($D46,F$44) * $E46, 0) * B67 * B68 * (1-E59)</f>
        <v>0.42289796249999995</v>
      </c>
      <c r="H46" s="106">
        <f t="shared" si="22"/>
        <v>0</v>
      </c>
      <c r="I46" s="106">
        <f t="shared" si="22"/>
        <v>0</v>
      </c>
      <c r="J46" s="106">
        <f t="shared" si="22"/>
        <v>0</v>
      </c>
      <c r="K46" s="106">
        <f t="shared" si="22"/>
        <v>0</v>
      </c>
      <c r="L46" s="106">
        <f t="shared" si="22"/>
        <v>0</v>
      </c>
      <c r="M46" s="106">
        <f t="shared" si="22"/>
        <v>0</v>
      </c>
      <c r="N46" s="106">
        <f t="shared" si="22"/>
        <v>0</v>
      </c>
      <c r="Q46" s="98">
        <v>34</v>
      </c>
      <c r="R46" s="113">
        <f t="shared" ca="1" si="9"/>
        <v>20.258264522652372</v>
      </c>
      <c r="T46" s="98">
        <v>34</v>
      </c>
      <c r="U46" s="113">
        <f t="shared" ca="1" si="10"/>
        <v>20.541449704264686</v>
      </c>
    </row>
    <row r="47" spans="1:21" x14ac:dyDescent="0.2">
      <c r="A47" s="98" t="s">
        <v>351</v>
      </c>
      <c r="B47" s="101">
        <v>0</v>
      </c>
      <c r="D47" s="98">
        <v>2</v>
      </c>
      <c r="E47" s="165">
        <f ca="1">(1-B46)*(1-B45)*(1-B47)*(B44) + (1-B46)*(1-B45)*(1-B44)*(1-B47)*(B48)*(B49) + (1-B46)*(1-B45)*(1-B44)*(1-B47)*(1-B48)*(B64)*(B65) + (1-B46)*(1-B45)*(1-B44)*(1-B48)*(1-B64)*(B47)</f>
        <v>0.40583999999999992</v>
      </c>
      <c r="F47" s="106">
        <f t="shared" ca="1" si="22"/>
        <v>1.0146000000000016E-3</v>
      </c>
      <c r="G47" s="106">
        <f t="shared" ca="1" si="22"/>
        <v>3.8554800000000028E-2</v>
      </c>
      <c r="H47" s="106">
        <f t="shared" ca="1" si="22"/>
        <v>0.36627059999999989</v>
      </c>
      <c r="I47" s="106">
        <f t="shared" si="22"/>
        <v>0</v>
      </c>
      <c r="J47" s="106">
        <f t="shared" si="22"/>
        <v>0</v>
      </c>
      <c r="K47" s="106">
        <f t="shared" si="22"/>
        <v>0</v>
      </c>
      <c r="L47" s="106">
        <f t="shared" si="22"/>
        <v>0</v>
      </c>
      <c r="M47" s="106">
        <f t="shared" si="22"/>
        <v>0</v>
      </c>
      <c r="N47" s="106">
        <f t="shared" si="22"/>
        <v>0</v>
      </c>
      <c r="Q47" s="98">
        <v>35</v>
      </c>
      <c r="R47" s="113">
        <f t="shared" ca="1" si="9"/>
        <v>20.844563477174788</v>
      </c>
      <c r="T47" s="98">
        <v>35</v>
      </c>
      <c r="U47" s="113">
        <f t="shared" ca="1" si="10"/>
        <v>21.136044022855081</v>
      </c>
    </row>
    <row r="48" spans="1:21" x14ac:dyDescent="0.2">
      <c r="A48" s="98" t="s">
        <v>352</v>
      </c>
      <c r="B48" s="101">
        <f>IF(ISBLANK(Gear!$X$3), 0, VLOOKUP(Gear!$X$3, Weapon, MATCH("OAx", StatHeader, 0), 0))</f>
        <v>0</v>
      </c>
      <c r="D48" s="98">
        <v>3</v>
      </c>
      <c r="E48" s="165">
        <f ca="1">(1-B46)*(1-B47)*(B45) + (1-B46)*(1-B45)*(1-B44)*(1-B47)*(B48)*(B50) + (1-B46)*(1-B45)*(1-B44)*(1-B47)*(1-B48)*(B64)*(B66) + (1-B46)*(1-B45)*(B47)*(B44) + (1-B46)*(1-B45)*(1-B44)*(B47)*(B48)*(B49) + (1-B46)*(1-B45)*(1-B44)*(B47)*(B64)*(B65)</f>
        <v>0.10450000000000001</v>
      </c>
      <c r="F48" s="106">
        <f t="shared" ca="1" si="22"/>
        <v>1.3062500000000036E-5</v>
      </c>
      <c r="G48" s="106">
        <f t="shared" ca="1" si="22"/>
        <v>7.445625000000013E-4</v>
      </c>
      <c r="H48" s="106">
        <f t="shared" ca="1" si="22"/>
        <v>1.4146687500000015E-2</v>
      </c>
      <c r="I48" s="106">
        <f t="shared" ca="1" si="22"/>
        <v>8.9595687499999993E-2</v>
      </c>
      <c r="J48" s="106">
        <f t="shared" si="22"/>
        <v>0</v>
      </c>
      <c r="K48" s="106">
        <f t="shared" si="22"/>
        <v>0</v>
      </c>
      <c r="L48" s="106">
        <f t="shared" si="22"/>
        <v>0</v>
      </c>
      <c r="M48" s="106">
        <f t="shared" si="22"/>
        <v>0</v>
      </c>
      <c r="N48" s="106">
        <f t="shared" si="22"/>
        <v>0</v>
      </c>
      <c r="Q48" s="98">
        <v>36</v>
      </c>
      <c r="R48" s="113">
        <f t="shared" ca="1" si="9"/>
        <v>21.430862431696813</v>
      </c>
      <c r="T48" s="98">
        <v>36</v>
      </c>
      <c r="U48" s="113">
        <f t="shared" ca="1" si="10"/>
        <v>21.730638341445395</v>
      </c>
    </row>
    <row r="49" spans="1:21" x14ac:dyDescent="0.2">
      <c r="A49" s="98" t="s">
        <v>353</v>
      </c>
      <c r="B49" s="101">
        <f>IF(ISBLANK(Gear!$X$3), 0, VLOOKUP(Gear!$X$3, Weapon, MATCH(A49, StatHeader, 0), 0))</f>
        <v>0</v>
      </c>
      <c r="D49" s="98">
        <v>4</v>
      </c>
      <c r="E49" s="165">
        <f ca="1">(B46)*(1-B47) + (1-B46)*(B47)*(B45) + (1-B46)*(1-B45)*(1-B44)*(1-B47)*(B48)*(B51) + (1-B46)*(1-B45)*(1-B44)*(B47)*(B64)*(B66) + (1-B46)*(1-B45)*(1-B44)*(B47)*(B48)*(B50)</f>
        <v>0.05</v>
      </c>
      <c r="F49" s="106">
        <f t="shared" ca="1" si="22"/>
        <v>3.1250000000000114E-7</v>
      </c>
      <c r="G49" s="106">
        <f t="shared" ca="1" si="22"/>
        <v>2.3750000000000062E-5</v>
      </c>
      <c r="H49" s="106">
        <f t="shared" ca="1" si="22"/>
        <v>6.7687500000000126E-4</v>
      </c>
      <c r="I49" s="106">
        <f t="shared" ca="1" si="22"/>
        <v>8.5737500000000067E-3</v>
      </c>
      <c r="J49" s="106">
        <f t="shared" ca="1" si="22"/>
        <v>4.0725312499999999E-2</v>
      </c>
      <c r="K49" s="106">
        <f t="shared" si="22"/>
        <v>0</v>
      </c>
      <c r="L49" s="106">
        <f t="shared" si="22"/>
        <v>0</v>
      </c>
      <c r="M49" s="106">
        <f t="shared" si="22"/>
        <v>0</v>
      </c>
      <c r="N49" s="106">
        <f t="shared" si="22"/>
        <v>0</v>
      </c>
      <c r="Q49" s="98">
        <v>37</v>
      </c>
      <c r="R49" s="113">
        <f t="shared" ca="1" si="9"/>
        <v>22.017161386219016</v>
      </c>
      <c r="T49" s="98">
        <v>37</v>
      </c>
      <c r="U49" s="113">
        <f t="shared" ca="1" si="10"/>
        <v>22.325232660035745</v>
      </c>
    </row>
    <row r="50" spans="1:21" x14ac:dyDescent="0.2">
      <c r="A50" s="98" t="s">
        <v>354</v>
      </c>
      <c r="B50" s="101">
        <f>IF(ISBLANK(Gear!$X$3), 0, VLOOKUP(Gear!$X$3, Weapon, MATCH(A50, StatHeader, 0), 0))</f>
        <v>0</v>
      </c>
      <c r="D50" s="98">
        <v>5</v>
      </c>
      <c r="E50" s="166">
        <f ca="1">(1-B46)*(1-B45)*(1-B44)*(1-B47)*(B48)*(B52) + (1-B46)*(1-B45)*(1-B44)*(B47)*(B48)*(B51) + (B46)*(B47)</f>
        <v>0</v>
      </c>
      <c r="F50" s="106">
        <f t="shared" ca="1" si="22"/>
        <v>0</v>
      </c>
      <c r="G50" s="106">
        <f t="shared" ca="1" si="22"/>
        <v>0</v>
      </c>
      <c r="H50" s="106">
        <f t="shared" ca="1" si="22"/>
        <v>0</v>
      </c>
      <c r="I50" s="106">
        <f t="shared" ca="1" si="22"/>
        <v>0</v>
      </c>
      <c r="J50" s="106">
        <f t="shared" ca="1" si="22"/>
        <v>0</v>
      </c>
      <c r="K50" s="106">
        <f t="shared" ca="1" si="22"/>
        <v>0</v>
      </c>
      <c r="L50" s="106">
        <f t="shared" si="22"/>
        <v>0</v>
      </c>
      <c r="M50" s="106">
        <f t="shared" si="22"/>
        <v>0</v>
      </c>
      <c r="N50" s="106">
        <f t="shared" si="22"/>
        <v>0</v>
      </c>
      <c r="Q50" s="98">
        <v>38</v>
      </c>
      <c r="R50" s="113">
        <f t="shared" ca="1" si="9"/>
        <v>22.60346034074114</v>
      </c>
      <c r="T50" s="98">
        <v>38</v>
      </c>
      <c r="U50" s="113">
        <f t="shared" ca="1" si="10"/>
        <v>22.91982697862608</v>
      </c>
    </row>
    <row r="51" spans="1:21" x14ac:dyDescent="0.2">
      <c r="A51" s="98" t="s">
        <v>355</v>
      </c>
      <c r="B51" s="101">
        <f>IF(ISBLANK(Gear!$X$3), 0, VLOOKUP(Gear!$X$3, Weapon, MATCH(A51, StatHeader, 0), 0))</f>
        <v>0</v>
      </c>
      <c r="D51" s="100">
        <v>6</v>
      </c>
      <c r="E51" s="166">
        <f ca="1">(1-B46)*(1-B45)*(1-B44)*(1-B47)*(B48)*(B53) + (1-B46)*(1-B45)*(1-B44)*(B47)*(B48)*(B52)</f>
        <v>0</v>
      </c>
      <c r="F51" s="106">
        <f t="shared" ca="1" si="22"/>
        <v>0</v>
      </c>
      <c r="G51" s="106">
        <f t="shared" ca="1" si="22"/>
        <v>0</v>
      </c>
      <c r="H51" s="106">
        <f t="shared" ca="1" si="22"/>
        <v>0</v>
      </c>
      <c r="I51" s="106">
        <f t="shared" ca="1" si="22"/>
        <v>0</v>
      </c>
      <c r="J51" s="106">
        <f t="shared" ca="1" si="22"/>
        <v>0</v>
      </c>
      <c r="K51" s="106">
        <f t="shared" ca="1" si="22"/>
        <v>0</v>
      </c>
      <c r="L51" s="106">
        <f t="shared" ca="1" si="22"/>
        <v>0</v>
      </c>
      <c r="M51" s="106">
        <f t="shared" si="22"/>
        <v>0</v>
      </c>
      <c r="N51" s="106">
        <f t="shared" si="22"/>
        <v>0</v>
      </c>
      <c r="Q51" s="98">
        <v>39</v>
      </c>
      <c r="R51" s="113">
        <f t="shared" ca="1" si="9"/>
        <v>23.189759295263297</v>
      </c>
      <c r="T51" s="98">
        <v>39</v>
      </c>
      <c r="U51" s="113">
        <f t="shared" ca="1" si="10"/>
        <v>23.514421297216423</v>
      </c>
    </row>
    <row r="52" spans="1:21" x14ac:dyDescent="0.2">
      <c r="A52" s="98" t="s">
        <v>356</v>
      </c>
      <c r="B52" s="101">
        <f>IF(ISBLANK(Gear!$X$3), 0, VLOOKUP(Gear!$X$3, Weapon, MATCH(A52, StatHeader, 0), 0))</f>
        <v>0</v>
      </c>
      <c r="D52" s="110">
        <v>7</v>
      </c>
      <c r="E52" s="165">
        <f ca="1">(1-B46)*(1-B45)*(1-B44)*(1-B47)*(B48)*(B54) + (1-B46)*(1-B45)*(1-B44)*(B47)*(B48)*(B53)</f>
        <v>0</v>
      </c>
      <c r="F52" s="106">
        <f t="shared" ca="1" si="22"/>
        <v>0</v>
      </c>
      <c r="G52" s="106">
        <f t="shared" ca="1" si="22"/>
        <v>0</v>
      </c>
      <c r="H52" s="106">
        <f t="shared" ca="1" si="22"/>
        <v>0</v>
      </c>
      <c r="I52" s="106">
        <f t="shared" ca="1" si="22"/>
        <v>0</v>
      </c>
      <c r="J52" s="106">
        <f t="shared" ca="1" si="22"/>
        <v>0</v>
      </c>
      <c r="K52" s="106">
        <f t="shared" ca="1" si="22"/>
        <v>0</v>
      </c>
      <c r="L52" s="106">
        <f t="shared" ca="1" si="22"/>
        <v>0</v>
      </c>
      <c r="M52" s="106">
        <f t="shared" ca="1" si="22"/>
        <v>0</v>
      </c>
      <c r="N52" s="106">
        <f t="shared" si="22"/>
        <v>0</v>
      </c>
      <c r="O52" s="100"/>
      <c r="P52" s="100"/>
      <c r="Q52" s="98">
        <v>40</v>
      </c>
      <c r="R52" s="113">
        <f t="shared" ca="1" si="9"/>
        <v>23.776058249785439</v>
      </c>
      <c r="T52" s="98">
        <v>40</v>
      </c>
      <c r="U52" s="113">
        <f t="shared" ca="1" si="10"/>
        <v>24.109015615806761</v>
      </c>
    </row>
    <row r="53" spans="1:21" x14ac:dyDescent="0.2">
      <c r="A53" s="98" t="s">
        <v>357</v>
      </c>
      <c r="B53" s="101">
        <f>IF(ISBLANK(Gear!$X$3), 0, VLOOKUP(Gear!$X$3, Weapon, MATCH(A53, StatHeader, 0), 0))</f>
        <v>0</v>
      </c>
      <c r="D53" s="110">
        <v>8</v>
      </c>
      <c r="E53" s="165">
        <f ca="1">(1-B46)*(1-B45)*(1-B44)*(B48)*(B55) + (1-B46)*(1-B45)*(1-B44)*(B47)*(B48)*(B54)</f>
        <v>0</v>
      </c>
      <c r="F53" s="111">
        <f t="shared" ca="1" si="22"/>
        <v>0</v>
      </c>
      <c r="G53" s="112">
        <f t="shared" ca="1" si="22"/>
        <v>0</v>
      </c>
      <c r="H53" s="112">
        <f t="shared" ca="1" si="22"/>
        <v>0</v>
      </c>
      <c r="I53" s="112">
        <f t="shared" ca="1" si="22"/>
        <v>0</v>
      </c>
      <c r="J53" s="112">
        <f t="shared" ca="1" si="22"/>
        <v>0</v>
      </c>
      <c r="K53" s="112">
        <f t="shared" ca="1" si="22"/>
        <v>0</v>
      </c>
      <c r="L53" s="112">
        <f t="shared" ca="1" si="22"/>
        <v>0</v>
      </c>
      <c r="M53" s="112">
        <f t="shared" ca="1" si="22"/>
        <v>0</v>
      </c>
      <c r="N53" s="112">
        <f t="shared" ca="1" si="22"/>
        <v>0</v>
      </c>
      <c r="O53" s="100"/>
      <c r="P53" s="100"/>
      <c r="Q53" s="98">
        <v>41</v>
      </c>
      <c r="R53" s="113">
        <f t="shared" ca="1" si="9"/>
        <v>24.362357204307589</v>
      </c>
      <c r="T53" s="98">
        <v>41</v>
      </c>
      <c r="U53" s="113">
        <f t="shared" ca="1" si="10"/>
        <v>24.7036099343971</v>
      </c>
    </row>
    <row r="54" spans="1:21" x14ac:dyDescent="0.2">
      <c r="A54" s="98" t="s">
        <v>358</v>
      </c>
      <c r="B54" s="101">
        <f>IF(ISBLANK(Gear!$X$3), 0, VLOOKUP(Gear!$X$3, Weapon, MATCH(A54, StatHeader, 0), 0))</f>
        <v>0</v>
      </c>
      <c r="E54" s="101">
        <f ca="1">SUM(E45:E53)</f>
        <v>1</v>
      </c>
      <c r="O54" s="106"/>
      <c r="P54" s="106"/>
      <c r="Q54" s="98">
        <v>42</v>
      </c>
      <c r="R54" s="113">
        <f t="shared" ca="1" si="9"/>
        <v>24.948656158829738</v>
      </c>
      <c r="T54" s="98">
        <v>42</v>
      </c>
      <c r="U54" s="113">
        <f t="shared" ca="1" si="10"/>
        <v>25.298204252987439</v>
      </c>
    </row>
    <row r="55" spans="1:21" x14ac:dyDescent="0.2">
      <c r="A55" s="98" t="s">
        <v>359</v>
      </c>
      <c r="B55" s="101">
        <f>IF(ISBLANK(Gear!$X$3), 0, VLOOKUP(Gear!$X$3, Weapon, MATCH(A55, StatHeader, 0), 0))</f>
        <v>0</v>
      </c>
      <c r="E55" s="98" t="s">
        <v>241</v>
      </c>
      <c r="F55" s="114">
        <f t="shared" ref="F55:N55" ca="1" si="23">SUM(F45:F53)</f>
        <v>1.7790012500000014E-2</v>
      </c>
      <c r="G55" s="114">
        <f t="shared" ca="1" si="23"/>
        <v>0.46222107499999998</v>
      </c>
      <c r="H55" s="114">
        <f t="shared" ca="1" si="23"/>
        <v>0.38109416249999994</v>
      </c>
      <c r="I55" s="114">
        <f t="shared" ca="1" si="23"/>
        <v>9.8169437499999998E-2</v>
      </c>
      <c r="J55" s="114">
        <f t="shared" ca="1" si="23"/>
        <v>4.0725312499999999E-2</v>
      </c>
      <c r="K55" s="114">
        <f t="shared" ca="1" si="23"/>
        <v>0</v>
      </c>
      <c r="L55" s="114">
        <f t="shared" ca="1" si="23"/>
        <v>0</v>
      </c>
      <c r="M55" s="114">
        <f t="shared" ca="1" si="23"/>
        <v>0</v>
      </c>
      <c r="N55" s="114">
        <f t="shared" ca="1" si="23"/>
        <v>0</v>
      </c>
      <c r="O55" s="106">
        <f ca="1">SUM(F55:N55)</f>
        <v>0.99999999999999989</v>
      </c>
      <c r="P55" s="100"/>
      <c r="Q55" s="98">
        <v>43</v>
      </c>
      <c r="R55" s="113">
        <f t="shared" ca="1" si="9"/>
        <v>25.534955113351884</v>
      </c>
      <c r="T55" s="98">
        <v>43</v>
      </c>
      <c r="U55" s="113">
        <f t="shared" ca="1" si="10"/>
        <v>25.892798571577778</v>
      </c>
    </row>
    <row r="56" spans="1:21" x14ac:dyDescent="0.2">
      <c r="A56" s="98" t="s">
        <v>360</v>
      </c>
      <c r="B56" s="101">
        <f>IF(ISBLANK(Gear!$X$3), 0, VLOOKUP(Gear!$X$3, Weapon, MATCH("OAx", StatHeader, 0), 0))</f>
        <v>0</v>
      </c>
      <c r="E56" s="106" t="s">
        <v>243</v>
      </c>
      <c r="F56" s="115">
        <f ca="1">F44*F55+G44*G55+H44*H55+I44*I55+J55*J44+K55*K44+L55*L44+M55*M44+N55*N44</f>
        <v>1.6818189625</v>
      </c>
      <c r="G56" s="106"/>
      <c r="H56" s="106"/>
      <c r="I56" s="106"/>
      <c r="O56" s="100"/>
      <c r="P56" s="100"/>
      <c r="Q56" s="98">
        <v>44</v>
      </c>
      <c r="R56" s="113">
        <f t="shared" ca="1" si="9"/>
        <v>26.121254067874034</v>
      </c>
      <c r="T56" s="98">
        <v>44</v>
      </c>
      <c r="U56" s="113">
        <f t="shared" ca="1" si="10"/>
        <v>26.48739289016812</v>
      </c>
    </row>
    <row r="57" spans="1:21" x14ac:dyDescent="0.2">
      <c r="A57" s="98" t="s">
        <v>353</v>
      </c>
      <c r="B57" s="101">
        <f>IF(ISBLANK(Gear!$X$3), 0, VLOOKUP(Gear!$X$3, Weapon, MATCH(A57, StatHeader, 0), 0))</f>
        <v>0</v>
      </c>
      <c r="Q57" s="98">
        <v>45</v>
      </c>
      <c r="R57" s="113">
        <f t="shared" ca="1" si="9"/>
        <v>26.707553022396176</v>
      </c>
      <c r="T57" s="98">
        <v>45</v>
      </c>
      <c r="U57" s="113">
        <f t="shared" ca="1" si="10"/>
        <v>27.081987208758459</v>
      </c>
    </row>
    <row r="58" spans="1:21" x14ac:dyDescent="0.2">
      <c r="A58" s="98" t="s">
        <v>354</v>
      </c>
      <c r="B58" s="101">
        <f>IF(ISBLANK(Gear!$X$3), 0, VLOOKUP(Gear!$X$3, Weapon, MATCH(A58, StatHeader, 0), 0))</f>
        <v>0</v>
      </c>
      <c r="Q58" s="98">
        <v>46</v>
      </c>
      <c r="R58" s="113">
        <f t="shared" ca="1" si="9"/>
        <v>27.293851976918329</v>
      </c>
      <c r="T58" s="98">
        <v>46</v>
      </c>
      <c r="U58" s="113">
        <f t="shared" ca="1" si="10"/>
        <v>27.676581527348795</v>
      </c>
    </row>
    <row r="59" spans="1:21" x14ac:dyDescent="0.2">
      <c r="A59" s="98" t="s">
        <v>355</v>
      </c>
      <c r="B59" s="101">
        <f>IF(ISBLANK(Gear!$X$3), 0, VLOOKUP(Gear!$X$3, Weapon, MATCH(A59, StatHeader, 0), 0))</f>
        <v>0</v>
      </c>
      <c r="D59" s="100" t="s">
        <v>215</v>
      </c>
      <c r="E59" s="100">
        <v>0</v>
      </c>
      <c r="F59" s="100"/>
      <c r="G59" s="100"/>
      <c r="H59" s="100"/>
      <c r="I59" s="100"/>
      <c r="J59" s="100"/>
      <c r="Q59" s="98">
        <v>47</v>
      </c>
      <c r="R59" s="113">
        <f t="shared" ca="1" si="9"/>
        <v>27.880150931440472</v>
      </c>
      <c r="T59" s="98">
        <v>47</v>
      </c>
      <c r="U59" s="113">
        <f t="shared" ca="1" si="10"/>
        <v>28.271175845939137</v>
      </c>
    </row>
    <row r="60" spans="1:21" x14ac:dyDescent="0.2">
      <c r="A60" s="98" t="s">
        <v>356</v>
      </c>
      <c r="B60" s="101">
        <f>IF(ISBLANK(Gear!$X$3), 0, VLOOKUP(Gear!$X$3, Weapon, MATCH(A60, StatHeader, 0), 0))</f>
        <v>0</v>
      </c>
      <c r="D60" s="98" t="s">
        <v>216</v>
      </c>
      <c r="E60" s="98" t="s">
        <v>240</v>
      </c>
      <c r="F60" s="102">
        <v>0</v>
      </c>
      <c r="G60" s="102">
        <v>1</v>
      </c>
      <c r="H60" s="102">
        <v>2</v>
      </c>
      <c r="I60" s="103">
        <v>3</v>
      </c>
      <c r="J60" s="103">
        <v>4</v>
      </c>
      <c r="K60" s="103">
        <v>5</v>
      </c>
      <c r="L60" s="103">
        <v>6</v>
      </c>
      <c r="M60" s="103">
        <v>7</v>
      </c>
      <c r="N60" s="103">
        <v>8</v>
      </c>
      <c r="O60" s="100"/>
      <c r="Q60" s="98">
        <v>48</v>
      </c>
      <c r="R60" s="113">
        <f t="shared" ca="1" si="9"/>
        <v>28.466449885962618</v>
      </c>
      <c r="T60" s="98">
        <v>48</v>
      </c>
      <c r="U60" s="113">
        <f t="shared" ca="1" si="10"/>
        <v>28.865770164529476</v>
      </c>
    </row>
    <row r="61" spans="1:21" x14ac:dyDescent="0.2">
      <c r="A61" s="98" t="s">
        <v>357</v>
      </c>
      <c r="B61" s="101">
        <f>IF(ISBLANK(Gear!$X$3), 0, VLOOKUP(Gear!$X$3, Weapon, MATCH(A61, StatHeader, 0), 0))</f>
        <v>0</v>
      </c>
      <c r="D61" s="98">
        <v>0</v>
      </c>
      <c r="E61" s="105">
        <f>IF(E59=0, 100%, 0)</f>
        <v>1</v>
      </c>
      <c r="F61" s="106">
        <f t="shared" ref="F61:N69" ca="1" si="24">IF($D61&gt;=F$60, POWER($B$43, F$60) * POWER((1-$B$43), $D61-F$60) * COMBIN($D61,F$60) * $E61, 0)</f>
        <v>1</v>
      </c>
      <c r="G61" s="106">
        <f t="shared" si="24"/>
        <v>0</v>
      </c>
      <c r="H61" s="106">
        <f t="shared" si="24"/>
        <v>0</v>
      </c>
      <c r="I61" s="106">
        <f t="shared" si="24"/>
        <v>0</v>
      </c>
      <c r="J61" s="106">
        <f t="shared" si="24"/>
        <v>0</v>
      </c>
      <c r="K61" s="106">
        <f t="shared" si="24"/>
        <v>0</v>
      </c>
      <c r="L61" s="106">
        <f t="shared" si="24"/>
        <v>0</v>
      </c>
      <c r="M61" s="106">
        <f t="shared" si="24"/>
        <v>0</v>
      </c>
      <c r="N61" s="106">
        <f t="shared" si="24"/>
        <v>0</v>
      </c>
      <c r="O61" s="100"/>
      <c r="Q61" s="98">
        <v>49</v>
      </c>
      <c r="R61" s="113">
        <f t="shared" ca="1" si="9"/>
        <v>29.052748840484764</v>
      </c>
      <c r="T61" s="98">
        <v>49</v>
      </c>
      <c r="U61" s="113">
        <f t="shared" ca="1" si="10"/>
        <v>29.460364483119815</v>
      </c>
    </row>
    <row r="62" spans="1:21" x14ac:dyDescent="0.2">
      <c r="A62" s="98" t="s">
        <v>358</v>
      </c>
      <c r="B62" s="101">
        <f>IF(ISBLANK(Gear!$X$3), 0, VLOOKUP(Gear!$X$3, Weapon, MATCH(A62, StatHeader, 0), 0))</f>
        <v>0</v>
      </c>
      <c r="D62" s="98">
        <v>1</v>
      </c>
      <c r="E62" s="108">
        <f>IF(E59=1, (1-B46)*(1-B45)*(1-B44)*(1-B56), 0)</f>
        <v>0</v>
      </c>
      <c r="F62" s="106">
        <f t="shared" ca="1" si="24"/>
        <v>0</v>
      </c>
      <c r="G62" s="106">
        <f t="shared" ca="1" si="24"/>
        <v>0</v>
      </c>
      <c r="H62" s="106">
        <f t="shared" si="24"/>
        <v>0</v>
      </c>
      <c r="I62" s="106">
        <f t="shared" si="24"/>
        <v>0</v>
      </c>
      <c r="J62" s="106">
        <f t="shared" si="24"/>
        <v>0</v>
      </c>
      <c r="K62" s="106">
        <f t="shared" si="24"/>
        <v>0</v>
      </c>
      <c r="L62" s="106">
        <f t="shared" si="24"/>
        <v>0</v>
      </c>
      <c r="M62" s="106">
        <f t="shared" si="24"/>
        <v>0</v>
      </c>
      <c r="N62" s="106">
        <f t="shared" si="24"/>
        <v>0</v>
      </c>
      <c r="O62" s="100"/>
      <c r="Q62" s="98">
        <v>50</v>
      </c>
      <c r="R62" s="113">
        <f t="shared" ca="1" si="9"/>
        <v>29.63904779500691</v>
      </c>
      <c r="T62" s="98">
        <v>50</v>
      </c>
      <c r="U62" s="113">
        <f t="shared" ca="1" si="10"/>
        <v>30.05495880171015</v>
      </c>
    </row>
    <row r="63" spans="1:21" x14ac:dyDescent="0.2">
      <c r="A63" s="98" t="s">
        <v>359</v>
      </c>
      <c r="B63" s="101">
        <f>IF(ISBLANK(Gear!$X$3), 0, VLOOKUP(Gear!$X$3, Weapon, MATCH(A63, StatHeader, 0), 0))</f>
        <v>0</v>
      </c>
      <c r="D63" s="98">
        <v>2</v>
      </c>
      <c r="E63" s="108">
        <f>IF(E59=1, (1-B46)*(1-B45)*(1-B44)*(B56)*(B57) + (1-B46)*(1-B45)*B44, 0)</f>
        <v>0</v>
      </c>
      <c r="F63" s="106">
        <f t="shared" ca="1" si="24"/>
        <v>0</v>
      </c>
      <c r="G63" s="106">
        <f t="shared" ca="1" si="24"/>
        <v>0</v>
      </c>
      <c r="H63" s="106">
        <f t="shared" ca="1" si="24"/>
        <v>0</v>
      </c>
      <c r="I63" s="106">
        <f t="shared" si="24"/>
        <v>0</v>
      </c>
      <c r="J63" s="106">
        <f t="shared" si="24"/>
        <v>0</v>
      </c>
      <c r="K63" s="106">
        <f t="shared" si="24"/>
        <v>0</v>
      </c>
      <c r="L63" s="106">
        <f t="shared" si="24"/>
        <v>0</v>
      </c>
      <c r="M63" s="106">
        <f t="shared" si="24"/>
        <v>0</v>
      </c>
      <c r="N63" s="106">
        <f t="shared" si="24"/>
        <v>0</v>
      </c>
      <c r="O63" s="100"/>
      <c r="R63" s="113"/>
    </row>
    <row r="64" spans="1:21" x14ac:dyDescent="0.2">
      <c r="A64" t="s">
        <v>437</v>
      </c>
      <c r="B64" s="8">
        <f>IF(LEFT(Setup!$C$36,4)="Lv.3", IF(ISBLANK(Gear!$X$3), 0, VLOOKUP(Gear!$X$3, Weapon, MATCH(A64, StatHeader, 0), 0)), 0)</f>
        <v>0</v>
      </c>
      <c r="D64" s="98">
        <v>3</v>
      </c>
      <c r="E64" s="108">
        <f>IF(E59=1, (1-B46)*(1-B45)*(1-B44)*(B56)*(B58) + (1-B46)*(B45), 0)</f>
        <v>0</v>
      </c>
      <c r="F64" s="106">
        <f t="shared" ca="1" si="24"/>
        <v>0</v>
      </c>
      <c r="G64" s="106">
        <f t="shared" ca="1" si="24"/>
        <v>0</v>
      </c>
      <c r="H64" s="106">
        <f t="shared" ca="1" si="24"/>
        <v>0</v>
      </c>
      <c r="I64" s="106">
        <f t="shared" ca="1" si="24"/>
        <v>0</v>
      </c>
      <c r="J64" s="106">
        <f t="shared" si="24"/>
        <v>0</v>
      </c>
      <c r="K64" s="106">
        <f t="shared" si="24"/>
        <v>0</v>
      </c>
      <c r="L64" s="106">
        <f t="shared" si="24"/>
        <v>0</v>
      </c>
      <c r="M64" s="106">
        <f t="shared" si="24"/>
        <v>0</v>
      </c>
      <c r="N64" s="106">
        <f t="shared" si="24"/>
        <v>0</v>
      </c>
      <c r="O64" s="100"/>
      <c r="R64" s="113"/>
    </row>
    <row r="65" spans="1:18" x14ac:dyDescent="0.2">
      <c r="A65" t="s">
        <v>438</v>
      </c>
      <c r="B65" s="8">
        <f>IF(LEFT(Setup!$C$36,4)="Lv.3", IF(ISBLANK(Gear!$X$3), 0, VLOOKUP(Gear!$X$3, Weapon, MATCH(A65, StatHeader, 0), 0)), 0)</f>
        <v>0</v>
      </c>
      <c r="D65" s="98">
        <v>4</v>
      </c>
      <c r="E65" s="108">
        <f>IF(E59=1, (1-B46)*(1-B45)*(1-B44)*(B56)*(B59) + (B46), 0)</f>
        <v>0</v>
      </c>
      <c r="F65" s="106">
        <f t="shared" ca="1" si="24"/>
        <v>0</v>
      </c>
      <c r="G65" s="106">
        <f t="shared" ca="1" si="24"/>
        <v>0</v>
      </c>
      <c r="H65" s="106">
        <f t="shared" ca="1" si="24"/>
        <v>0</v>
      </c>
      <c r="I65" s="106">
        <f t="shared" ca="1" si="24"/>
        <v>0</v>
      </c>
      <c r="J65" s="106">
        <f t="shared" ca="1" si="24"/>
        <v>0</v>
      </c>
      <c r="K65" s="106">
        <f t="shared" si="24"/>
        <v>0</v>
      </c>
      <c r="L65" s="106">
        <f t="shared" si="24"/>
        <v>0</v>
      </c>
      <c r="M65" s="106">
        <f t="shared" si="24"/>
        <v>0</v>
      </c>
      <c r="N65" s="106">
        <f t="shared" si="24"/>
        <v>0</v>
      </c>
      <c r="O65" s="100"/>
      <c r="R65" s="113"/>
    </row>
    <row r="66" spans="1:18" x14ac:dyDescent="0.2">
      <c r="A66" t="s">
        <v>439</v>
      </c>
      <c r="B66" s="8">
        <f>IF(LEFT(Setup!$C$36,4)="Lv.3", IF(ISBLANK(Gear!$X$3), 0, VLOOKUP(Gear!$X$3, Weapon, MATCH(A66, StatHeader, 0), 0)), 0)</f>
        <v>0</v>
      </c>
      <c r="D66" s="98">
        <v>5</v>
      </c>
      <c r="E66" s="109">
        <f>IF(E59=1, (1-B46)*(1-B45)*(1-B44)*(B56)*(B60), 0)</f>
        <v>0</v>
      </c>
      <c r="F66" s="106">
        <f t="shared" ca="1" si="24"/>
        <v>0</v>
      </c>
      <c r="G66" s="106">
        <f t="shared" ca="1" si="24"/>
        <v>0</v>
      </c>
      <c r="H66" s="106">
        <f t="shared" ca="1" si="24"/>
        <v>0</v>
      </c>
      <c r="I66" s="106">
        <f t="shared" ca="1" si="24"/>
        <v>0</v>
      </c>
      <c r="J66" s="106">
        <f t="shared" ca="1" si="24"/>
        <v>0</v>
      </c>
      <c r="K66" s="106">
        <f t="shared" ca="1" si="24"/>
        <v>0</v>
      </c>
      <c r="L66" s="106">
        <f t="shared" si="24"/>
        <v>0</v>
      </c>
      <c r="M66" s="106">
        <f t="shared" si="24"/>
        <v>0</v>
      </c>
      <c r="N66" s="106">
        <f t="shared" si="24"/>
        <v>0</v>
      </c>
      <c r="O66" s="100"/>
    </row>
    <row r="67" spans="1:18" x14ac:dyDescent="0.2">
      <c r="A67" s="121" t="s">
        <v>365</v>
      </c>
      <c r="B67" s="101">
        <f ca="1">Data!C83</f>
        <v>0.25</v>
      </c>
      <c r="D67" s="117">
        <v>6</v>
      </c>
      <c r="E67" s="109">
        <f>IF(E59=1, (1-B46)*(1-B45)*(1-B44)*(B56)*(B61), 0)</f>
        <v>0</v>
      </c>
      <c r="F67" s="106">
        <f t="shared" ca="1" si="24"/>
        <v>0</v>
      </c>
      <c r="G67" s="106">
        <f t="shared" ca="1" si="24"/>
        <v>0</v>
      </c>
      <c r="H67" s="106">
        <f t="shared" ca="1" si="24"/>
        <v>0</v>
      </c>
      <c r="I67" s="106">
        <f t="shared" ca="1" si="24"/>
        <v>0</v>
      </c>
      <c r="J67" s="106">
        <f t="shared" ca="1" si="24"/>
        <v>0</v>
      </c>
      <c r="K67" s="106">
        <f t="shared" ca="1" si="24"/>
        <v>0</v>
      </c>
      <c r="L67" s="106">
        <f t="shared" ca="1" si="24"/>
        <v>0</v>
      </c>
      <c r="M67" s="106">
        <f t="shared" si="24"/>
        <v>0</v>
      </c>
      <c r="N67" s="106">
        <f t="shared" si="24"/>
        <v>0</v>
      </c>
      <c r="O67" s="100"/>
    </row>
    <row r="68" spans="1:18" x14ac:dyDescent="0.2">
      <c r="A68" s="121" t="s">
        <v>163</v>
      </c>
      <c r="B68" s="96">
        <f ca="1">Data!C99</f>
        <v>0.95</v>
      </c>
      <c r="D68" s="98">
        <v>7</v>
      </c>
      <c r="E68" s="109">
        <f>IF(E59=1, (1-B46)*(1-B45)*(1-B44)*(B56)*(B62), 0)</f>
        <v>0</v>
      </c>
      <c r="F68" s="106">
        <f t="shared" ca="1" si="24"/>
        <v>0</v>
      </c>
      <c r="G68" s="106">
        <f t="shared" ca="1" si="24"/>
        <v>0</v>
      </c>
      <c r="H68" s="106">
        <f t="shared" ca="1" si="24"/>
        <v>0</v>
      </c>
      <c r="I68" s="106">
        <f t="shared" ca="1" si="24"/>
        <v>0</v>
      </c>
      <c r="J68" s="106">
        <f t="shared" ca="1" si="24"/>
        <v>0</v>
      </c>
      <c r="K68" s="106">
        <f t="shared" ca="1" si="24"/>
        <v>0</v>
      </c>
      <c r="L68" s="106">
        <f t="shared" ca="1" si="24"/>
        <v>0</v>
      </c>
      <c r="M68" s="106">
        <f t="shared" ca="1" si="24"/>
        <v>0</v>
      </c>
      <c r="N68" s="106">
        <f t="shared" si="24"/>
        <v>0</v>
      </c>
      <c r="O68" s="100"/>
    </row>
    <row r="69" spans="1:18" x14ac:dyDescent="0.2">
      <c r="D69" s="98">
        <v>8</v>
      </c>
      <c r="E69" s="109">
        <f>IF(E59=1, (1-B46)*(1-B45)*(1-B44)*(B56)*(B63), 0)</f>
        <v>0</v>
      </c>
      <c r="F69" s="111">
        <f t="shared" ca="1" si="24"/>
        <v>0</v>
      </c>
      <c r="G69" s="112">
        <f t="shared" ca="1" si="24"/>
        <v>0</v>
      </c>
      <c r="H69" s="112">
        <f t="shared" ca="1" si="24"/>
        <v>0</v>
      </c>
      <c r="I69" s="112">
        <f t="shared" ca="1" si="24"/>
        <v>0</v>
      </c>
      <c r="J69" s="112">
        <f t="shared" ca="1" si="24"/>
        <v>0</v>
      </c>
      <c r="K69" s="112">
        <f t="shared" ca="1" si="24"/>
        <v>0</v>
      </c>
      <c r="L69" s="112">
        <f t="shared" ca="1" si="24"/>
        <v>0</v>
      </c>
      <c r="M69" s="112">
        <f t="shared" ca="1" si="24"/>
        <v>0</v>
      </c>
      <c r="N69" s="112">
        <f t="shared" ca="1" si="24"/>
        <v>0</v>
      </c>
      <c r="O69" s="100"/>
    </row>
    <row r="70" spans="1:18" x14ac:dyDescent="0.2">
      <c r="E70" s="101">
        <f>SUM(E61:E69)</f>
        <v>1</v>
      </c>
      <c r="O70" s="100"/>
    </row>
    <row r="71" spans="1:18" x14ac:dyDescent="0.2">
      <c r="E71" s="98" t="s">
        <v>241</v>
      </c>
      <c r="F71" s="114">
        <f t="shared" ref="F71:N71" ca="1" si="25">SUM(F61:F69)</f>
        <v>1</v>
      </c>
      <c r="G71" s="114">
        <f t="shared" ca="1" si="25"/>
        <v>0</v>
      </c>
      <c r="H71" s="114">
        <f t="shared" ca="1" si="25"/>
        <v>0</v>
      </c>
      <c r="I71" s="114">
        <f t="shared" ca="1" si="25"/>
        <v>0</v>
      </c>
      <c r="J71" s="114">
        <f t="shared" ca="1" si="25"/>
        <v>0</v>
      </c>
      <c r="K71" s="114">
        <f t="shared" ca="1" si="25"/>
        <v>0</v>
      </c>
      <c r="L71" s="114">
        <f t="shared" ca="1" si="25"/>
        <v>0</v>
      </c>
      <c r="M71" s="114">
        <f t="shared" ca="1" si="25"/>
        <v>0</v>
      </c>
      <c r="N71" s="114">
        <f t="shared" ca="1" si="25"/>
        <v>0</v>
      </c>
      <c r="O71" s="106">
        <f ca="1">SUM(F71:N71)</f>
        <v>1</v>
      </c>
    </row>
    <row r="72" spans="1:18" x14ac:dyDescent="0.2">
      <c r="E72" s="98" t="s">
        <v>243</v>
      </c>
      <c r="F72" s="115">
        <f ca="1">F60*F71+G60*G71+H60*H71+I60*I71+J71*J60+K71*K60+L71*L60+M71*M60+N71*N60</f>
        <v>0</v>
      </c>
      <c r="I72" s="100"/>
      <c r="J72" s="100"/>
      <c r="K72" s="106"/>
      <c r="O72" s="106"/>
      <c r="P72" s="118"/>
    </row>
    <row r="73" spans="1:18" x14ac:dyDescent="0.2">
      <c r="K73" s="106"/>
      <c r="O73" s="100"/>
    </row>
    <row r="75" spans="1:18" x14ac:dyDescent="0.2">
      <c r="D75" s="100" t="s">
        <v>361</v>
      </c>
      <c r="E75" s="100"/>
      <c r="F75" s="106"/>
      <c r="G75" s="106"/>
      <c r="H75" s="106"/>
      <c r="I75" s="106"/>
      <c r="J75" s="106"/>
      <c r="K75" s="106"/>
      <c r="L75" s="106"/>
      <c r="M75" s="106"/>
      <c r="N75" s="106"/>
    </row>
    <row r="76" spans="1:18" x14ac:dyDescent="0.2">
      <c r="D76" s="100" t="s">
        <v>362</v>
      </c>
      <c r="E76" s="119">
        <v>0</v>
      </c>
      <c r="F76" s="100">
        <v>1</v>
      </c>
      <c r="G76" s="100">
        <v>2</v>
      </c>
      <c r="H76" s="110">
        <v>3</v>
      </c>
      <c r="I76" s="110">
        <v>4</v>
      </c>
      <c r="J76" s="110">
        <v>5</v>
      </c>
      <c r="K76" s="110">
        <v>6</v>
      </c>
      <c r="L76" s="110">
        <v>7</v>
      </c>
      <c r="M76" s="110">
        <v>8</v>
      </c>
      <c r="N76" s="98" t="s">
        <v>99</v>
      </c>
    </row>
    <row r="77" spans="1:18" x14ac:dyDescent="0.2">
      <c r="D77" s="100" t="s">
        <v>363</v>
      </c>
      <c r="E77" s="106">
        <f ca="1">F55*F71</f>
        <v>1.7790012500000014E-2</v>
      </c>
      <c r="F77" s="106">
        <f ca="1">F55*G71+G55*F71</f>
        <v>0.46222107499999998</v>
      </c>
      <c r="G77" s="106">
        <f ca="1">F55*H71+G55*G71+H55*F71</f>
        <v>0.38109416249999994</v>
      </c>
      <c r="H77" s="106">
        <f ca="1">F55*I71+G55*H71+H55*G71+I55*F71</f>
        <v>9.8169437499999998E-2</v>
      </c>
      <c r="I77" s="106">
        <f ca="1">F55*J71+G55*I71+H55*H71+I55*G71+J55*F71</f>
        <v>4.0725312499999999E-2</v>
      </c>
      <c r="J77" s="106">
        <f ca="1">F55*K71+G55*J71+H55*I71+I55*H71+J55*G71+K55*F71</f>
        <v>0</v>
      </c>
      <c r="K77" s="106">
        <f ca="1">F55*L71+G55*K71+H55*J71+I55*I71+J55*H71+K55*G71+L55*F71</f>
        <v>0</v>
      </c>
      <c r="L77" s="118">
        <f ca="1">F55*M71+G55*L71+H55*K71+I55*J71+J55*I71+K55*H71+L55*G71+M55*F71</f>
        <v>0</v>
      </c>
      <c r="M77" s="106">
        <f ca="1">F55*N71+G55*M71+H55*L71+I55*K71+J55*J71+K55*I71+L55*H71+M55*G71+N55*F71+G55*N71+H55*M71+I55*L71+J55*K71+K55*J71+L55*I71+M55*H71+N55*G71+H55*N71+I55*M71+J55*L71+K55*K71+L55*J71+M55*I71+N55*H71+I55*N71+J55*M71+K55*L71+L55*K71+M55*J71+N55*I71+J55*N71+K55*M71+L55*L71+M55*K71+N55*J71+K55*N71+L55*M71+M55*L71+N55*K71+L55*N71+M55*M71+N55*L71+M55*N71+N55*M71+N55*N71</f>
        <v>0</v>
      </c>
      <c r="N77" s="106">
        <f ca="1">SUM(E77:M77)</f>
        <v>0.99999999999999989</v>
      </c>
    </row>
    <row r="78" spans="1:18" x14ac:dyDescent="0.2">
      <c r="D78" s="110" t="s">
        <v>243</v>
      </c>
      <c r="E78" s="113">
        <f ca="1">E76*E77+F76*F77+G76*G77+H76*H77+I76*I77+J76*J77+K76*K77+L76*L77+M76*M77</f>
        <v>1.6818189625</v>
      </c>
    </row>
    <row r="79" spans="1:18" x14ac:dyDescent="0.2">
      <c r="D79" s="100"/>
      <c r="E79" s="106"/>
      <c r="F79" s="106"/>
      <c r="G79" s="106"/>
      <c r="H79" s="106"/>
      <c r="I79" s="106"/>
      <c r="J79" s="106"/>
      <c r="K79" s="106"/>
      <c r="L79" s="106"/>
      <c r="M79" s="106"/>
      <c r="N79" s="100"/>
    </row>
    <row r="80" spans="1:18" x14ac:dyDescent="0.2">
      <c r="D80" s="100"/>
      <c r="E80" s="100"/>
      <c r="F80" s="106"/>
      <c r="G80" s="106"/>
    </row>
    <row r="81" spans="1:16" x14ac:dyDescent="0.2">
      <c r="A81" s="121" t="s">
        <v>366</v>
      </c>
    </row>
    <row r="83" spans="1:16" x14ac:dyDescent="0.2">
      <c r="A83" s="98" t="s">
        <v>239</v>
      </c>
      <c r="B83" s="99">
        <f ca="1">Data!F98</f>
        <v>0.95</v>
      </c>
      <c r="D83" s="100" t="s">
        <v>211</v>
      </c>
      <c r="E83" s="100"/>
      <c r="F83" s="100"/>
      <c r="G83" s="100"/>
      <c r="H83" s="100"/>
      <c r="I83" s="100"/>
      <c r="P83" s="100"/>
    </row>
    <row r="84" spans="1:16" x14ac:dyDescent="0.2">
      <c r="A84" s="98" t="s">
        <v>191</v>
      </c>
      <c r="B84" s="101">
        <f ca="1">Data!F79</f>
        <v>0.39</v>
      </c>
      <c r="D84" s="98" t="s">
        <v>216</v>
      </c>
      <c r="E84" s="98" t="s">
        <v>240</v>
      </c>
      <c r="F84" s="102">
        <v>0</v>
      </c>
      <c r="G84" s="102">
        <v>1</v>
      </c>
      <c r="H84" s="102">
        <v>2</v>
      </c>
      <c r="I84" s="103">
        <v>3</v>
      </c>
      <c r="J84" s="103">
        <v>4</v>
      </c>
      <c r="K84" s="103">
        <v>5</v>
      </c>
      <c r="L84" s="103">
        <v>6</v>
      </c>
      <c r="M84" s="103">
        <v>7</v>
      </c>
      <c r="N84" s="103">
        <v>8</v>
      </c>
      <c r="P84" s="100"/>
    </row>
    <row r="85" spans="1:16" x14ac:dyDescent="0.2">
      <c r="A85" s="98" t="s">
        <v>194</v>
      </c>
      <c r="B85" s="101">
        <f ca="1">Data!F80</f>
        <v>0.06</v>
      </c>
      <c r="D85" s="98">
        <v>0</v>
      </c>
      <c r="E85" s="105">
        <v>0</v>
      </c>
      <c r="F85" s="106">
        <f ca="1">IF($D85&gt;=F$84, POWER($B$83, F$84) * IF(ISERR(POWER((1-$B$83), $D85-F$84)), 1, POWER((1-$B$83), $D85-F$84)) * COMBIN($D85,F$84) * $E85, 0)</f>
        <v>0</v>
      </c>
      <c r="G85" s="106">
        <f t="shared" ref="G85:N92" si="26">IF($D85&gt;=G$84, POWER($B$83, G$84) * IF(ISERR(POWER((1-$B$83), $D85-G$84)), 1, POWER((1-$B$83), $D85-G$84)) * COMBIN($D85,G$84) * $E85, 0)</f>
        <v>0</v>
      </c>
      <c r="H85" s="106">
        <f t="shared" si="26"/>
        <v>0</v>
      </c>
      <c r="I85" s="106">
        <f t="shared" si="26"/>
        <v>0</v>
      </c>
      <c r="J85" s="106">
        <f t="shared" si="26"/>
        <v>0</v>
      </c>
      <c r="K85" s="106">
        <f t="shared" si="26"/>
        <v>0</v>
      </c>
      <c r="L85" s="106">
        <f t="shared" si="26"/>
        <v>0</v>
      </c>
      <c r="M85" s="106">
        <f t="shared" si="26"/>
        <v>0</v>
      </c>
      <c r="N85" s="106">
        <f t="shared" si="26"/>
        <v>0</v>
      </c>
      <c r="P85" s="100"/>
    </row>
    <row r="86" spans="1:16" x14ac:dyDescent="0.2">
      <c r="A86" s="98" t="s">
        <v>196</v>
      </c>
      <c r="B86" s="101">
        <f ca="1">Data!F81</f>
        <v>0.02</v>
      </c>
      <c r="D86" s="98">
        <v>1</v>
      </c>
      <c r="E86" s="165">
        <f ca="1">(1-B86)*(1-B85)*(1-B84)*(1-B88)*(1-B87)*(1-B104)</f>
        <v>0.56193199999999988</v>
      </c>
      <c r="F86" s="106">
        <f ca="1">IF($D86&gt;=F84, POWER($B83, F84) * POWER((1-$B83), $D86-F84) * COMBIN($D86,F84) * $E86, 0) * (1 - B107*B108*(1-E99))</f>
        <v>2.1423657500000016E-2</v>
      </c>
      <c r="G86" s="106">
        <f ca="1">IF($D86&gt;=G84, POWER($B83, G84) * IF(ISERR(POWER((1-$B$83), $D86-G$84)), 1, POWER((1-$B$83), $D86-G$84)) * COMBIN($D86,G84) * $E86, 0) + IF($D86&gt;=F84, POWER($B83, F84) * IF(ISERR(POWER((1-$B$83), $D86-F$84)), 1, POWER((1-$B$83), $D86-F$84)) * COMBIN($D86,F84) * $E86, 0) * B107 * B108 * (1-E99)</f>
        <v>0.54050834249999991</v>
      </c>
      <c r="H86" s="106">
        <f t="shared" si="26"/>
        <v>0</v>
      </c>
      <c r="I86" s="106">
        <f t="shared" si="26"/>
        <v>0</v>
      </c>
      <c r="J86" s="106">
        <f t="shared" si="26"/>
        <v>0</v>
      </c>
      <c r="K86" s="106">
        <f t="shared" si="26"/>
        <v>0</v>
      </c>
      <c r="L86" s="106">
        <f t="shared" si="26"/>
        <v>0</v>
      </c>
      <c r="M86" s="106">
        <f t="shared" si="26"/>
        <v>0</v>
      </c>
      <c r="N86" s="106">
        <f t="shared" si="26"/>
        <v>0</v>
      </c>
      <c r="P86" s="100"/>
    </row>
    <row r="87" spans="1:16" x14ac:dyDescent="0.2">
      <c r="A87" s="98" t="s">
        <v>351</v>
      </c>
      <c r="B87" s="101">
        <v>0</v>
      </c>
      <c r="D87" s="98">
        <v>2</v>
      </c>
      <c r="E87" s="165">
        <f ca="1">(1-B86)*(1-B85)*(1-B87)*(B84) + (1-B86)*(1-B85)*(1-B84)*(1-B87)*(B88)*(B89) + (1-B86)*(1-B85)*(1-B84)*(1-B87)*(1-B88)*(B104)*(B105) + (1-B86)*(1-B85)*(1-B84)*(1-B88)*(B87)</f>
        <v>0.35926799999999998</v>
      </c>
      <c r="F87" s="106">
        <f ca="1">IF($D87&gt;=F84, POWER($B83, F84) * POWER((1-$B83), $D87-F84) * COMBIN($D87,F84) * $E87, 0)</f>
        <v>8.9817000000000152E-4</v>
      </c>
      <c r="G87" s="106">
        <f ca="1">IF($D87&gt;=G84, POWER($B83, G84) * POWER((1-$B83), $D87-G84) * COMBIN($D87,G84) * $E87, 0)</f>
        <v>3.4130460000000029E-2</v>
      </c>
      <c r="H87" s="106">
        <f t="shared" ca="1" si="26"/>
        <v>0.32423936999999997</v>
      </c>
      <c r="I87" s="106">
        <f t="shared" si="26"/>
        <v>0</v>
      </c>
      <c r="J87" s="106">
        <f t="shared" si="26"/>
        <v>0</v>
      </c>
      <c r="K87" s="106">
        <f t="shared" si="26"/>
        <v>0</v>
      </c>
      <c r="L87" s="106">
        <f t="shared" si="26"/>
        <v>0</v>
      </c>
      <c r="M87" s="106">
        <f t="shared" si="26"/>
        <v>0</v>
      </c>
      <c r="N87" s="106">
        <f t="shared" si="26"/>
        <v>0</v>
      </c>
      <c r="P87" s="100"/>
    </row>
    <row r="88" spans="1:16" x14ac:dyDescent="0.2">
      <c r="A88" s="98" t="s">
        <v>352</v>
      </c>
      <c r="B88" s="101">
        <f>IF(ISBLANK(Gear!$B$3), 0, VLOOKUP(Gear!$B$3, Weapon, MATCH("OAx", StatHeader, 0), 0))</f>
        <v>0</v>
      </c>
      <c r="D88" s="98">
        <v>3</v>
      </c>
      <c r="E88" s="165">
        <f ca="1">(1-B86)*(1-B87)*(B85) + (1-B86)*(1-B85)*(1-B84)*(1-B87)*(B88)*(B90) + (1-B86)*(1-B85)*(1-B84)*(1-B87)*(1-B88)*(B104)*(B106) + (1-B86)*(1-B85)*(B87)*(B84) + (1-B86)*(1-B85)*(1-B84)*(B87)*(B88)*(B89) + (1-B86)*(1-B85)*(1-B84)*(B87)*(B104)*(B105)</f>
        <v>5.8799999999999998E-2</v>
      </c>
      <c r="F88" s="106">
        <f ca="1">IF($D88&gt;=F84, POWER($B83, F84) * POWER((1-$B83), $D88-F84) * COMBIN($D88,F84) * $E88, 0)</f>
        <v>7.3500000000000194E-6</v>
      </c>
      <c r="G88" s="106">
        <f ca="1">IF($D88&gt;=G84, POWER($B83, G84) * POWER((1-$B83), $D88-G84) * COMBIN($D88,G84) * $E88, 0)</f>
        <v>4.1895000000000067E-4</v>
      </c>
      <c r="H88" s="106">
        <f ca="1">IF($D88&gt;=H84, POWER($B83, H84) * POWER((1-$B83), $D88-H84) * COMBIN($D88,H84) * $E88, 0)</f>
        <v>7.9600500000000084E-3</v>
      </c>
      <c r="I88" s="106">
        <f t="shared" ca="1" si="26"/>
        <v>5.041364999999999E-2</v>
      </c>
      <c r="J88" s="106">
        <f t="shared" si="26"/>
        <v>0</v>
      </c>
      <c r="K88" s="106">
        <f t="shared" si="26"/>
        <v>0</v>
      </c>
      <c r="L88" s="106">
        <f t="shared" si="26"/>
        <v>0</v>
      </c>
      <c r="M88" s="106">
        <f t="shared" si="26"/>
        <v>0</v>
      </c>
      <c r="N88" s="106">
        <f t="shared" si="26"/>
        <v>0</v>
      </c>
      <c r="P88" s="100"/>
    </row>
    <row r="89" spans="1:16" x14ac:dyDescent="0.2">
      <c r="A89" s="98" t="s">
        <v>353</v>
      </c>
      <c r="B89" s="101">
        <f>IF(ISBLANK(Gear!$B$3), 0, VLOOKUP(Gear!$B$3, Weapon, MATCH(A89, StatHeader, 0), 0))</f>
        <v>0</v>
      </c>
      <c r="D89" s="98">
        <v>4</v>
      </c>
      <c r="E89" s="165">
        <f ca="1">(B86)*(1-B87) + (1-B86)*(B87)*(B85) + (1-B86)*(1-B85)*(1-B84)*(1-B87)*(B88)*(B91) + (1-B86)*(1-B85)*(1-B84)*(B87)*(B104)*(B106) + (1-B86)*(1-B85)*(1-B84)*(B87)*(B88)*(B90)</f>
        <v>0.02</v>
      </c>
      <c r="F89" s="106">
        <f ca="1">IF($D89&gt;=F84, POWER($B83, F84) * POWER((1-$B83), $D89-F84) * COMBIN($D89,F84) * $E89, 0)</f>
        <v>1.2500000000000044E-7</v>
      </c>
      <c r="G89" s="106">
        <f ca="1">IF($D89&gt;=G84, POWER($B83, G84) * POWER((1-$B83), $D89-G84) * COMBIN($D89,G84) * $E89, 0)</f>
        <v>9.5000000000000259E-6</v>
      </c>
      <c r="H89" s="106">
        <f ca="1">IF($D89&gt;=H84, POWER($B83, H84) * POWER((1-$B83), $D89-H84) * COMBIN($D89,H84) * $E89, 0)</f>
        <v>2.7075000000000048E-4</v>
      </c>
      <c r="I89" s="106">
        <f ca="1">IF($D89&gt;=I84, POWER($B83, I84) * POWER((1-$B83), $D89-I84) * COMBIN($D89,I84) * $E89, 0)</f>
        <v>3.4295000000000024E-3</v>
      </c>
      <c r="J89" s="106">
        <f t="shared" ca="1" si="26"/>
        <v>1.6290124999999999E-2</v>
      </c>
      <c r="K89" s="106">
        <f t="shared" si="26"/>
        <v>0</v>
      </c>
      <c r="L89" s="106">
        <f t="shared" si="26"/>
        <v>0</v>
      </c>
      <c r="M89" s="106">
        <f t="shared" si="26"/>
        <v>0</v>
      </c>
      <c r="N89" s="106">
        <f t="shared" si="26"/>
        <v>0</v>
      </c>
      <c r="P89" s="100"/>
    </row>
    <row r="90" spans="1:16" x14ac:dyDescent="0.2">
      <c r="A90" s="98" t="s">
        <v>354</v>
      </c>
      <c r="B90" s="101">
        <f>IF(ISBLANK(Gear!$B$3), 0, VLOOKUP(Gear!$B$3, Weapon, MATCH(A90, StatHeader, 0), 0))</f>
        <v>0</v>
      </c>
      <c r="D90" s="98">
        <v>5</v>
      </c>
      <c r="E90" s="166">
        <f ca="1">(1-B86)*(1-B85)*(1-B84)*(1-B87)*(B88)*(B92) + (1-B86)*(1-B85)*(1-B84)*(B87)*(B88)*(B91) + (B86)*(B87)</f>
        <v>0</v>
      </c>
      <c r="F90" s="106">
        <f ca="1">IF($D90&gt;=F84, POWER($B83, F84) * POWER((1-$B83), $D90-F84) * COMBIN($D90,F84) * $E90, 0)</f>
        <v>0</v>
      </c>
      <c r="G90" s="106">
        <f ca="1">IF($D90&gt;=G84, POWER($B83, G84) * POWER((1-$B83), $D90-G84) * COMBIN($D90,G84) * $E90, 0)</f>
        <v>0</v>
      </c>
      <c r="H90" s="106">
        <f ca="1">IF($D90&gt;=H84, POWER($B83, H84) * POWER((1-$B83), $D90-H84) * COMBIN($D90,H84) * $E90, 0)</f>
        <v>0</v>
      </c>
      <c r="I90" s="106">
        <f ca="1">IF($D90&gt;=I84, POWER($B83, I84) * POWER((1-$B83), $D90-I84) * COMBIN($D90,I84) * $E90, 0)</f>
        <v>0</v>
      </c>
      <c r="J90" s="106">
        <f ca="1">IF($D90&gt;=J84, POWER($B83, J84) * POWER((1-$B83), $D90-J84) * COMBIN($D90,J84) * $E90, 0)</f>
        <v>0</v>
      </c>
      <c r="K90" s="106">
        <f t="shared" ca="1" si="26"/>
        <v>0</v>
      </c>
      <c r="L90" s="106">
        <f t="shared" si="26"/>
        <v>0</v>
      </c>
      <c r="M90" s="106">
        <f t="shared" si="26"/>
        <v>0</v>
      </c>
      <c r="N90" s="106">
        <f t="shared" si="26"/>
        <v>0</v>
      </c>
      <c r="P90" s="100"/>
    </row>
    <row r="91" spans="1:16" x14ac:dyDescent="0.2">
      <c r="A91" s="98" t="s">
        <v>355</v>
      </c>
      <c r="B91" s="101">
        <f>IF(ISBLANK(Gear!$B$3), 0, VLOOKUP(Gear!$B$3, Weapon, MATCH(A91, StatHeader, 0), 0))</f>
        <v>0</v>
      </c>
      <c r="D91" s="100">
        <v>6</v>
      </c>
      <c r="E91" s="166">
        <f ca="1">(1-B86)*(1-B85)*(1-B84)*(1-B87)*(B88)*(B93) + (1-B86)*(1-B85)*(1-B84)*(B87)*(B88)*(B92)</f>
        <v>0</v>
      </c>
      <c r="F91" s="106">
        <f t="shared" ref="F91:K91" ca="1" si="27">IF($D91&gt;=F84, POWER($B83, F84) * POWER((1-$B83), $D91-F84) * COMBIN($D91,F84) * $E91, 0)</f>
        <v>0</v>
      </c>
      <c r="G91" s="106">
        <f t="shared" ca="1" si="27"/>
        <v>0</v>
      </c>
      <c r="H91" s="106">
        <f t="shared" ca="1" si="27"/>
        <v>0</v>
      </c>
      <c r="I91" s="106">
        <f t="shared" ca="1" si="27"/>
        <v>0</v>
      </c>
      <c r="J91" s="106">
        <f t="shared" ca="1" si="27"/>
        <v>0</v>
      </c>
      <c r="K91" s="106">
        <f t="shared" ca="1" si="27"/>
        <v>0</v>
      </c>
      <c r="L91" s="106">
        <f t="shared" ca="1" si="26"/>
        <v>0</v>
      </c>
      <c r="M91" s="106">
        <f t="shared" si="26"/>
        <v>0</v>
      </c>
      <c r="N91" s="106">
        <f t="shared" si="26"/>
        <v>0</v>
      </c>
      <c r="P91" s="100"/>
    </row>
    <row r="92" spans="1:16" x14ac:dyDescent="0.2">
      <c r="A92" s="98" t="s">
        <v>356</v>
      </c>
      <c r="B92" s="101">
        <f>IF(ISBLANK(Gear!$B$3), 0, VLOOKUP(Gear!$B$3, Weapon, MATCH(A92, StatHeader, 0), 0))</f>
        <v>0</v>
      </c>
      <c r="D92" s="110">
        <v>7</v>
      </c>
      <c r="E92" s="165">
        <f ca="1">(1-B86)*(1-B85)*(1-B84)*(1-B87)*(B88)*(B94) + (1-B86)*(1-B85)*(1-B84)*(B87)*(B88)*(B93)</f>
        <v>0</v>
      </c>
      <c r="F92" s="106">
        <f t="shared" ref="F92:L92" ca="1" si="28">IF($D92&gt;=F84, POWER($B83, F84) * POWER((1-$B83), $D92-F84) * COMBIN($D92,F84) * $E92, 0)</f>
        <v>0</v>
      </c>
      <c r="G92" s="106">
        <f t="shared" ca="1" si="28"/>
        <v>0</v>
      </c>
      <c r="H92" s="106">
        <f t="shared" ca="1" si="28"/>
        <v>0</v>
      </c>
      <c r="I92" s="106">
        <f t="shared" ca="1" si="28"/>
        <v>0</v>
      </c>
      <c r="J92" s="106">
        <f t="shared" ca="1" si="28"/>
        <v>0</v>
      </c>
      <c r="K92" s="106">
        <f t="shared" ca="1" si="28"/>
        <v>0</v>
      </c>
      <c r="L92" s="106">
        <f t="shared" ca="1" si="28"/>
        <v>0</v>
      </c>
      <c r="M92" s="106">
        <f t="shared" ca="1" si="26"/>
        <v>0</v>
      </c>
      <c r="N92" s="106">
        <f t="shared" si="26"/>
        <v>0</v>
      </c>
      <c r="O92" s="100"/>
      <c r="P92" s="100"/>
    </row>
    <row r="93" spans="1:16" x14ac:dyDescent="0.2">
      <c r="A93" s="98" t="s">
        <v>357</v>
      </c>
      <c r="B93" s="101">
        <f>IF(ISBLANK(Gear!$B$3), 0, VLOOKUP(Gear!$B$3, Weapon, MATCH(A93, StatHeader, 0), 0))</f>
        <v>0</v>
      </c>
      <c r="D93" s="110">
        <v>8</v>
      </c>
      <c r="E93" s="165">
        <f ca="1">(1-B86)*(1-B85)*(1-B84)*(B88)*(B95) + (1-B86)*(1-B85)*(1-B84)*(B87)*(B88)*(B94)</f>
        <v>0</v>
      </c>
      <c r="F93" s="111">
        <f t="shared" ref="F93:M93" ca="1" si="29">IF($D93&gt;=F84, POWER($B83, F84) * POWER((1-$B83), $D93-F84) * COMBIN($D93,F84) * $E93, 0)</f>
        <v>0</v>
      </c>
      <c r="G93" s="112">
        <f t="shared" ca="1" si="29"/>
        <v>0</v>
      </c>
      <c r="H93" s="112">
        <f t="shared" ca="1" si="29"/>
        <v>0</v>
      </c>
      <c r="I93" s="112">
        <f t="shared" ca="1" si="29"/>
        <v>0</v>
      </c>
      <c r="J93" s="112">
        <f t="shared" ca="1" si="29"/>
        <v>0</v>
      </c>
      <c r="K93" s="112">
        <f t="shared" ca="1" si="29"/>
        <v>0</v>
      </c>
      <c r="L93" s="112">
        <f t="shared" ca="1" si="29"/>
        <v>0</v>
      </c>
      <c r="M93" s="112">
        <f t="shared" ca="1" si="29"/>
        <v>0</v>
      </c>
      <c r="N93" s="112">
        <f ca="1">IF($D93&gt;=N$84, POWER($B$83, N$84) * IF(ISERR(POWER((1-$B$83), $D93-N$84)), 1, POWER((1-$B$83), $D93-N$84)) * COMBIN($D93,N$84) * $E93, 0)</f>
        <v>0</v>
      </c>
      <c r="O93" s="100"/>
    </row>
    <row r="94" spans="1:16" x14ac:dyDescent="0.2">
      <c r="A94" s="98" t="s">
        <v>358</v>
      </c>
      <c r="B94" s="101">
        <f>IF(ISBLANK(Gear!$B$3), 0, VLOOKUP(Gear!$B$3, Weapon, MATCH(A94, StatHeader, 0), 0))</f>
        <v>0</v>
      </c>
      <c r="E94" s="101">
        <f ca="1">SUM(E85:E93)</f>
        <v>0.99999999999999978</v>
      </c>
      <c r="O94" s="106"/>
    </row>
    <row r="95" spans="1:16" x14ac:dyDescent="0.2">
      <c r="A95" s="98" t="s">
        <v>359</v>
      </c>
      <c r="B95" s="101">
        <f>IF(ISBLANK(Gear!$B$3), 0, VLOOKUP(Gear!$B$3, Weapon, MATCH(A95, StatHeader, 0), 0))</f>
        <v>0</v>
      </c>
      <c r="E95" s="98" t="s">
        <v>241</v>
      </c>
      <c r="F95" s="114">
        <f t="shared" ref="F95:N95" ca="1" si="30">SUM(F85:F93)</f>
        <v>2.2329302500000016E-2</v>
      </c>
      <c r="G95" s="114">
        <f t="shared" ca="1" si="30"/>
        <v>0.57506725250000001</v>
      </c>
      <c r="H95" s="114">
        <f t="shared" ca="1" si="30"/>
        <v>0.33247016999999995</v>
      </c>
      <c r="I95" s="114">
        <f t="shared" ca="1" si="30"/>
        <v>5.3843149999999992E-2</v>
      </c>
      <c r="J95" s="114">
        <f t="shared" ca="1" si="30"/>
        <v>1.6290124999999999E-2</v>
      </c>
      <c r="K95" s="114">
        <f t="shared" ca="1" si="30"/>
        <v>0</v>
      </c>
      <c r="L95" s="114">
        <f t="shared" ca="1" si="30"/>
        <v>0</v>
      </c>
      <c r="M95" s="114">
        <f t="shared" ca="1" si="30"/>
        <v>0</v>
      </c>
      <c r="N95" s="114">
        <f t="shared" ca="1" si="30"/>
        <v>0</v>
      </c>
      <c r="O95" s="106">
        <f ca="1">SUM(F95:N95)</f>
        <v>0.99999999999999989</v>
      </c>
    </row>
    <row r="96" spans="1:16" x14ac:dyDescent="0.2">
      <c r="A96" s="98" t="s">
        <v>360</v>
      </c>
      <c r="B96" s="101">
        <f>IF(ISBLANK(Gear!$B$3), 0, VLOOKUP(Gear!$B$3, Weapon, MATCH("OAx", StatHeader, 0), 0))</f>
        <v>0</v>
      </c>
      <c r="E96" s="106" t="s">
        <v>243</v>
      </c>
      <c r="F96" s="115">
        <f ca="1">F84*F95+G84*G95+H84*H95+I84*I95+J95*J84+K95*K84+L95*L84+M95*M84+N95*N84</f>
        <v>1.4666975425</v>
      </c>
      <c r="G96" s="106"/>
      <c r="H96" s="106"/>
      <c r="I96" s="106"/>
      <c r="O96" s="100"/>
    </row>
    <row r="97" spans="1:18" x14ac:dyDescent="0.2">
      <c r="A97" s="98" t="s">
        <v>353</v>
      </c>
      <c r="B97" s="101">
        <f>IF(ISBLANK(Gear!$B$3), 0, VLOOKUP(Gear!$B$3, Weapon, MATCH(A97, StatHeader, 0), 0))</f>
        <v>0</v>
      </c>
      <c r="F97"/>
      <c r="G97"/>
      <c r="H97"/>
    </row>
    <row r="98" spans="1:18" x14ac:dyDescent="0.2">
      <c r="A98" s="98" t="s">
        <v>354</v>
      </c>
      <c r="B98" s="101">
        <f>IF(ISBLANK(Gear!$B$3), 0, VLOOKUP(Gear!$B$3, Weapon, MATCH(A98, StatHeader, 0), 0))</f>
        <v>0</v>
      </c>
      <c r="F98" s="88"/>
      <c r="G98" s="63"/>
      <c r="H98" s="63"/>
    </row>
    <row r="99" spans="1:18" x14ac:dyDescent="0.2">
      <c r="A99" s="98" t="s">
        <v>355</v>
      </c>
      <c r="B99" s="101">
        <f>IF(ISBLANK(Gear!$B$3), 0, VLOOKUP(Gear!$B$3, Weapon, MATCH(A99, StatHeader, 0), 0))</f>
        <v>0</v>
      </c>
      <c r="D99" s="100" t="s">
        <v>215</v>
      </c>
      <c r="E99" s="100">
        <v>0</v>
      </c>
      <c r="F99" s="100"/>
      <c r="G99" s="100"/>
      <c r="H99" s="100"/>
      <c r="I99" s="100"/>
      <c r="J99" s="100"/>
    </row>
    <row r="100" spans="1:18" x14ac:dyDescent="0.2">
      <c r="A100" s="98" t="s">
        <v>356</v>
      </c>
      <c r="B100" s="101">
        <f>IF(ISBLANK(Gear!$B$3), 0, VLOOKUP(Gear!$B$3, Weapon, MATCH(A100, StatHeader, 0), 0))</f>
        <v>0</v>
      </c>
      <c r="D100" s="98" t="s">
        <v>216</v>
      </c>
      <c r="E100" s="98" t="s">
        <v>240</v>
      </c>
      <c r="F100" s="102">
        <v>0</v>
      </c>
      <c r="G100" s="102">
        <v>1</v>
      </c>
      <c r="H100" s="102">
        <v>2</v>
      </c>
      <c r="I100" s="103">
        <v>3</v>
      </c>
      <c r="J100" s="103">
        <v>4</v>
      </c>
      <c r="K100" s="103">
        <v>5</v>
      </c>
      <c r="L100" s="103">
        <v>6</v>
      </c>
      <c r="M100" s="103">
        <v>7</v>
      </c>
      <c r="N100" s="103">
        <v>8</v>
      </c>
      <c r="O100" s="100"/>
    </row>
    <row r="101" spans="1:18" x14ac:dyDescent="0.2">
      <c r="A101" s="98" t="s">
        <v>357</v>
      </c>
      <c r="B101" s="101">
        <f>IF(ISBLANK(Gear!$B$3), 0, VLOOKUP(Gear!$B$3, Weapon, MATCH(A101, StatHeader, 0), 0))</f>
        <v>0</v>
      </c>
      <c r="D101" s="98">
        <v>0</v>
      </c>
      <c r="E101" s="105">
        <f>IF(E99=0, 100%, 0)</f>
        <v>1</v>
      </c>
      <c r="F101" s="106">
        <f ca="1">IF($D101&gt;=F$100, POWER($B$83, F$100) * IF(ISERR(POWER((1-$B$83), $D101-F$100)), 1, POWER((1-$B$83), $D101-F$100)) * COMBIN($D101,F$100) * $E101, 0)</f>
        <v>1</v>
      </c>
      <c r="G101" s="106">
        <f t="shared" ref="G101:N108" si="31">IF($D101&gt;=G$100, POWER($B$83, G$100) * IF(ISERR(POWER((1-$B$83), $D101-G$100)), 1, POWER((1-$B$83), $D101-G$100)) * COMBIN($D101,G$100) * $E101, 0)</f>
        <v>0</v>
      </c>
      <c r="H101" s="106">
        <f t="shared" si="31"/>
        <v>0</v>
      </c>
      <c r="I101" s="106">
        <f t="shared" si="31"/>
        <v>0</v>
      </c>
      <c r="J101" s="106">
        <f t="shared" si="31"/>
        <v>0</v>
      </c>
      <c r="K101" s="106">
        <f t="shared" si="31"/>
        <v>0</v>
      </c>
      <c r="L101" s="106">
        <f t="shared" si="31"/>
        <v>0</v>
      </c>
      <c r="M101" s="106">
        <f t="shared" si="31"/>
        <v>0</v>
      </c>
      <c r="N101" s="106">
        <f t="shared" si="31"/>
        <v>0</v>
      </c>
      <c r="O101" s="100"/>
    </row>
    <row r="102" spans="1:18" x14ac:dyDescent="0.2">
      <c r="A102" s="98" t="s">
        <v>358</v>
      </c>
      <c r="B102" s="101">
        <f>IF(ISBLANK(Gear!$B$3), 0, VLOOKUP(Gear!$B$3, Weapon, MATCH(A102, StatHeader, 0), 0))</f>
        <v>0</v>
      </c>
      <c r="D102" s="98">
        <v>1</v>
      </c>
      <c r="E102" s="108">
        <f>IF(E99=1, (1-B86)*(1-B85)*(1-B84)*(1-B96), 0)</f>
        <v>0</v>
      </c>
      <c r="F102" s="106">
        <f ca="1">IF($D102&gt;=F100, POWER($B83, F100) * POWER((1-$B83), $D102-F100) * COMBIN($D102,F100) * $E102, 0)</f>
        <v>0</v>
      </c>
      <c r="G102" s="106">
        <f t="shared" ca="1" si="31"/>
        <v>0</v>
      </c>
      <c r="H102" s="106">
        <f t="shared" si="31"/>
        <v>0</v>
      </c>
      <c r="I102" s="106">
        <f t="shared" si="31"/>
        <v>0</v>
      </c>
      <c r="J102" s="106">
        <f t="shared" si="31"/>
        <v>0</v>
      </c>
      <c r="K102" s="106">
        <f t="shared" si="31"/>
        <v>0</v>
      </c>
      <c r="L102" s="106">
        <f t="shared" si="31"/>
        <v>0</v>
      </c>
      <c r="M102" s="106">
        <f t="shared" si="31"/>
        <v>0</v>
      </c>
      <c r="N102" s="106">
        <f t="shared" si="31"/>
        <v>0</v>
      </c>
      <c r="O102" s="100"/>
    </row>
    <row r="103" spans="1:18" x14ac:dyDescent="0.2">
      <c r="A103" s="98" t="s">
        <v>359</v>
      </c>
      <c r="B103" s="101">
        <f>IF(ISBLANK(Gear!$B$3), 0, VLOOKUP(Gear!$B$3, Weapon, MATCH(A103, StatHeader, 0), 0))</f>
        <v>0</v>
      </c>
      <c r="D103" s="98">
        <v>2</v>
      </c>
      <c r="E103" s="108">
        <f>IF(E99=1, (1-B86)*(1-B85)*(1-B84)*(B96)*(B97) + (1-B86)*(1-B85)*B84, 0)</f>
        <v>0</v>
      </c>
      <c r="F103" s="106">
        <f ca="1">IF($D103&gt;=F100, POWER($B83, F100) * POWER((1-$B83), $D103-F100) * COMBIN($D103,F100) * $E103, 0)</f>
        <v>0</v>
      </c>
      <c r="G103" s="106">
        <f ca="1">IF($D103&gt;=G100, POWER($B83, G100) * POWER((1-$B83), $D103-G100) * COMBIN($D103,G100) * $E103, 0)</f>
        <v>0</v>
      </c>
      <c r="H103" s="106">
        <f t="shared" ca="1" si="31"/>
        <v>0</v>
      </c>
      <c r="I103" s="106">
        <f t="shared" si="31"/>
        <v>0</v>
      </c>
      <c r="J103" s="106">
        <f t="shared" si="31"/>
        <v>0</v>
      </c>
      <c r="K103" s="106">
        <f t="shared" si="31"/>
        <v>0</v>
      </c>
      <c r="L103" s="106">
        <f t="shared" si="31"/>
        <v>0</v>
      </c>
      <c r="M103" s="106">
        <f t="shared" si="31"/>
        <v>0</v>
      </c>
      <c r="N103" s="106">
        <f t="shared" si="31"/>
        <v>0</v>
      </c>
      <c r="O103" s="100"/>
      <c r="R103" s="113"/>
    </row>
    <row r="104" spans="1:18" x14ac:dyDescent="0.2">
      <c r="A104" t="s">
        <v>437</v>
      </c>
      <c r="B104" s="8">
        <f>IF(LEFT(Setup!$B$36,4)="Lv.3", IF(ISBLANK(Gear!$B$3), 0, VLOOKUP(Gear!$B$3, Weapon, MATCH(A104, StatHeader, 0), 0)), 0)</f>
        <v>0</v>
      </c>
      <c r="D104" s="98">
        <v>3</v>
      </c>
      <c r="E104" s="108">
        <f>IF(E99=1, (1-B86)*(1-B85)*(1-B84)*(B96)*(B98) + (1-B86)*(B85), 0)</f>
        <v>0</v>
      </c>
      <c r="F104" s="106">
        <f ca="1">IF($D104&gt;=F100, POWER($B83, F100) * POWER((1-$B83), $D104-F100) * COMBIN($D104,F100) * $E104, 0)</f>
        <v>0</v>
      </c>
      <c r="G104" s="106">
        <f ca="1">IF($D104&gt;=G100, POWER($B83, G100) * POWER((1-$B83), $D104-G100) * COMBIN($D104,G100) * $E104, 0)</f>
        <v>0</v>
      </c>
      <c r="H104" s="106">
        <f ca="1">IF($D104&gt;=H100, POWER($B83, H100) * POWER((1-$B83), $D104-H100) * COMBIN($D104,H100) * $E104, 0)</f>
        <v>0</v>
      </c>
      <c r="I104" s="106">
        <f t="shared" ca="1" si="31"/>
        <v>0</v>
      </c>
      <c r="J104" s="106">
        <f t="shared" si="31"/>
        <v>0</v>
      </c>
      <c r="K104" s="106">
        <f t="shared" si="31"/>
        <v>0</v>
      </c>
      <c r="L104" s="106">
        <f t="shared" si="31"/>
        <v>0</v>
      </c>
      <c r="M104" s="106">
        <f t="shared" si="31"/>
        <v>0</v>
      </c>
      <c r="N104" s="106">
        <f t="shared" si="31"/>
        <v>0</v>
      </c>
      <c r="O104" s="100"/>
      <c r="R104" s="113"/>
    </row>
    <row r="105" spans="1:18" x14ac:dyDescent="0.2">
      <c r="A105" t="s">
        <v>438</v>
      </c>
      <c r="B105" s="8">
        <f>IF(LEFT(Setup!$B$36,4)="Lv.3", IF(ISBLANK(Gear!$B$3), 0, VLOOKUP(Gear!$B$3, Weapon, MATCH(A105, StatHeader, 0), 0)), 0)</f>
        <v>0</v>
      </c>
      <c r="D105" s="98">
        <v>4</v>
      </c>
      <c r="E105" s="108">
        <f>IF(E99=1, (1-B86)*(1-B85)*(1-B84)*(B96)*(B99) + (B86), 0)</f>
        <v>0</v>
      </c>
      <c r="F105" s="106">
        <f ca="1">IF($D105&gt;=F100, POWER($B83, F100) * POWER((1-$B83), $D105-F100) * COMBIN($D105,F100) * $E105, 0)</f>
        <v>0</v>
      </c>
      <c r="G105" s="106">
        <f ca="1">IF($D105&gt;=G100, POWER($B83, G100) * POWER((1-$B83), $D105-G100) * COMBIN($D105,G100) * $E105, 0)</f>
        <v>0</v>
      </c>
      <c r="H105" s="106">
        <f ca="1">IF($D105&gt;=H100, POWER($B83, H100) * POWER((1-$B83), $D105-H100) * COMBIN($D105,H100) * $E105, 0)</f>
        <v>0</v>
      </c>
      <c r="I105" s="106">
        <f ca="1">IF($D105&gt;=I100, POWER($B83, I100) * POWER((1-$B83), $D105-I100) * COMBIN($D105,I100) * $E105, 0)</f>
        <v>0</v>
      </c>
      <c r="J105" s="106">
        <f t="shared" ca="1" si="31"/>
        <v>0</v>
      </c>
      <c r="K105" s="106">
        <f t="shared" si="31"/>
        <v>0</v>
      </c>
      <c r="L105" s="106">
        <f t="shared" si="31"/>
        <v>0</v>
      </c>
      <c r="M105" s="106">
        <f t="shared" si="31"/>
        <v>0</v>
      </c>
      <c r="N105" s="106">
        <f t="shared" si="31"/>
        <v>0</v>
      </c>
      <c r="O105" s="100"/>
      <c r="R105" s="113"/>
    </row>
    <row r="106" spans="1:18" x14ac:dyDescent="0.2">
      <c r="A106" t="s">
        <v>439</v>
      </c>
      <c r="B106" s="8">
        <f>IF(LEFT(Setup!$B$36,4)="Lv.3", IF(ISBLANK(Gear!$B$3), 0, VLOOKUP(Gear!$B$3, Weapon, MATCH(A106, StatHeader, 0), 0)), 0)</f>
        <v>0</v>
      </c>
      <c r="D106" s="98">
        <v>5</v>
      </c>
      <c r="E106" s="109">
        <f>IF(E99=1, (1-B86)*(1-B85)*(1-B84)*(B96)*(B100), 0)</f>
        <v>0</v>
      </c>
      <c r="F106" s="106">
        <f ca="1">IF($D106&gt;=F100, POWER($B83, F100) * POWER((1-$B83), $D106-F100) * COMBIN($D106,F100) * $E106, 0)</f>
        <v>0</v>
      </c>
      <c r="G106" s="106">
        <f ca="1">IF($D106&gt;=G100, POWER($B83, G100) * POWER((1-$B83), $D106-G100) * COMBIN($D106,G100) * $E106, 0)</f>
        <v>0</v>
      </c>
      <c r="H106" s="106">
        <f ca="1">IF($D106&gt;=H100, POWER($B83, H100) * POWER((1-$B83), $D106-H100) * COMBIN($D106,H100) * $E106, 0)</f>
        <v>0</v>
      </c>
      <c r="I106" s="106">
        <f ca="1">IF($D106&gt;=I100, POWER($B83, I100) * POWER((1-$B83), $D106-I100) * COMBIN($D106,I100) * $E106, 0)</f>
        <v>0</v>
      </c>
      <c r="J106" s="106">
        <f ca="1">IF($D106&gt;=J100, POWER($B83, J100) * POWER((1-$B83), $D106-J100) * COMBIN($D106,J100) * $E106, 0)</f>
        <v>0</v>
      </c>
      <c r="K106" s="106">
        <f t="shared" ca="1" si="31"/>
        <v>0</v>
      </c>
      <c r="L106" s="106">
        <f t="shared" si="31"/>
        <v>0</v>
      </c>
      <c r="M106" s="106">
        <f t="shared" si="31"/>
        <v>0</v>
      </c>
      <c r="N106" s="106">
        <f t="shared" si="31"/>
        <v>0</v>
      </c>
      <c r="O106" s="100"/>
      <c r="R106" s="113"/>
    </row>
    <row r="107" spans="1:18" x14ac:dyDescent="0.2">
      <c r="A107" s="121" t="s">
        <v>365</v>
      </c>
      <c r="B107" s="101">
        <f ca="1">Data!F83</f>
        <v>0.25</v>
      </c>
      <c r="D107" s="117">
        <v>6</v>
      </c>
      <c r="E107" s="109">
        <f>IF(E99=1, (1-B86)*(1-B85)*(1-B84)*(B96)*(B101), 0)</f>
        <v>0</v>
      </c>
      <c r="F107" s="106">
        <f t="shared" ref="F107:K107" ca="1" si="32">IF($D107&gt;=F100, POWER($B83, F100) * POWER((1-$B83), $D107-F100) * COMBIN($D107,F100) * $E107, 0)</f>
        <v>0</v>
      </c>
      <c r="G107" s="106">
        <f t="shared" ca="1" si="32"/>
        <v>0</v>
      </c>
      <c r="H107" s="106">
        <f t="shared" ca="1" si="32"/>
        <v>0</v>
      </c>
      <c r="I107" s="106">
        <f t="shared" ca="1" si="32"/>
        <v>0</v>
      </c>
      <c r="J107" s="106">
        <f t="shared" ca="1" si="32"/>
        <v>0</v>
      </c>
      <c r="K107" s="106">
        <f t="shared" ca="1" si="32"/>
        <v>0</v>
      </c>
      <c r="L107" s="106">
        <f t="shared" ca="1" si="31"/>
        <v>0</v>
      </c>
      <c r="M107" s="106">
        <f t="shared" si="31"/>
        <v>0</v>
      </c>
      <c r="N107" s="106">
        <f t="shared" si="31"/>
        <v>0</v>
      </c>
      <c r="O107" s="100"/>
      <c r="R107" s="113"/>
    </row>
    <row r="108" spans="1:18" x14ac:dyDescent="0.2">
      <c r="A108" s="121" t="s">
        <v>163</v>
      </c>
      <c r="B108" s="96">
        <f ca="1">Data!F99</f>
        <v>0.95</v>
      </c>
      <c r="D108" s="98">
        <v>7</v>
      </c>
      <c r="E108" s="109">
        <f>IF(E99=1, (1-B86)*(1-B85)*(1-B84)*(B96)*(B102), 0)</f>
        <v>0</v>
      </c>
      <c r="F108" s="106">
        <f t="shared" ref="F108:L108" ca="1" si="33">IF($D108&gt;=F100, POWER($B83, F100) * POWER((1-$B83), $D108-F100) * COMBIN($D108,F100) * $E108, 0)</f>
        <v>0</v>
      </c>
      <c r="G108" s="106">
        <f t="shared" ca="1" si="33"/>
        <v>0</v>
      </c>
      <c r="H108" s="106">
        <f t="shared" ca="1" si="33"/>
        <v>0</v>
      </c>
      <c r="I108" s="106">
        <f t="shared" ca="1" si="33"/>
        <v>0</v>
      </c>
      <c r="J108" s="106">
        <f t="shared" ca="1" si="33"/>
        <v>0</v>
      </c>
      <c r="K108" s="106">
        <f t="shared" ca="1" si="33"/>
        <v>0</v>
      </c>
      <c r="L108" s="106">
        <f t="shared" ca="1" si="33"/>
        <v>0</v>
      </c>
      <c r="M108" s="106">
        <f t="shared" ca="1" si="31"/>
        <v>0</v>
      </c>
      <c r="N108" s="106">
        <f t="shared" si="31"/>
        <v>0</v>
      </c>
      <c r="O108" s="100"/>
      <c r="Q108" s="100"/>
      <c r="R108" s="100"/>
    </row>
    <row r="109" spans="1:18" x14ac:dyDescent="0.2">
      <c r="D109" s="98">
        <v>8</v>
      </c>
      <c r="E109" s="109">
        <f>IF(E99=1, (1-B86)*(1-B85)*(1-B84)*(B96)*(B103), 0)</f>
        <v>0</v>
      </c>
      <c r="F109" s="111">
        <f t="shared" ref="F109:M109" ca="1" si="34">IF($D109&gt;=F100, POWER($B83, F100) * POWER((1-$B83), $D109-F100) * COMBIN($D109,F100) * $E109, 0)</f>
        <v>0</v>
      </c>
      <c r="G109" s="112">
        <f t="shared" ca="1" si="34"/>
        <v>0</v>
      </c>
      <c r="H109" s="112">
        <f t="shared" ca="1" si="34"/>
        <v>0</v>
      </c>
      <c r="I109" s="112">
        <f t="shared" ca="1" si="34"/>
        <v>0</v>
      </c>
      <c r="J109" s="112">
        <f t="shared" ca="1" si="34"/>
        <v>0</v>
      </c>
      <c r="K109" s="112">
        <f t="shared" ca="1" si="34"/>
        <v>0</v>
      </c>
      <c r="L109" s="112">
        <f t="shared" ca="1" si="34"/>
        <v>0</v>
      </c>
      <c r="M109" s="112">
        <f t="shared" ca="1" si="34"/>
        <v>0</v>
      </c>
      <c r="N109" s="112">
        <f ca="1">IF($D109&gt;=N$100, POWER($B$83, N$100) * IF(ISERR(POWER((1-$B$83), $D109-N$100)), 1, POWER((1-$B$83), $D109-N$100)) * COMBIN($D109,N$100) * $E109, 0)</f>
        <v>0</v>
      </c>
      <c r="O109" s="100"/>
      <c r="Q109" s="100"/>
      <c r="R109" s="100"/>
    </row>
    <row r="110" spans="1:18" x14ac:dyDescent="0.2">
      <c r="E110" s="101">
        <f>SUM(E101:E109)</f>
        <v>1</v>
      </c>
      <c r="O110" s="100"/>
      <c r="Q110" s="100"/>
      <c r="R110" s="100"/>
    </row>
    <row r="111" spans="1:18" x14ac:dyDescent="0.2">
      <c r="E111" s="98" t="s">
        <v>241</v>
      </c>
      <c r="F111" s="114">
        <f t="shared" ref="F111:N111" ca="1" si="35">SUM(F101:F109)</f>
        <v>1</v>
      </c>
      <c r="G111" s="114">
        <f t="shared" ca="1" si="35"/>
        <v>0</v>
      </c>
      <c r="H111" s="114">
        <f t="shared" ca="1" si="35"/>
        <v>0</v>
      </c>
      <c r="I111" s="114">
        <f t="shared" ca="1" si="35"/>
        <v>0</v>
      </c>
      <c r="J111" s="114">
        <f t="shared" ca="1" si="35"/>
        <v>0</v>
      </c>
      <c r="K111" s="114">
        <f t="shared" ca="1" si="35"/>
        <v>0</v>
      </c>
      <c r="L111" s="114">
        <f t="shared" ca="1" si="35"/>
        <v>0</v>
      </c>
      <c r="M111" s="114">
        <f t="shared" ca="1" si="35"/>
        <v>0</v>
      </c>
      <c r="N111" s="114">
        <f t="shared" ca="1" si="35"/>
        <v>0</v>
      </c>
      <c r="O111" s="106">
        <f ca="1">SUM(F111:N111)</f>
        <v>1</v>
      </c>
      <c r="Q111" s="120"/>
      <c r="R111" s="120"/>
    </row>
    <row r="112" spans="1:18" x14ac:dyDescent="0.2">
      <c r="E112" s="98" t="s">
        <v>243</v>
      </c>
      <c r="F112" s="115">
        <f ca="1">F100*F111+G100*G111+H100*H111+I100*I111+J111*J100+K111*K100+L111*L100+M111*M100+N111*N100</f>
        <v>0</v>
      </c>
      <c r="I112" s="100"/>
      <c r="J112" s="100"/>
      <c r="K112" s="106"/>
      <c r="O112" s="106"/>
      <c r="Q112" s="100"/>
      <c r="R112" s="100"/>
    </row>
    <row r="113" spans="1:18" x14ac:dyDescent="0.2">
      <c r="K113" s="106"/>
      <c r="O113" s="100"/>
      <c r="Q113" s="100"/>
      <c r="R113" s="100"/>
    </row>
    <row r="114" spans="1:18" x14ac:dyDescent="0.2">
      <c r="Q114" s="100"/>
      <c r="R114" s="100"/>
    </row>
    <row r="115" spans="1:18" x14ac:dyDescent="0.2">
      <c r="D115" s="100" t="s">
        <v>361</v>
      </c>
      <c r="E115" s="100"/>
      <c r="F115" s="106"/>
      <c r="G115" s="106"/>
      <c r="H115" s="106"/>
      <c r="I115" s="106"/>
      <c r="J115" s="106"/>
      <c r="K115" s="106"/>
      <c r="L115" s="106"/>
      <c r="M115" s="106"/>
      <c r="N115" s="106"/>
      <c r="Q115" s="100"/>
      <c r="R115" s="100"/>
    </row>
    <row r="116" spans="1:18" x14ac:dyDescent="0.2">
      <c r="D116" s="100" t="s">
        <v>362</v>
      </c>
      <c r="E116" s="119">
        <v>0</v>
      </c>
      <c r="F116" s="100">
        <v>1</v>
      </c>
      <c r="G116" s="100">
        <v>2</v>
      </c>
      <c r="H116" s="110">
        <v>3</v>
      </c>
      <c r="I116" s="110">
        <v>4</v>
      </c>
      <c r="J116" s="110">
        <v>5</v>
      </c>
      <c r="K116" s="110">
        <v>6</v>
      </c>
      <c r="L116" s="110">
        <v>7</v>
      </c>
      <c r="M116" s="110">
        <v>8</v>
      </c>
      <c r="N116" s="98" t="s">
        <v>99</v>
      </c>
      <c r="Q116" s="100"/>
      <c r="R116" s="100"/>
    </row>
    <row r="117" spans="1:18" x14ac:dyDescent="0.2">
      <c r="D117" s="100" t="s">
        <v>363</v>
      </c>
      <c r="E117" s="106">
        <f ca="1">F95*F111</f>
        <v>2.2329302500000016E-2</v>
      </c>
      <c r="F117" s="106">
        <f ca="1">F95*G111+G95*F111</f>
        <v>0.57506725250000001</v>
      </c>
      <c r="G117" s="106">
        <f ca="1">F95*H111+G95*G111+H95*F111</f>
        <v>0.33247016999999995</v>
      </c>
      <c r="H117" s="106">
        <f ca="1">F95*I111+G95*H111+H95*G111+I95*F111</f>
        <v>5.3843149999999992E-2</v>
      </c>
      <c r="I117" s="106">
        <f ca="1">F95*J111+G95*I111+H95*H111+I95*G111+J95*F111</f>
        <v>1.6290124999999999E-2</v>
      </c>
      <c r="J117" s="106">
        <f ca="1">F95*K111+G95*J111+H95*I111+I95*H111+J95*G111+K95*F111</f>
        <v>0</v>
      </c>
      <c r="K117" s="106">
        <f ca="1">F95*L111+G95*K111+H95*J111+I95*I111+J95*H111+K95*G111+L95*F111</f>
        <v>0</v>
      </c>
      <c r="L117" s="118">
        <f ca="1">F95*M111+G95*L111+H95*K111+I95*J111+J95*I111+K95*H111+L95*G111+M95*F111</f>
        <v>0</v>
      </c>
      <c r="M117" s="106">
        <f ca="1">F95*N111+G95*M111+H95*L111+I95*K111+J95*J111+K95*I111+L95*H111+M95*G111+N95*F111+G95*N111+H95*M111+I95*L111+J95*K111+K95*J111+L95*I111+M95*H111+N95*G111+H95*N111+I95*M111+J95*L111+K95*K111+L95*J111+M95*I111+N95*H111+I95*N111+J95*M111+K95*L111+L95*K111+M95*J111+N95*I111+J95*N111+K95*M111+L95*L111+M95*K111+N95*J111+K95*N111+L95*M111+M95*L111+N95*K111+L95*N111+M95*M111+N95*L111+M95*N111+N95*M111+N95*N111</f>
        <v>0</v>
      </c>
      <c r="N117" s="106">
        <f ca="1">SUM(E117:M117)</f>
        <v>0.99999999999999989</v>
      </c>
    </row>
    <row r="118" spans="1:18" x14ac:dyDescent="0.2">
      <c r="D118" s="110" t="s">
        <v>243</v>
      </c>
      <c r="E118" s="113">
        <f ca="1">E116*E117+F116*F117+G116*G117+H116*H117+I116*I117+J116*J117+K116*K117+L116*L117+M116*M117</f>
        <v>1.4666975425</v>
      </c>
    </row>
    <row r="119" spans="1:18" x14ac:dyDescent="0.2">
      <c r="D119" s="100"/>
      <c r="E119" s="106"/>
      <c r="F119" s="100"/>
      <c r="G119" s="100"/>
      <c r="H119" s="100"/>
    </row>
    <row r="120" spans="1:18" x14ac:dyDescent="0.2">
      <c r="D120" s="100"/>
      <c r="E120" s="100"/>
      <c r="F120" s="106"/>
      <c r="G120" s="106"/>
      <c r="H120" s="100"/>
    </row>
    <row r="121" spans="1:18" x14ac:dyDescent="0.2">
      <c r="A121" s="121" t="s">
        <v>367</v>
      </c>
    </row>
    <row r="123" spans="1:18" x14ac:dyDescent="0.2">
      <c r="A123" s="98" t="s">
        <v>239</v>
      </c>
      <c r="B123" s="99">
        <f ca="1">Data!G98</f>
        <v>0.95</v>
      </c>
      <c r="D123" s="100" t="s">
        <v>211</v>
      </c>
      <c r="E123" s="100"/>
      <c r="F123" s="100"/>
      <c r="G123" s="100"/>
      <c r="H123" s="100"/>
      <c r="I123" s="100"/>
    </row>
    <row r="124" spans="1:18" x14ac:dyDescent="0.2">
      <c r="A124" s="98" t="s">
        <v>191</v>
      </c>
      <c r="B124" s="101">
        <f ca="1">Data!G79</f>
        <v>0.39</v>
      </c>
      <c r="D124" s="98" t="s">
        <v>216</v>
      </c>
      <c r="E124" s="98" t="s">
        <v>240</v>
      </c>
      <c r="F124" s="102">
        <v>0</v>
      </c>
      <c r="G124" s="102">
        <v>1</v>
      </c>
      <c r="H124" s="102">
        <v>2</v>
      </c>
      <c r="I124" s="103">
        <v>3</v>
      </c>
      <c r="J124" s="103">
        <v>4</v>
      </c>
      <c r="K124" s="103">
        <v>5</v>
      </c>
      <c r="L124" s="103">
        <v>6</v>
      </c>
      <c r="M124" s="103">
        <v>7</v>
      </c>
      <c r="N124" s="103">
        <v>8</v>
      </c>
    </row>
    <row r="125" spans="1:18" x14ac:dyDescent="0.2">
      <c r="A125" s="98" t="s">
        <v>194</v>
      </c>
      <c r="B125" s="101">
        <f ca="1">Data!G80</f>
        <v>0.06</v>
      </c>
      <c r="D125" s="98">
        <v>0</v>
      </c>
      <c r="E125" s="105">
        <v>0</v>
      </c>
      <c r="F125" s="106">
        <f ca="1">IF($D125&gt;=F$124, POWER($B$123, F$124) * IF(ISERR(POWER((1-$B$123), $D125-F$124)), 1, POWER((1-$B$123), $D125-F$124)) * COMBIN($D125,F$124) * $E125, 0)</f>
        <v>0</v>
      </c>
      <c r="G125" s="106">
        <f t="shared" ref="G125:N131" si="36">IF($D125&gt;=G$124, POWER($B$123, G$124) * IF(ISERR(POWER((1-$B$123), $D125-G$124)), 1, POWER((1-$B$123), $D125-G$124)) * COMBIN($D125,G$124) * $E125, 0)</f>
        <v>0</v>
      </c>
      <c r="H125" s="106">
        <f t="shared" si="36"/>
        <v>0</v>
      </c>
      <c r="I125" s="106">
        <f t="shared" si="36"/>
        <v>0</v>
      </c>
      <c r="J125" s="106">
        <f t="shared" si="36"/>
        <v>0</v>
      </c>
      <c r="K125" s="106">
        <f t="shared" si="36"/>
        <v>0</v>
      </c>
      <c r="L125" s="106">
        <f t="shared" si="36"/>
        <v>0</v>
      </c>
      <c r="M125" s="106">
        <f t="shared" si="36"/>
        <v>0</v>
      </c>
      <c r="N125" s="106">
        <f t="shared" si="36"/>
        <v>0</v>
      </c>
    </row>
    <row r="126" spans="1:18" x14ac:dyDescent="0.2">
      <c r="A126" s="98" t="s">
        <v>196</v>
      </c>
      <c r="B126" s="101">
        <f ca="1">Data!G81</f>
        <v>0.02</v>
      </c>
      <c r="D126" s="98">
        <v>1</v>
      </c>
      <c r="E126" s="165">
        <f ca="1">(1-B126)*(1-B125)*(1-B124)*(1-B128)*(1-B127)*(1-B144)</f>
        <v>0.56193199999999988</v>
      </c>
      <c r="F126" s="106">
        <f ca="1">IF($D126&gt;=F124, POWER($B123, F124) * POWER((1-$B123), $D126-F124) * COMBIN($D126,F124) * $E126, 0) * (1 - B147*B148*(1-E139))</f>
        <v>2.1423657500000016E-2</v>
      </c>
      <c r="G126" s="106">
        <f ca="1">IF($D126&gt;=G124, POWER($B123, G124) * IF(ISERR(POWER((1-$B$123), $D126-G$124)), 1, POWER((1-$B$123), $D126-G$124)) * COMBIN($D126,G124) * $E126, 0) + IF($D126&gt;=F124, POWER($B123, F124) * IF(ISERR(POWER((1-$B$123), $D126-F$124)), 1, POWER((1-$B$123), $D126-F$124)) * COMBIN($D126,F124) * $E126, 0) * B147 * B148 * (1-E139)</f>
        <v>0.54050834249999991</v>
      </c>
      <c r="H126" s="106">
        <f t="shared" si="36"/>
        <v>0</v>
      </c>
      <c r="I126" s="106">
        <f t="shared" si="36"/>
        <v>0</v>
      </c>
      <c r="J126" s="106">
        <f t="shared" si="36"/>
        <v>0</v>
      </c>
      <c r="K126" s="106">
        <f t="shared" si="36"/>
        <v>0</v>
      </c>
      <c r="L126" s="106">
        <f t="shared" si="36"/>
        <v>0</v>
      </c>
      <c r="M126" s="106">
        <f t="shared" si="36"/>
        <v>0</v>
      </c>
      <c r="N126" s="106">
        <f t="shared" si="36"/>
        <v>0</v>
      </c>
    </row>
    <row r="127" spans="1:18" x14ac:dyDescent="0.2">
      <c r="A127" s="98" t="s">
        <v>351</v>
      </c>
      <c r="B127" s="101">
        <v>0</v>
      </c>
      <c r="D127" s="98">
        <v>2</v>
      </c>
      <c r="E127" s="165">
        <f ca="1">(1-B126)*(1-B125)*(1-B127)*(B124) + (1-B126)*(1-B125)*(1-B124)*(1-B127)*(B128)*(B129) + (1-B126)*(1-B125)*(1-B124)*(1-B127)*(1-B128)*(B144)*(B145) + (1-B126)*(1-B125)*(1-B124)*(1-B128)*(B127)</f>
        <v>0.35926799999999998</v>
      </c>
      <c r="F127" s="106">
        <f ca="1">IF($D127&gt;=F124, POWER($B123, F124) * POWER((1-$B123), $D127-F124) * COMBIN($D127,F124) * $E127, 0)</f>
        <v>8.9817000000000152E-4</v>
      </c>
      <c r="G127" s="106">
        <f ca="1">IF($D127&gt;=G124, POWER($B123, G124) * POWER((1-$B123), $D127-G124) * COMBIN($D127,G124) * $E127, 0)</f>
        <v>3.4130460000000029E-2</v>
      </c>
      <c r="H127" s="106">
        <f t="shared" ca="1" si="36"/>
        <v>0.32423936999999997</v>
      </c>
      <c r="I127" s="106">
        <f t="shared" si="36"/>
        <v>0</v>
      </c>
      <c r="J127" s="106">
        <f t="shared" si="36"/>
        <v>0</v>
      </c>
      <c r="K127" s="106">
        <f t="shared" si="36"/>
        <v>0</v>
      </c>
      <c r="L127" s="106">
        <f t="shared" si="36"/>
        <v>0</v>
      </c>
      <c r="M127" s="106">
        <f t="shared" si="36"/>
        <v>0</v>
      </c>
      <c r="N127" s="106">
        <f t="shared" si="36"/>
        <v>0</v>
      </c>
    </row>
    <row r="128" spans="1:18" x14ac:dyDescent="0.2">
      <c r="A128" s="98" t="s">
        <v>352</v>
      </c>
      <c r="B128" s="101">
        <f>IF(ISBLANK(Gear!$X$3), 0, VLOOKUP(Gear!$X$3, Weapon, MATCH("OAx", StatHeader, 0), 0))</f>
        <v>0</v>
      </c>
      <c r="D128" s="98">
        <v>3</v>
      </c>
      <c r="E128" s="165">
        <f ca="1">(1-B126)*(1-B127)*(B125) + (1-B126)*(1-B125)*(1-B124)*(1-B127)*(B128)*(B130) + (1-B126)*(1-B125)*(1-B124)*(1-B127)*(1-B128)*(B144)*(B146) + (1-B126)*(1-B125)*(B127)*(B124) + (1-B126)*(1-B125)*(1-B124)*(B127)*(B128)*(B129) + (1-B126)*(1-B125)*(1-B124)*(B127)*(B144)*(B145)</f>
        <v>5.8799999999999998E-2</v>
      </c>
      <c r="F128" s="106">
        <f ca="1">IF($D128&gt;=F124, POWER($B123, F124) * POWER((1-$B123), $D128-F124) * COMBIN($D128,F124) * $E128, 0)</f>
        <v>7.3500000000000194E-6</v>
      </c>
      <c r="G128" s="106">
        <f ca="1">IF($D128&gt;=G124, POWER($B123, G124) * POWER((1-$B123), $D128-G124) * COMBIN($D128,G124) * $E128, 0)</f>
        <v>4.1895000000000067E-4</v>
      </c>
      <c r="H128" s="106">
        <f ca="1">IF($D128&gt;=H124, POWER($B123, H124) * POWER((1-$B123), $D128-H124) * COMBIN($D128,H124) * $E128, 0)</f>
        <v>7.9600500000000084E-3</v>
      </c>
      <c r="I128" s="106">
        <f ca="1">IF($D128&gt;=I$124, POWER($B$123, I$124) * IF(ISERR(POWER((1-$B$123), $D128-I$124)), 1, POWER((1-$B$123), $D128-I$124)) * COMBIN($D128,I$124) * $E128, 0)</f>
        <v>5.041364999999999E-2</v>
      </c>
      <c r="J128" s="106">
        <f t="shared" si="36"/>
        <v>0</v>
      </c>
      <c r="K128" s="106">
        <f t="shared" si="36"/>
        <v>0</v>
      </c>
      <c r="L128" s="106">
        <f t="shared" si="36"/>
        <v>0</v>
      </c>
      <c r="M128" s="106">
        <f t="shared" si="36"/>
        <v>0</v>
      </c>
      <c r="N128" s="106">
        <f t="shared" si="36"/>
        <v>0</v>
      </c>
    </row>
    <row r="129" spans="1:15" x14ac:dyDescent="0.2">
      <c r="A129" s="98" t="s">
        <v>353</v>
      </c>
      <c r="B129" s="101">
        <f>IF(ISBLANK(Gear!$X$3), 0, VLOOKUP(Gear!$X$3, Weapon, MATCH(A129, StatHeader, 0), 0))</f>
        <v>0</v>
      </c>
      <c r="D129" s="98">
        <v>4</v>
      </c>
      <c r="E129" s="165">
        <f ca="1">(B126)*(1-B127) + (1-B126)*(B127)*(B125) + (1-B126)*(1-B125)*(1-B124)*(1-B127)*(B128)*(B131) + (1-B126)*(1-B125)*(1-B124)*(B127)*(B144)*(B146) + (1-B126)*(1-B125)*(1-B124)*(B127)*(B128)*(B130)</f>
        <v>0.02</v>
      </c>
      <c r="F129" s="106">
        <f ca="1">IF($D129&gt;=F124, POWER($B123, F124) * POWER((1-$B123), $D129-F124) * COMBIN($D129,F124) * $E129, 0)</f>
        <v>1.2500000000000044E-7</v>
      </c>
      <c r="G129" s="106">
        <f ca="1">IF($D129&gt;=G124, POWER($B123, G124) * POWER((1-$B123), $D129-G124) * COMBIN($D129,G124) * $E129, 0)</f>
        <v>9.5000000000000259E-6</v>
      </c>
      <c r="H129" s="106">
        <f ca="1">IF($D129&gt;=H124, POWER($B123, H124) * POWER((1-$B123), $D129-H124) * COMBIN($D129,H124) * $E129, 0)</f>
        <v>2.7075000000000048E-4</v>
      </c>
      <c r="I129" s="106">
        <f ca="1">IF($D129&gt;=I124, POWER($B123, I124) * POWER((1-$B123), $D129-I124) * COMBIN($D129,I124) * $E129, 0)</f>
        <v>3.4295000000000024E-3</v>
      </c>
      <c r="J129" s="106">
        <f t="shared" ca="1" si="36"/>
        <v>1.6290124999999999E-2</v>
      </c>
      <c r="K129" s="106">
        <f t="shared" si="36"/>
        <v>0</v>
      </c>
      <c r="L129" s="106">
        <f t="shared" si="36"/>
        <v>0</v>
      </c>
      <c r="M129" s="106">
        <f t="shared" si="36"/>
        <v>0</v>
      </c>
      <c r="N129" s="106">
        <f t="shared" si="36"/>
        <v>0</v>
      </c>
    </row>
    <row r="130" spans="1:15" x14ac:dyDescent="0.2">
      <c r="A130" s="98" t="s">
        <v>354</v>
      </c>
      <c r="B130" s="101">
        <f>IF(ISBLANK(Gear!$X$3), 0, VLOOKUP(Gear!$X$3, Weapon, MATCH(A130, StatHeader, 0), 0))</f>
        <v>0</v>
      </c>
      <c r="D130" s="98">
        <v>5</v>
      </c>
      <c r="E130" s="166">
        <f ca="1">(1-B126)*(1-B125)*(1-B124)*(1-B127)*(B128)*(B132) + (1-B126)*(1-B125)*(1-B124)*(B127)*(B128)*(B131) + (B126)*(B127)</f>
        <v>0</v>
      </c>
      <c r="F130" s="106">
        <f ca="1">IF($D130&gt;=F124, POWER($B123, F124) * POWER((1-$B123), $D130-F124) * COMBIN($D130,F124) * $E130, 0)</f>
        <v>0</v>
      </c>
      <c r="G130" s="106">
        <f ca="1">IF($D130&gt;=G124, POWER($B123, G124) * POWER((1-$B123), $D130-G124) * COMBIN($D130,G124) * $E130, 0)</f>
        <v>0</v>
      </c>
      <c r="H130" s="106">
        <f ca="1">IF($D130&gt;=H124, POWER($B123, H124) * POWER((1-$B123), $D130-H124) * COMBIN($D130,H124) * $E130, 0)</f>
        <v>0</v>
      </c>
      <c r="I130" s="106">
        <f ca="1">IF($D130&gt;=I124, POWER($B123, I124) * POWER((1-$B123), $D130-I124) * COMBIN($D130,I124) * $E130, 0)</f>
        <v>0</v>
      </c>
      <c r="J130" s="106">
        <f ca="1">IF($D130&gt;=J124, POWER($B123, J124) * POWER((1-$B123), $D130-J124) * COMBIN($D130,J124) * $E130, 0)</f>
        <v>0</v>
      </c>
      <c r="K130" s="106">
        <f ca="1">IF($D130&gt;=K$124, POWER($B$123, K$124) * IF(ISERR(POWER((1-$B$123), $D130-K$124)), 1, POWER((1-$B$123), $D130-K$124)) * COMBIN($D130,K$124) * $E130, 0)</f>
        <v>0</v>
      </c>
      <c r="L130" s="106">
        <f t="shared" si="36"/>
        <v>0</v>
      </c>
      <c r="M130" s="106">
        <f t="shared" si="36"/>
        <v>0</v>
      </c>
      <c r="N130" s="106">
        <f t="shared" si="36"/>
        <v>0</v>
      </c>
    </row>
    <row r="131" spans="1:15" x14ac:dyDescent="0.2">
      <c r="A131" s="98" t="s">
        <v>355</v>
      </c>
      <c r="B131" s="101">
        <f>IF(ISBLANK(Gear!$X$3), 0, VLOOKUP(Gear!$X$3, Weapon, MATCH(A131, StatHeader, 0), 0))</f>
        <v>0</v>
      </c>
      <c r="D131" s="100">
        <v>6</v>
      </c>
      <c r="E131" s="166">
        <f ca="1">(1-B126)*(1-B125)*(1-B124)*(1-B127)*(B128)*(B133) + (1-B126)*(1-B125)*(1-B124)*(B127)*(B128)*(B132)</f>
        <v>0</v>
      </c>
      <c r="F131" s="106">
        <f t="shared" ref="F131:K131" ca="1" si="37">IF($D131&gt;=F124, POWER($B123, F124) * POWER((1-$B123), $D131-F124) * COMBIN($D131,F124) * $E131, 0)</f>
        <v>0</v>
      </c>
      <c r="G131" s="106">
        <f t="shared" ca="1" si="37"/>
        <v>0</v>
      </c>
      <c r="H131" s="106">
        <f t="shared" ca="1" si="37"/>
        <v>0</v>
      </c>
      <c r="I131" s="106">
        <f t="shared" ca="1" si="37"/>
        <v>0</v>
      </c>
      <c r="J131" s="106">
        <f t="shared" ca="1" si="37"/>
        <v>0</v>
      </c>
      <c r="K131" s="106">
        <f t="shared" ca="1" si="37"/>
        <v>0</v>
      </c>
      <c r="L131" s="106">
        <f t="shared" ca="1" si="36"/>
        <v>0</v>
      </c>
      <c r="M131" s="106">
        <f t="shared" si="36"/>
        <v>0</v>
      </c>
      <c r="N131" s="106">
        <f t="shared" si="36"/>
        <v>0</v>
      </c>
    </row>
    <row r="132" spans="1:15" x14ac:dyDescent="0.2">
      <c r="A132" s="98" t="s">
        <v>356</v>
      </c>
      <c r="B132" s="101">
        <f>IF(ISBLANK(Gear!$X$3), 0, VLOOKUP(Gear!$X$3, Weapon, MATCH(A132, StatHeader, 0), 0))</f>
        <v>0</v>
      </c>
      <c r="D132" s="110">
        <v>7</v>
      </c>
      <c r="E132" s="165">
        <f ca="1">(1-B126)*(1-B125)*(1-B124)*(1-B127)*(B128)*(B134) + (1-B126)*(1-B125)*(1-B124)*(B127)*(B128)*(B133)</f>
        <v>0</v>
      </c>
      <c r="F132" s="106">
        <f t="shared" ref="F132:L132" ca="1" si="38">IF($D132&gt;=F124, POWER($B123, F124) * POWER((1-$B123), $D132-F124) * COMBIN($D132,F124) * $E132, 0)</f>
        <v>0</v>
      </c>
      <c r="G132" s="106">
        <f t="shared" ca="1" si="38"/>
        <v>0</v>
      </c>
      <c r="H132" s="106">
        <f t="shared" ca="1" si="38"/>
        <v>0</v>
      </c>
      <c r="I132" s="106">
        <f t="shared" ca="1" si="38"/>
        <v>0</v>
      </c>
      <c r="J132" s="106">
        <f t="shared" ca="1" si="38"/>
        <v>0</v>
      </c>
      <c r="K132" s="106">
        <f t="shared" ca="1" si="38"/>
        <v>0</v>
      </c>
      <c r="L132" s="106">
        <f t="shared" ca="1" si="38"/>
        <v>0</v>
      </c>
      <c r="M132" s="106">
        <f ca="1">IF($D132&gt;=M$124, POWER($B$123, M$124) * IF(ISERR(POWER((1-$B$123), $D132-M$124)), 1, POWER((1-$B$123), $D132-M$124)) * COMBIN($D132,M$124) * $E132, 0)</f>
        <v>0</v>
      </c>
      <c r="N132" s="106">
        <f>IF($D132&gt;=N$124, POWER($B$123, N$124) * IF(ISERR(POWER((1-$B$123), $D132-N$124)), 1, POWER((1-$B$123), $D132-N$124)) * COMBIN($D132,N$124) * $E132, 0)</f>
        <v>0</v>
      </c>
      <c r="O132" s="100"/>
    </row>
    <row r="133" spans="1:15" x14ac:dyDescent="0.2">
      <c r="A133" s="98" t="s">
        <v>357</v>
      </c>
      <c r="B133" s="101">
        <f>IF(ISBLANK(Gear!$X$3), 0, VLOOKUP(Gear!$X$3, Weapon, MATCH(A133, StatHeader, 0), 0))</f>
        <v>0</v>
      </c>
      <c r="D133" s="110">
        <v>8</v>
      </c>
      <c r="E133" s="165">
        <f ca="1">(1-B126)*(1-B125)*(1-B124)*(B128)*(B135) + (1-B126)*(1-B125)*(1-B124)*(B127)*(B128)*(B134)</f>
        <v>0</v>
      </c>
      <c r="F133" s="111">
        <f t="shared" ref="F133:M133" ca="1" si="39">IF($D133&gt;=F124, POWER($B123, F124) * POWER((1-$B123), $D133-F124) * COMBIN($D133,F124) * $E133, 0)</f>
        <v>0</v>
      </c>
      <c r="G133" s="112">
        <f t="shared" ca="1" si="39"/>
        <v>0</v>
      </c>
      <c r="H133" s="112">
        <f t="shared" ca="1" si="39"/>
        <v>0</v>
      </c>
      <c r="I133" s="112">
        <f t="shared" ca="1" si="39"/>
        <v>0</v>
      </c>
      <c r="J133" s="112">
        <f t="shared" ca="1" si="39"/>
        <v>0</v>
      </c>
      <c r="K133" s="112">
        <f t="shared" ca="1" si="39"/>
        <v>0</v>
      </c>
      <c r="L133" s="112">
        <f t="shared" ca="1" si="39"/>
        <v>0</v>
      </c>
      <c r="M133" s="112">
        <f t="shared" ca="1" si="39"/>
        <v>0</v>
      </c>
      <c r="N133" s="112">
        <f ca="1">IF($D133&gt;=N$124, POWER($B$123, N$124) * IF(ISERR(POWER((1-$B$123), $D133-N$124)), 1, POWER((1-$B$123), $D133-N$124)) * COMBIN($D133,N$124) * $E133, 0)</f>
        <v>0</v>
      </c>
      <c r="O133" s="100"/>
    </row>
    <row r="134" spans="1:15" x14ac:dyDescent="0.2">
      <c r="A134" s="98" t="s">
        <v>358</v>
      </c>
      <c r="B134" s="101">
        <f>IF(ISBLANK(Gear!$X$3), 0, VLOOKUP(Gear!$X$3, Weapon, MATCH(A134, StatHeader, 0), 0))</f>
        <v>0</v>
      </c>
      <c r="E134" s="101">
        <f ca="1">SUM(E125:E133)</f>
        <v>0.99999999999999978</v>
      </c>
      <c r="O134" s="106"/>
    </row>
    <row r="135" spans="1:15" x14ac:dyDescent="0.2">
      <c r="A135" s="98" t="s">
        <v>359</v>
      </c>
      <c r="B135" s="101">
        <f>IF(ISBLANK(Gear!$X$3), 0, VLOOKUP(Gear!$X$3, Weapon, MATCH(A135, StatHeader, 0), 0))</f>
        <v>0</v>
      </c>
      <c r="E135" s="98" t="s">
        <v>241</v>
      </c>
      <c r="F135" s="114">
        <f t="shared" ref="F135:N135" ca="1" si="40">SUM(F125:F133)</f>
        <v>2.2329302500000016E-2</v>
      </c>
      <c r="G135" s="114">
        <f t="shared" ca="1" si="40"/>
        <v>0.57506725250000001</v>
      </c>
      <c r="H135" s="114">
        <f t="shared" ca="1" si="40"/>
        <v>0.33247016999999995</v>
      </c>
      <c r="I135" s="114">
        <f t="shared" ca="1" si="40"/>
        <v>5.3843149999999992E-2</v>
      </c>
      <c r="J135" s="114">
        <f t="shared" ca="1" si="40"/>
        <v>1.6290124999999999E-2</v>
      </c>
      <c r="K135" s="114">
        <f t="shared" ca="1" si="40"/>
        <v>0</v>
      </c>
      <c r="L135" s="114">
        <f t="shared" ca="1" si="40"/>
        <v>0</v>
      </c>
      <c r="M135" s="114">
        <f t="shared" ca="1" si="40"/>
        <v>0</v>
      </c>
      <c r="N135" s="114">
        <f t="shared" ca="1" si="40"/>
        <v>0</v>
      </c>
      <c r="O135" s="106">
        <f ca="1">SUM(F135:N135)</f>
        <v>0.99999999999999989</v>
      </c>
    </row>
    <row r="136" spans="1:15" x14ac:dyDescent="0.2">
      <c r="A136" s="98" t="s">
        <v>360</v>
      </c>
      <c r="B136" s="101">
        <f>IF(ISBLANK(Gear!$X$3), 0, VLOOKUP(Gear!$X$3, Weapon, MATCH("OAx", StatHeader, 0), 0))</f>
        <v>0</v>
      </c>
      <c r="E136" s="106" t="s">
        <v>243</v>
      </c>
      <c r="F136" s="115">
        <f ca="1">F124*F135+G124*G135+H124*H135+I124*I135+J135*J124+K135*K124+L135*L124+M135*M124+N135*N124</f>
        <v>1.4666975425</v>
      </c>
      <c r="G136" s="106"/>
      <c r="H136" s="106"/>
      <c r="I136" s="106"/>
      <c r="O136" s="100"/>
    </row>
    <row r="137" spans="1:15" x14ac:dyDescent="0.2">
      <c r="A137" s="98" t="s">
        <v>353</v>
      </c>
      <c r="B137" s="101">
        <f>IF(ISBLANK(Gear!$X$3), 0, VLOOKUP(Gear!$X$3, Weapon, MATCH(A137, StatHeader, 0), 0))</f>
        <v>0</v>
      </c>
    </row>
    <row r="138" spans="1:15" x14ac:dyDescent="0.2">
      <c r="A138" s="98" t="s">
        <v>354</v>
      </c>
      <c r="B138" s="101">
        <f>IF(ISBLANK(Gear!$X$3), 0, VLOOKUP(Gear!$X$3, Weapon, MATCH(A138, StatHeader, 0), 0))</f>
        <v>0</v>
      </c>
    </row>
    <row r="139" spans="1:15" x14ac:dyDescent="0.2">
      <c r="A139" s="98" t="s">
        <v>355</v>
      </c>
      <c r="B139" s="101">
        <f>IF(ISBLANK(Gear!$X$3), 0, VLOOKUP(Gear!$X$3, Weapon, MATCH(A139, StatHeader, 0), 0))</f>
        <v>0</v>
      </c>
      <c r="D139" s="100" t="s">
        <v>215</v>
      </c>
      <c r="E139" s="100">
        <v>0</v>
      </c>
      <c r="F139" s="100"/>
      <c r="G139" s="100"/>
      <c r="H139" s="100"/>
      <c r="I139" s="100"/>
      <c r="J139" s="100"/>
    </row>
    <row r="140" spans="1:15" x14ac:dyDescent="0.2">
      <c r="A140" s="98" t="s">
        <v>356</v>
      </c>
      <c r="B140" s="101">
        <f>IF(ISBLANK(Gear!$X$3), 0, VLOOKUP(Gear!$X$3, Weapon, MATCH(A140, StatHeader, 0), 0))</f>
        <v>0</v>
      </c>
      <c r="D140" s="98" t="s">
        <v>216</v>
      </c>
      <c r="E140" s="98" t="s">
        <v>240</v>
      </c>
      <c r="F140" s="102">
        <v>0</v>
      </c>
      <c r="G140" s="102">
        <v>1</v>
      </c>
      <c r="H140" s="102">
        <v>2</v>
      </c>
      <c r="I140" s="103">
        <v>3</v>
      </c>
      <c r="J140" s="103">
        <v>4</v>
      </c>
      <c r="K140" s="103">
        <v>5</v>
      </c>
      <c r="L140" s="103">
        <v>6</v>
      </c>
      <c r="M140" s="103">
        <v>7</v>
      </c>
      <c r="N140" s="103">
        <v>8</v>
      </c>
      <c r="O140" s="100"/>
    </row>
    <row r="141" spans="1:15" x14ac:dyDescent="0.2">
      <c r="A141" s="98" t="s">
        <v>357</v>
      </c>
      <c r="B141" s="101">
        <f>IF(ISBLANK(Gear!$X$3), 0, VLOOKUP(Gear!$X$3, Weapon, MATCH(A141, StatHeader, 0), 0))</f>
        <v>0</v>
      </c>
      <c r="D141" s="98">
        <v>0</v>
      </c>
      <c r="E141" s="105">
        <f>IF(E139=0, 100%, 0)</f>
        <v>1</v>
      </c>
      <c r="F141" s="106">
        <f ca="1">IF($D141&gt;=F$140, POWER($B$123, F$140) * IF(ISERR(POWER((1-$B$123), $D141-F$140)), 1, POWER((1-$B$123), $D141-F$140)) * COMBIN($D141,F$140) * $E141, 0)</f>
        <v>1</v>
      </c>
      <c r="G141" s="106">
        <f t="shared" ref="G141:N148" si="41">IF($D141&gt;=G$140, POWER($B$123, G$140) * IF(ISERR(POWER((1-$B$123), $D141-G$140)), 1, POWER((1-$B$123), $D141-G$140)) * COMBIN($D141,G$140) * $E141, 0)</f>
        <v>0</v>
      </c>
      <c r="H141" s="106">
        <f t="shared" si="41"/>
        <v>0</v>
      </c>
      <c r="I141" s="106">
        <f t="shared" si="41"/>
        <v>0</v>
      </c>
      <c r="J141" s="106">
        <f t="shared" si="41"/>
        <v>0</v>
      </c>
      <c r="K141" s="106">
        <f t="shared" si="41"/>
        <v>0</v>
      </c>
      <c r="L141" s="106">
        <f t="shared" si="41"/>
        <v>0</v>
      </c>
      <c r="M141" s="106">
        <f t="shared" si="41"/>
        <v>0</v>
      </c>
      <c r="N141" s="106">
        <f t="shared" si="41"/>
        <v>0</v>
      </c>
      <c r="O141" s="100"/>
    </row>
    <row r="142" spans="1:15" x14ac:dyDescent="0.2">
      <c r="A142" s="98" t="s">
        <v>358</v>
      </c>
      <c r="B142" s="101">
        <f>IF(ISBLANK(Gear!$X$3), 0, VLOOKUP(Gear!$X$3, Weapon, MATCH(A142, StatHeader, 0), 0))</f>
        <v>0</v>
      </c>
      <c r="D142" s="98">
        <v>1</v>
      </c>
      <c r="E142" s="108">
        <f>IF(E139=1, (1-B126)*(1-B125)*(1-B124)*(1-B136), 0)</f>
        <v>0</v>
      </c>
      <c r="F142" s="106">
        <f ca="1">IF($D142&gt;=F140, POWER($B123, F140) * POWER((1-$B123), $D142-F140) * COMBIN($D142,F140) * $E142, 0)</f>
        <v>0</v>
      </c>
      <c r="G142" s="106">
        <f t="shared" ca="1" si="41"/>
        <v>0</v>
      </c>
      <c r="H142" s="106">
        <f t="shared" si="41"/>
        <v>0</v>
      </c>
      <c r="I142" s="106">
        <f t="shared" si="41"/>
        <v>0</v>
      </c>
      <c r="J142" s="106">
        <f t="shared" si="41"/>
        <v>0</v>
      </c>
      <c r="K142" s="106">
        <f t="shared" si="41"/>
        <v>0</v>
      </c>
      <c r="L142" s="106">
        <f t="shared" si="41"/>
        <v>0</v>
      </c>
      <c r="M142" s="106">
        <f t="shared" si="41"/>
        <v>0</v>
      </c>
      <c r="N142" s="106">
        <f t="shared" si="41"/>
        <v>0</v>
      </c>
      <c r="O142" s="100"/>
    </row>
    <row r="143" spans="1:15" x14ac:dyDescent="0.2">
      <c r="A143" s="98" t="s">
        <v>359</v>
      </c>
      <c r="B143" s="101">
        <f>IF(ISBLANK(Gear!$X$3), 0, VLOOKUP(Gear!$X$3, Weapon, MATCH(A143, StatHeader, 0), 0))</f>
        <v>0</v>
      </c>
      <c r="D143" s="98">
        <v>2</v>
      </c>
      <c r="E143" s="108">
        <f>IF(E139=1, (1-B126)*(1-B125)*(1-B124)*(B136)*(B137) + (1-B126)*(1-B125)*B124, 0)</f>
        <v>0</v>
      </c>
      <c r="F143" s="106">
        <f ca="1">IF($D143&gt;=F140, POWER($B123, F140) * POWER((1-$B123), $D143-F140) * COMBIN($D143,F140) * $E143, 0)</f>
        <v>0</v>
      </c>
      <c r="G143" s="106">
        <f ca="1">IF($D143&gt;=G140, POWER($B123, G140) * POWER((1-$B123), $D143-G140) * COMBIN($D143,G140) * $E143, 0)</f>
        <v>0</v>
      </c>
      <c r="H143" s="106">
        <f ca="1">IF($D143&gt;=H$140, POWER($B$123, H$140) * IF(ISERR(POWER((1-$B$123), $D143-H$140)), 1, POWER((1-$B$123), $D143-H$140)) * COMBIN($D143,H$140) * $E143, 0)</f>
        <v>0</v>
      </c>
      <c r="I143" s="106">
        <f t="shared" si="41"/>
        <v>0</v>
      </c>
      <c r="J143" s="106">
        <f t="shared" si="41"/>
        <v>0</v>
      </c>
      <c r="K143" s="106">
        <f t="shared" si="41"/>
        <v>0</v>
      </c>
      <c r="L143" s="106">
        <f t="shared" si="41"/>
        <v>0</v>
      </c>
      <c r="M143" s="106">
        <f t="shared" si="41"/>
        <v>0</v>
      </c>
      <c r="N143" s="106">
        <f t="shared" si="41"/>
        <v>0</v>
      </c>
      <c r="O143" s="100"/>
    </row>
    <row r="144" spans="1:15" x14ac:dyDescent="0.2">
      <c r="A144" t="s">
        <v>437</v>
      </c>
      <c r="B144" s="8">
        <f>IF(LEFT(Setup!$C$36,4)="Lv.3", IF(ISBLANK(Gear!$X$3), 0, VLOOKUP(Gear!$X$3, Weapon, MATCH(A144, StatHeader, 0), 0)), 0)</f>
        <v>0</v>
      </c>
      <c r="D144" s="98">
        <v>3</v>
      </c>
      <c r="E144" s="108">
        <f>IF(E139=1, (1-B126)*(1-B125)*(1-B124)*(B136)*(B138) + (1-B126)*(B125), 0)</f>
        <v>0</v>
      </c>
      <c r="F144" s="106">
        <f ca="1">IF($D144&gt;=F140, POWER($B123, F140) * POWER((1-$B123), $D144-F140) * COMBIN($D144,F140) * $E144, 0)</f>
        <v>0</v>
      </c>
      <c r="G144" s="106">
        <f ca="1">IF($D144&gt;=G140, POWER($B123, G140) * POWER((1-$B123), $D144-G140) * COMBIN($D144,G140) * $E144, 0)</f>
        <v>0</v>
      </c>
      <c r="H144" s="106">
        <f ca="1">IF($D144&gt;=H140, POWER($B123, H140) * POWER((1-$B123), $D144-H140) * COMBIN($D144,H140) * $E144, 0)</f>
        <v>0</v>
      </c>
      <c r="I144" s="106">
        <f t="shared" ca="1" si="41"/>
        <v>0</v>
      </c>
      <c r="J144" s="106">
        <f t="shared" si="41"/>
        <v>0</v>
      </c>
      <c r="K144" s="106">
        <f t="shared" si="41"/>
        <v>0</v>
      </c>
      <c r="L144" s="106">
        <f t="shared" si="41"/>
        <v>0</v>
      </c>
      <c r="M144" s="106">
        <f t="shared" si="41"/>
        <v>0</v>
      </c>
      <c r="N144" s="106">
        <f t="shared" si="41"/>
        <v>0</v>
      </c>
      <c r="O144" s="100"/>
    </row>
    <row r="145" spans="1:15" x14ac:dyDescent="0.2">
      <c r="A145" t="s">
        <v>438</v>
      </c>
      <c r="B145" s="8">
        <f>IF(LEFT(Setup!$C$36,4)="Lv.3", IF(ISBLANK(Gear!$X$3), 0, VLOOKUP(Gear!$X$3, Weapon, MATCH(A145, StatHeader, 0), 0)), 0)</f>
        <v>0</v>
      </c>
      <c r="D145" s="98">
        <v>4</v>
      </c>
      <c r="E145" s="108">
        <f>IF(E139=1, (1-B126)*(1-B125)*(1-B124)*(B136)*(B139) + (B126), 0)</f>
        <v>0</v>
      </c>
      <c r="F145" s="106">
        <f ca="1">IF($D145&gt;=F140, POWER($B123, F140) * POWER((1-$B123), $D145-F140) * COMBIN($D145,F140) * $E145, 0)</f>
        <v>0</v>
      </c>
      <c r="G145" s="106">
        <f ca="1">IF($D145&gt;=G140, POWER($B123, G140) * POWER((1-$B123), $D145-G140) * COMBIN($D145,G140) * $E145, 0)</f>
        <v>0</v>
      </c>
      <c r="H145" s="106">
        <f ca="1">IF($D145&gt;=H140, POWER($B123, H140) * POWER((1-$B123), $D145-H140) * COMBIN($D145,H140) * $E145, 0)</f>
        <v>0</v>
      </c>
      <c r="I145" s="106">
        <f ca="1">IF($D145&gt;=I140, POWER($B123, I140) * POWER((1-$B123), $D145-I140) * COMBIN($D145,I140) * $E145, 0)</f>
        <v>0</v>
      </c>
      <c r="J145" s="106">
        <f ca="1">IF($D145&gt;=J$140, POWER($B$123, J$140) * IF(ISERR(POWER((1-$B$123), $D145-J$140)), 1, POWER((1-$B$123), $D145-J$140)) * COMBIN($D145,J$140) * $E145, 0)</f>
        <v>0</v>
      </c>
      <c r="K145" s="106">
        <f t="shared" si="41"/>
        <v>0</v>
      </c>
      <c r="L145" s="106">
        <f t="shared" si="41"/>
        <v>0</v>
      </c>
      <c r="M145" s="106">
        <f t="shared" si="41"/>
        <v>0</v>
      </c>
      <c r="N145" s="106">
        <f t="shared" si="41"/>
        <v>0</v>
      </c>
      <c r="O145" s="100"/>
    </row>
    <row r="146" spans="1:15" x14ac:dyDescent="0.2">
      <c r="A146" t="s">
        <v>439</v>
      </c>
      <c r="B146" s="8">
        <f>IF(LEFT(Setup!$C$36,4)="Lv.3", IF(ISBLANK(Gear!$X$3), 0, VLOOKUP(Gear!$X$3, Weapon, MATCH(A146, StatHeader, 0), 0)), 0)</f>
        <v>0</v>
      </c>
      <c r="D146" s="98">
        <v>5</v>
      </c>
      <c r="E146" s="109">
        <f>IF(E139=1, (1-B126)*(1-B125)*(1-B124)*(B136)*(B140), 0)</f>
        <v>0</v>
      </c>
      <c r="F146" s="106">
        <f ca="1">IF($D146&gt;=F140, POWER($B123, F140) * POWER((1-$B123), $D146-F140) * COMBIN($D146,F140) * $E146, 0)</f>
        <v>0</v>
      </c>
      <c r="G146" s="106">
        <f ca="1">IF($D146&gt;=G140, POWER($B123, G140) * POWER((1-$B123), $D146-G140) * COMBIN($D146,G140) * $E146, 0)</f>
        <v>0</v>
      </c>
      <c r="H146" s="106">
        <f ca="1">IF($D146&gt;=H140, POWER($B123, H140) * POWER((1-$B123), $D146-H140) * COMBIN($D146,H140) * $E146, 0)</f>
        <v>0</v>
      </c>
      <c r="I146" s="106">
        <f ca="1">IF($D146&gt;=I140, POWER($B123, I140) * POWER((1-$B123), $D146-I140) * COMBIN($D146,I140) * $E146, 0)</f>
        <v>0</v>
      </c>
      <c r="J146" s="106">
        <f ca="1">IF($D146&gt;=J140, POWER($B123, J140) * POWER((1-$B123), $D146-J140) * COMBIN($D146,J140) * $E146, 0)</f>
        <v>0</v>
      </c>
      <c r="K146" s="106">
        <f t="shared" ca="1" si="41"/>
        <v>0</v>
      </c>
      <c r="L146" s="106">
        <f t="shared" si="41"/>
        <v>0</v>
      </c>
      <c r="M146" s="106">
        <f t="shared" si="41"/>
        <v>0</v>
      </c>
      <c r="N146" s="106">
        <f t="shared" si="41"/>
        <v>0</v>
      </c>
      <c r="O146" s="100"/>
    </row>
    <row r="147" spans="1:15" x14ac:dyDescent="0.2">
      <c r="A147" s="121" t="s">
        <v>365</v>
      </c>
      <c r="B147" s="101">
        <f ca="1">Data!G83</f>
        <v>0.25</v>
      </c>
      <c r="D147" s="117">
        <v>6</v>
      </c>
      <c r="E147" s="109">
        <f>IF(E139=1, (1-B126)*(1-B125)*(1-B124)*(B136)*(B141), 0)</f>
        <v>0</v>
      </c>
      <c r="F147" s="106">
        <f t="shared" ref="F147:K147" ca="1" si="42">IF($D147&gt;=F140, POWER($B123, F140) * POWER((1-$B123), $D147-F140) * COMBIN($D147,F140) * $E147, 0)</f>
        <v>0</v>
      </c>
      <c r="G147" s="106">
        <f t="shared" ca="1" si="42"/>
        <v>0</v>
      </c>
      <c r="H147" s="106">
        <f t="shared" ca="1" si="42"/>
        <v>0</v>
      </c>
      <c r="I147" s="106">
        <f t="shared" ca="1" si="42"/>
        <v>0</v>
      </c>
      <c r="J147" s="106">
        <f t="shared" ca="1" si="42"/>
        <v>0</v>
      </c>
      <c r="K147" s="106">
        <f t="shared" ca="1" si="42"/>
        <v>0</v>
      </c>
      <c r="L147" s="106">
        <f ca="1">IF($D147&gt;=L$140, POWER($B$123, L$140) * IF(ISERR(POWER((1-$B$123), $D147-L$140)), 1, POWER((1-$B$123), $D147-L$140)) * COMBIN($D147,L$140) * $E147, 0)</f>
        <v>0</v>
      </c>
      <c r="M147" s="106">
        <f t="shared" si="41"/>
        <v>0</v>
      </c>
      <c r="N147" s="106">
        <f t="shared" si="41"/>
        <v>0</v>
      </c>
      <c r="O147" s="100"/>
    </row>
    <row r="148" spans="1:15" x14ac:dyDescent="0.2">
      <c r="A148" s="121" t="s">
        <v>163</v>
      </c>
      <c r="B148" s="96">
        <f ca="1">Data!G99</f>
        <v>0.95</v>
      </c>
      <c r="D148" s="98">
        <v>7</v>
      </c>
      <c r="E148" s="109">
        <f>IF(E139=1, (1-B126)*(1-B125)*(1-B124)*(B136)*(B142), 0)</f>
        <v>0</v>
      </c>
      <c r="F148" s="106">
        <f t="shared" ref="F148:L148" ca="1" si="43">IF($D148&gt;=F140, POWER($B123, F140) * POWER((1-$B123), $D148-F140) * COMBIN($D148,F140) * $E148, 0)</f>
        <v>0</v>
      </c>
      <c r="G148" s="106">
        <f t="shared" ca="1" si="43"/>
        <v>0</v>
      </c>
      <c r="H148" s="106">
        <f t="shared" ca="1" si="43"/>
        <v>0</v>
      </c>
      <c r="I148" s="106">
        <f t="shared" ca="1" si="43"/>
        <v>0</v>
      </c>
      <c r="J148" s="106">
        <f t="shared" ca="1" si="43"/>
        <v>0</v>
      </c>
      <c r="K148" s="106">
        <f t="shared" ca="1" si="43"/>
        <v>0</v>
      </c>
      <c r="L148" s="106">
        <f t="shared" ca="1" si="43"/>
        <v>0</v>
      </c>
      <c r="M148" s="106">
        <f t="shared" ca="1" si="41"/>
        <v>0</v>
      </c>
      <c r="N148" s="106">
        <f t="shared" si="41"/>
        <v>0</v>
      </c>
      <c r="O148" s="100"/>
    </row>
    <row r="149" spans="1:15" x14ac:dyDescent="0.2">
      <c r="D149" s="98">
        <v>8</v>
      </c>
      <c r="E149" s="109">
        <f>IF(E139=1, (1-B126)*(1-B125)*(1-B124)*(B136)*(B143), 0)</f>
        <v>0</v>
      </c>
      <c r="F149" s="111">
        <f t="shared" ref="F149:M149" ca="1" si="44">IF($D149&gt;=F140, POWER($B123, F140) * POWER((1-$B123), $D149-F140) * COMBIN($D149,F140) * $E149, 0)</f>
        <v>0</v>
      </c>
      <c r="G149" s="112">
        <f t="shared" ca="1" si="44"/>
        <v>0</v>
      </c>
      <c r="H149" s="112">
        <f t="shared" ca="1" si="44"/>
        <v>0</v>
      </c>
      <c r="I149" s="112">
        <f t="shared" ca="1" si="44"/>
        <v>0</v>
      </c>
      <c r="J149" s="112">
        <f t="shared" ca="1" si="44"/>
        <v>0</v>
      </c>
      <c r="K149" s="112">
        <f t="shared" ca="1" si="44"/>
        <v>0</v>
      </c>
      <c r="L149" s="112">
        <f t="shared" ca="1" si="44"/>
        <v>0</v>
      </c>
      <c r="M149" s="112">
        <f t="shared" ca="1" si="44"/>
        <v>0</v>
      </c>
      <c r="N149" s="112">
        <f ca="1">IF($D149&gt;=N$140, POWER($B$123, N$140) * IF(ISERR(POWER((1-$B$123), $D149-N$140)), 1, POWER((1-$B$123), $D149-N$140)) * COMBIN($D149,N$140) * $E149, 0)</f>
        <v>0</v>
      </c>
      <c r="O149" s="100"/>
    </row>
    <row r="150" spans="1:15" x14ac:dyDescent="0.2">
      <c r="E150" s="101">
        <f>SUM(E141:E149)</f>
        <v>1</v>
      </c>
      <c r="O150" s="100"/>
    </row>
    <row r="151" spans="1:15" x14ac:dyDescent="0.2">
      <c r="E151" s="98" t="s">
        <v>241</v>
      </c>
      <c r="F151" s="114">
        <f t="shared" ref="F151:N151" ca="1" si="45">SUM(F141:F149)</f>
        <v>1</v>
      </c>
      <c r="G151" s="114">
        <f t="shared" ca="1" si="45"/>
        <v>0</v>
      </c>
      <c r="H151" s="114">
        <f t="shared" ca="1" si="45"/>
        <v>0</v>
      </c>
      <c r="I151" s="114">
        <f t="shared" ca="1" si="45"/>
        <v>0</v>
      </c>
      <c r="J151" s="114">
        <f t="shared" ca="1" si="45"/>
        <v>0</v>
      </c>
      <c r="K151" s="114">
        <f t="shared" ca="1" si="45"/>
        <v>0</v>
      </c>
      <c r="L151" s="114">
        <f t="shared" ca="1" si="45"/>
        <v>0</v>
      </c>
      <c r="M151" s="114">
        <f t="shared" ca="1" si="45"/>
        <v>0</v>
      </c>
      <c r="N151" s="114">
        <f t="shared" ca="1" si="45"/>
        <v>0</v>
      </c>
      <c r="O151" s="106">
        <f ca="1">SUM(F151:N151)</f>
        <v>1</v>
      </c>
    </row>
    <row r="152" spans="1:15" x14ac:dyDescent="0.2">
      <c r="E152" s="98" t="s">
        <v>243</v>
      </c>
      <c r="F152" s="115">
        <f ca="1">F140*F151+G140*G151+H140*H151+I140*I151+J151*J140+K151*K140+L151*L140+M151*M140+N151*N140</f>
        <v>0</v>
      </c>
      <c r="I152" s="100"/>
      <c r="J152" s="100"/>
      <c r="K152" s="106"/>
      <c r="O152" s="106"/>
    </row>
    <row r="153" spans="1:15" x14ac:dyDescent="0.2">
      <c r="K153" s="106"/>
      <c r="O153" s="100"/>
    </row>
    <row r="155" spans="1:15" x14ac:dyDescent="0.2">
      <c r="D155" s="100" t="s">
        <v>361</v>
      </c>
      <c r="E155" s="100"/>
      <c r="F155" s="106"/>
      <c r="G155" s="106"/>
      <c r="H155" s="106"/>
      <c r="I155" s="106"/>
      <c r="J155" s="106"/>
      <c r="K155" s="106"/>
      <c r="L155" s="106"/>
      <c r="M155" s="106"/>
      <c r="N155" s="106"/>
    </row>
    <row r="156" spans="1:15" x14ac:dyDescent="0.2">
      <c r="D156" s="100" t="s">
        <v>362</v>
      </c>
      <c r="E156" s="119">
        <v>0</v>
      </c>
      <c r="F156" s="100">
        <v>1</v>
      </c>
      <c r="G156" s="100">
        <v>2</v>
      </c>
      <c r="H156" s="110">
        <v>3</v>
      </c>
      <c r="I156" s="110">
        <v>4</v>
      </c>
      <c r="J156" s="110">
        <v>5</v>
      </c>
      <c r="K156" s="110">
        <v>6</v>
      </c>
      <c r="L156" s="110">
        <v>7</v>
      </c>
      <c r="M156" s="110">
        <v>8</v>
      </c>
      <c r="N156" s="98" t="s">
        <v>99</v>
      </c>
    </row>
    <row r="157" spans="1:15" x14ac:dyDescent="0.2">
      <c r="D157" s="100" t="s">
        <v>363</v>
      </c>
      <c r="E157" s="106">
        <f ca="1">F135*F151</f>
        <v>2.2329302500000016E-2</v>
      </c>
      <c r="F157" s="106">
        <f ca="1">F135*G151+G135*F151</f>
        <v>0.57506725250000001</v>
      </c>
      <c r="G157" s="106">
        <f ca="1">F135*H151+G135*G151+H135*F151</f>
        <v>0.33247016999999995</v>
      </c>
      <c r="H157" s="106">
        <f ca="1">F135*I151+G135*H151+H135*G151+I135*F151</f>
        <v>5.3843149999999992E-2</v>
      </c>
      <c r="I157" s="106">
        <f ca="1">F135*J151+G135*I151+H135*H151+I135*G151+J135*F151</f>
        <v>1.6290124999999999E-2</v>
      </c>
      <c r="J157" s="106">
        <f ca="1">F135*K151+G135*J151+H135*I151+I135*H151+J135*G151+K135*F151</f>
        <v>0</v>
      </c>
      <c r="K157" s="106">
        <f ca="1">F135*L151+G135*K151+H135*J151+I135*I151+J135*H151+K135*G151+L135*F151</f>
        <v>0</v>
      </c>
      <c r="L157" s="118">
        <f ca="1">F135*M151+G135*L151+H135*K151+I135*J151+J135*I151+K135*H151+L135*G151+M135*F151</f>
        <v>0</v>
      </c>
      <c r="M157" s="106">
        <f ca="1">F135*N151+G135*M151+H135*L151+I135*K151+J135*J151+K135*I151+L135*H151+M135*G151+N135*F151+G135*N151+H135*M151+I135*L151+J135*K151+K135*J151+L135*I151+M135*H151+N135*G151+H135*N151+I135*M151+J135*L151+K135*K151+L135*J151+M135*I151+N135*H151+I135*N151+J135*M151+K135*L151+L135*K151+M135*J151+N135*I151+J135*N151+K135*M151+L135*L151+M135*K151+N135*J151+K135*N151+L135*M151+M135*L151+N135*K151+L135*N151+M135*M151+N135*L151+M135*N151+N135*M151+N135*N151</f>
        <v>0</v>
      </c>
      <c r="N157" s="106">
        <f ca="1">SUM(E157:M157)</f>
        <v>0.99999999999999989</v>
      </c>
    </row>
    <row r="158" spans="1:15" x14ac:dyDescent="0.2">
      <c r="D158" s="110" t="s">
        <v>243</v>
      </c>
      <c r="E158" s="113">
        <f ca="1">E156*E157+F156*F157+G156*G157+H156*H157+I156*I157+J156*J157+K156*K157+L156*L157+M156*M157</f>
        <v>1.4666975425</v>
      </c>
    </row>
    <row r="159" spans="1:15" x14ac:dyDescent="0.2">
      <c r="D159" s="100"/>
      <c r="E159" s="106"/>
      <c r="F159" s="106"/>
      <c r="G159" s="106"/>
      <c r="H159" s="106"/>
      <c r="I159" s="106"/>
      <c r="J159" s="106"/>
      <c r="K159" s="106"/>
      <c r="L159" s="106"/>
      <c r="M159" s="106"/>
      <c r="N159" s="100"/>
    </row>
    <row r="161" spans="1:15" x14ac:dyDescent="0.2">
      <c r="A161" s="121" t="s">
        <v>368</v>
      </c>
    </row>
    <row r="163" spans="1:15" x14ac:dyDescent="0.2">
      <c r="A163" s="98" t="s">
        <v>239</v>
      </c>
      <c r="B163" s="99">
        <f ca="1">Data!H98</f>
        <v>0.95</v>
      </c>
      <c r="D163" s="100" t="s">
        <v>211</v>
      </c>
      <c r="E163" s="100"/>
      <c r="F163" s="100"/>
      <c r="G163" s="100"/>
      <c r="H163" s="100"/>
      <c r="I163" s="100"/>
    </row>
    <row r="164" spans="1:15" x14ac:dyDescent="0.2">
      <c r="A164" s="98" t="s">
        <v>191</v>
      </c>
      <c r="B164" s="101">
        <f ca="1">Data!H79</f>
        <v>0.39</v>
      </c>
      <c r="D164" s="98" t="s">
        <v>216</v>
      </c>
      <c r="E164" s="98" t="s">
        <v>240</v>
      </c>
      <c r="F164" s="102">
        <v>0</v>
      </c>
      <c r="G164" s="102">
        <v>1</v>
      </c>
      <c r="H164" s="102">
        <v>2</v>
      </c>
      <c r="I164" s="103">
        <v>3</v>
      </c>
      <c r="J164" s="103">
        <v>4</v>
      </c>
      <c r="K164" s="103">
        <v>5</v>
      </c>
      <c r="L164" s="103">
        <v>6</v>
      </c>
      <c r="M164" s="103">
        <v>7</v>
      </c>
      <c r="N164" s="103">
        <v>8</v>
      </c>
    </row>
    <row r="165" spans="1:15" x14ac:dyDescent="0.2">
      <c r="A165" s="98" t="s">
        <v>194</v>
      </c>
      <c r="B165" s="101">
        <f ca="1">Data!H80</f>
        <v>0.06</v>
      </c>
      <c r="D165" s="98">
        <v>0</v>
      </c>
      <c r="E165" s="105">
        <v>0</v>
      </c>
      <c r="F165" s="106">
        <f t="shared" ref="F165:N165" ca="1" si="46">IF($D165&gt;=F164, POWER($B163, F164) * POWER((1-$B163), $D165-F164) * COMBIN($D165,F164) * $E165, 0)</f>
        <v>0</v>
      </c>
      <c r="G165" s="106">
        <f t="shared" si="46"/>
        <v>0</v>
      </c>
      <c r="H165" s="106">
        <f t="shared" si="46"/>
        <v>0</v>
      </c>
      <c r="I165" s="106">
        <f t="shared" si="46"/>
        <v>0</v>
      </c>
      <c r="J165" s="106">
        <f t="shared" si="46"/>
        <v>0</v>
      </c>
      <c r="K165" s="106">
        <f t="shared" si="46"/>
        <v>0</v>
      </c>
      <c r="L165" s="106">
        <f t="shared" si="46"/>
        <v>0</v>
      </c>
      <c r="M165" s="106">
        <f t="shared" si="46"/>
        <v>0</v>
      </c>
      <c r="N165" s="106">
        <f t="shared" si="46"/>
        <v>0</v>
      </c>
    </row>
    <row r="166" spans="1:15" x14ac:dyDescent="0.2">
      <c r="A166" s="98" t="s">
        <v>196</v>
      </c>
      <c r="B166" s="101">
        <f ca="1">Data!H81</f>
        <v>0.02</v>
      </c>
      <c r="D166" s="98">
        <v>1</v>
      </c>
      <c r="E166" s="165">
        <f ca="1">(1-B166)*(1-B165)*(1-B164)*(1-B168)*(1-B167)*(1-B184)</f>
        <v>0.56193199999999988</v>
      </c>
      <c r="F166" s="106">
        <f ca="1">IF($D166&gt;=F164, POWER($B163, F164) * POWER((1-$B163), $D166-F164) * COMBIN($D166,F164) * $E166, 0) * (1 - B187*B188*(1-E179))</f>
        <v>2.1423657500000016E-2</v>
      </c>
      <c r="G166" s="106">
        <f ca="1">IF($D166&gt;=G164, POWER($B163, G164) * POWER((1-$B163), $D166-G164) * COMBIN($D166,G164) * $E166, 0) + IF($D166&gt;=F164, POWER($B163, F164) * POWER((1-$B163), $D166-F164) * COMBIN($D166,F164) * $E166, 0) * B187 * B188 * (1-E179)</f>
        <v>0.54050834249999991</v>
      </c>
      <c r="H166" s="106">
        <f t="shared" ref="H166:N166" si="47">IF($D166&gt;=H164, POWER($B163, H164) * POWER((1-$B163), $D166-H164) * COMBIN($D166,H164) * $E166, 0)</f>
        <v>0</v>
      </c>
      <c r="I166" s="106">
        <f t="shared" si="47"/>
        <v>0</v>
      </c>
      <c r="J166" s="106">
        <f t="shared" si="47"/>
        <v>0</v>
      </c>
      <c r="K166" s="106">
        <f t="shared" si="47"/>
        <v>0</v>
      </c>
      <c r="L166" s="106">
        <f t="shared" si="47"/>
        <v>0</v>
      </c>
      <c r="M166" s="106">
        <f t="shared" si="47"/>
        <v>0</v>
      </c>
      <c r="N166" s="106">
        <f t="shared" si="47"/>
        <v>0</v>
      </c>
    </row>
    <row r="167" spans="1:15" x14ac:dyDescent="0.2">
      <c r="A167" s="98" t="s">
        <v>351</v>
      </c>
      <c r="B167" s="101">
        <v>0</v>
      </c>
      <c r="D167" s="98">
        <v>2</v>
      </c>
      <c r="E167" s="165">
        <f ca="1">(1-B166)*(1-B165)*(1-B167)*(B164) + (1-B166)*(1-B165)*(1-B164)*(1-B167)*(B168)*(B169) + (1-B166)*(1-B165)*(1-B164)*(1-B167)*(1-B168)*(B184)*(B185) + (1-B166)*(1-B165)*(1-B164)*(1-B168)*(B167)</f>
        <v>0.35926799999999998</v>
      </c>
      <c r="F167" s="106">
        <f t="shared" ref="F167:N167" ca="1" si="48">IF($D167&gt;=F164, POWER($B163, F164) * POWER((1-$B163), $D167-F164) * COMBIN($D167,F164) * $E167, 0)</f>
        <v>8.9817000000000152E-4</v>
      </c>
      <c r="G167" s="106">
        <f t="shared" ca="1" si="48"/>
        <v>3.4130460000000029E-2</v>
      </c>
      <c r="H167" s="106">
        <f t="shared" ca="1" si="48"/>
        <v>0.32423936999999997</v>
      </c>
      <c r="I167" s="106">
        <f t="shared" si="48"/>
        <v>0</v>
      </c>
      <c r="J167" s="106">
        <f t="shared" si="48"/>
        <v>0</v>
      </c>
      <c r="K167" s="106">
        <f t="shared" si="48"/>
        <v>0</v>
      </c>
      <c r="L167" s="106">
        <f t="shared" si="48"/>
        <v>0</v>
      </c>
      <c r="M167" s="106">
        <f t="shared" si="48"/>
        <v>0</v>
      </c>
      <c r="N167" s="106">
        <f t="shared" si="48"/>
        <v>0</v>
      </c>
    </row>
    <row r="168" spans="1:15" x14ac:dyDescent="0.2">
      <c r="A168" s="98" t="s">
        <v>352</v>
      </c>
      <c r="B168" s="101">
        <f>IF(ISBLANK(Gear!$B$3), 0, VLOOKUP(Gear!$B$3, Weapon, MATCH("OAx", StatHeader, 0), 0))</f>
        <v>0</v>
      </c>
      <c r="D168" s="98">
        <v>3</v>
      </c>
      <c r="E168" s="165">
        <f ca="1">(1-B166)*(1-B167)*(B165) + (1-B166)*(1-B165)*(1-B164)*(1-B167)*(B168)*(B170) + (1-B166)*(1-B165)*(1-B164)*(1-B167)*(1-B168)*(B184)*(B186) + (1-B166)*(1-B165)*(B167)*(B164) + (1-B166)*(1-B165)*(1-B164)*(B167)*(B168)*(B169) + (1-B166)*(1-B165)*(1-B164)*(B167)*(B184)*(B185)</f>
        <v>5.8799999999999998E-2</v>
      </c>
      <c r="F168" s="106">
        <f t="shared" ref="F168:N168" ca="1" si="49">IF($D168&gt;=F164, POWER($B163, F164) * POWER((1-$B163), $D168-F164) * COMBIN($D168,F164) * $E168, 0)</f>
        <v>7.3500000000000194E-6</v>
      </c>
      <c r="G168" s="106">
        <f t="shared" ca="1" si="49"/>
        <v>4.1895000000000067E-4</v>
      </c>
      <c r="H168" s="106">
        <f t="shared" ca="1" si="49"/>
        <v>7.9600500000000084E-3</v>
      </c>
      <c r="I168" s="106">
        <f t="shared" ca="1" si="49"/>
        <v>5.041364999999999E-2</v>
      </c>
      <c r="J168" s="106">
        <f t="shared" si="49"/>
        <v>0</v>
      </c>
      <c r="K168" s="106">
        <f t="shared" si="49"/>
        <v>0</v>
      </c>
      <c r="L168" s="106">
        <f t="shared" si="49"/>
        <v>0</v>
      </c>
      <c r="M168" s="106">
        <f t="shared" si="49"/>
        <v>0</v>
      </c>
      <c r="N168" s="106">
        <f t="shared" si="49"/>
        <v>0</v>
      </c>
    </row>
    <row r="169" spans="1:15" x14ac:dyDescent="0.2">
      <c r="A169" s="98" t="s">
        <v>353</v>
      </c>
      <c r="B169" s="101">
        <f>IF(ISBLANK(Gear!$B$3), 0, VLOOKUP(Gear!$B$3, Weapon, MATCH(A169, StatHeader, 0), 0))</f>
        <v>0</v>
      </c>
      <c r="D169" s="98">
        <v>4</v>
      </c>
      <c r="E169" s="165">
        <f ca="1">(B166)*(1-B167) + (1-B166)*(B167)*(B165) + (1-B166)*(1-B165)*(1-B164)*(1-B167)*(B168)*(B171) + (1-B166)*(1-B165)*(1-B164)*(B167)*(B184)*(B186) + (1-B166)*(1-B165)*(1-B164)*(B167)*(B168)*(B170)</f>
        <v>0.02</v>
      </c>
      <c r="F169" s="106">
        <f t="shared" ref="F169:N169" ca="1" si="50">IF($D169&gt;=F164, POWER($B163, F164) * POWER((1-$B163), $D169-F164) * COMBIN($D169,F164) * $E169, 0)</f>
        <v>1.2500000000000044E-7</v>
      </c>
      <c r="G169" s="106">
        <f t="shared" ca="1" si="50"/>
        <v>9.5000000000000259E-6</v>
      </c>
      <c r="H169" s="106">
        <f t="shared" ca="1" si="50"/>
        <v>2.7075000000000048E-4</v>
      </c>
      <c r="I169" s="106">
        <f t="shared" ca="1" si="50"/>
        <v>3.4295000000000024E-3</v>
      </c>
      <c r="J169" s="106">
        <f t="shared" ca="1" si="50"/>
        <v>1.6290124999999999E-2</v>
      </c>
      <c r="K169" s="106">
        <f t="shared" si="50"/>
        <v>0</v>
      </c>
      <c r="L169" s="106">
        <f t="shared" si="50"/>
        <v>0</v>
      </c>
      <c r="M169" s="106">
        <f t="shared" si="50"/>
        <v>0</v>
      </c>
      <c r="N169" s="106">
        <f t="shared" si="50"/>
        <v>0</v>
      </c>
    </row>
    <row r="170" spans="1:15" x14ac:dyDescent="0.2">
      <c r="A170" s="98" t="s">
        <v>354</v>
      </c>
      <c r="B170" s="101">
        <f>IF(ISBLANK(Gear!$B$3), 0, VLOOKUP(Gear!$B$3, Weapon, MATCH(A170, StatHeader, 0), 0))</f>
        <v>0</v>
      </c>
      <c r="D170" s="98">
        <v>5</v>
      </c>
      <c r="E170" s="166">
        <f ca="1">(1-B166)*(1-B165)*(1-B164)*(1-B167)*(B168)*(B172) + (1-B166)*(1-B165)*(1-B164)*(B167)*(B168)*(B171) + (B166)*(B167)</f>
        <v>0</v>
      </c>
      <c r="F170" s="106">
        <f t="shared" ref="F170:N170" ca="1" si="51">IF($D170&gt;=F164, POWER($B163, F164) * POWER((1-$B163), $D170-F164) * COMBIN($D170,F164) * $E170, 0)</f>
        <v>0</v>
      </c>
      <c r="G170" s="106">
        <f t="shared" ca="1" si="51"/>
        <v>0</v>
      </c>
      <c r="H170" s="106">
        <f t="shared" ca="1" si="51"/>
        <v>0</v>
      </c>
      <c r="I170" s="106">
        <f t="shared" ca="1" si="51"/>
        <v>0</v>
      </c>
      <c r="J170" s="106">
        <f t="shared" ca="1" si="51"/>
        <v>0</v>
      </c>
      <c r="K170" s="106">
        <f t="shared" ca="1" si="51"/>
        <v>0</v>
      </c>
      <c r="L170" s="106">
        <f t="shared" si="51"/>
        <v>0</v>
      </c>
      <c r="M170" s="106">
        <f t="shared" si="51"/>
        <v>0</v>
      </c>
      <c r="N170" s="106">
        <f t="shared" si="51"/>
        <v>0</v>
      </c>
    </row>
    <row r="171" spans="1:15" x14ac:dyDescent="0.2">
      <c r="A171" s="98" t="s">
        <v>355</v>
      </c>
      <c r="B171" s="101">
        <f>IF(ISBLANK(Gear!$B$3), 0, VLOOKUP(Gear!$B$3, Weapon, MATCH(A171, StatHeader, 0), 0))</f>
        <v>0</v>
      </c>
      <c r="D171" s="100">
        <v>6</v>
      </c>
      <c r="E171" s="166">
        <f ca="1">(1-B166)*(1-B165)*(1-B164)*(1-B167)*(B168)*(B173) + (1-B166)*(1-B165)*(1-B164)*(B167)*(B168)*(B172)</f>
        <v>0</v>
      </c>
      <c r="F171" s="106">
        <f t="shared" ref="F171:N171" ca="1" si="52">IF($D171&gt;=F164, POWER($B163, F164) * POWER((1-$B163), $D171-F164) * COMBIN($D171,F164) * $E171, 0)</f>
        <v>0</v>
      </c>
      <c r="G171" s="106">
        <f t="shared" ca="1" si="52"/>
        <v>0</v>
      </c>
      <c r="H171" s="106">
        <f t="shared" ca="1" si="52"/>
        <v>0</v>
      </c>
      <c r="I171" s="106">
        <f t="shared" ca="1" si="52"/>
        <v>0</v>
      </c>
      <c r="J171" s="106">
        <f t="shared" ca="1" si="52"/>
        <v>0</v>
      </c>
      <c r="K171" s="106">
        <f t="shared" ca="1" si="52"/>
        <v>0</v>
      </c>
      <c r="L171" s="106">
        <f t="shared" ca="1" si="52"/>
        <v>0</v>
      </c>
      <c r="M171" s="106">
        <f t="shared" si="52"/>
        <v>0</v>
      </c>
      <c r="N171" s="106">
        <f t="shared" si="52"/>
        <v>0</v>
      </c>
    </row>
    <row r="172" spans="1:15" x14ac:dyDescent="0.2">
      <c r="A172" s="98" t="s">
        <v>356</v>
      </c>
      <c r="B172" s="101">
        <f>IF(ISBLANK(Gear!$B$3), 0, VLOOKUP(Gear!$B$3, Weapon, MATCH(A172, StatHeader, 0), 0))</f>
        <v>0</v>
      </c>
      <c r="D172" s="110">
        <v>7</v>
      </c>
      <c r="E172" s="165">
        <f ca="1">(1-B166)*(1-B165)*(1-B164)*(1-B167)*(B168)*(B174) + (1-B166)*(1-B165)*(1-B164)*(B167)*(B168)*(B173)</f>
        <v>0</v>
      </c>
      <c r="F172" s="106">
        <f t="shared" ref="F172:N172" ca="1" si="53">IF($D172&gt;=F164, POWER($B163, F164) * POWER((1-$B163), $D172-F164) * COMBIN($D172,F164) * $E172, 0)</f>
        <v>0</v>
      </c>
      <c r="G172" s="106">
        <f t="shared" ca="1" si="53"/>
        <v>0</v>
      </c>
      <c r="H172" s="106">
        <f t="shared" ca="1" si="53"/>
        <v>0</v>
      </c>
      <c r="I172" s="106">
        <f t="shared" ca="1" si="53"/>
        <v>0</v>
      </c>
      <c r="J172" s="106">
        <f t="shared" ca="1" si="53"/>
        <v>0</v>
      </c>
      <c r="K172" s="106">
        <f t="shared" ca="1" si="53"/>
        <v>0</v>
      </c>
      <c r="L172" s="106">
        <f t="shared" ca="1" si="53"/>
        <v>0</v>
      </c>
      <c r="M172" s="106">
        <f t="shared" ca="1" si="53"/>
        <v>0</v>
      </c>
      <c r="N172" s="106">
        <f t="shared" si="53"/>
        <v>0</v>
      </c>
      <c r="O172" s="100"/>
    </row>
    <row r="173" spans="1:15" x14ac:dyDescent="0.2">
      <c r="A173" s="98" t="s">
        <v>357</v>
      </c>
      <c r="B173" s="101">
        <f>IF(ISBLANK(Gear!$B$3), 0, VLOOKUP(Gear!$B$3, Weapon, MATCH(A173, StatHeader, 0), 0))</f>
        <v>0</v>
      </c>
      <c r="D173" s="110">
        <v>8</v>
      </c>
      <c r="E173" s="165">
        <f ca="1">(1-B166)*(1-B165)*(1-B164)*(B168)*(B175) + (1-B166)*(1-B165)*(1-B164)*(B167)*(B168)*(B174)</f>
        <v>0</v>
      </c>
      <c r="F173" s="111">
        <f t="shared" ref="F173:N173" ca="1" si="54">IF($D173&gt;=F164, POWER($B163, F164) * POWER((1-$B163), $D173-F164) * COMBIN($D173,F164) * $E173, 0)</f>
        <v>0</v>
      </c>
      <c r="G173" s="112">
        <f t="shared" ca="1" si="54"/>
        <v>0</v>
      </c>
      <c r="H173" s="112">
        <f t="shared" ca="1" si="54"/>
        <v>0</v>
      </c>
      <c r="I173" s="112">
        <f t="shared" ca="1" si="54"/>
        <v>0</v>
      </c>
      <c r="J173" s="112">
        <f t="shared" ca="1" si="54"/>
        <v>0</v>
      </c>
      <c r="K173" s="112">
        <f t="shared" ca="1" si="54"/>
        <v>0</v>
      </c>
      <c r="L173" s="112">
        <f t="shared" ca="1" si="54"/>
        <v>0</v>
      </c>
      <c r="M173" s="112">
        <f t="shared" ca="1" si="54"/>
        <v>0</v>
      </c>
      <c r="N173" s="112">
        <f t="shared" ca="1" si="54"/>
        <v>0</v>
      </c>
      <c r="O173" s="100"/>
    </row>
    <row r="174" spans="1:15" x14ac:dyDescent="0.2">
      <c r="A174" s="98" t="s">
        <v>358</v>
      </c>
      <c r="B174" s="101">
        <f>IF(ISBLANK(Gear!$B$3), 0, VLOOKUP(Gear!$B$3, Weapon, MATCH(A174, StatHeader, 0), 0))</f>
        <v>0</v>
      </c>
      <c r="E174" s="101">
        <f ca="1">SUM(E165:E173)</f>
        <v>0.99999999999999978</v>
      </c>
      <c r="O174" s="106"/>
    </row>
    <row r="175" spans="1:15" x14ac:dyDescent="0.2">
      <c r="A175" s="98" t="s">
        <v>359</v>
      </c>
      <c r="B175" s="101">
        <f>IF(ISBLANK(Gear!$B$3), 0, VLOOKUP(Gear!$B$3, Weapon, MATCH(A175, StatHeader, 0), 0))</f>
        <v>0</v>
      </c>
      <c r="E175" s="98" t="s">
        <v>241</v>
      </c>
      <c r="F175" s="114">
        <f t="shared" ref="F175:N175" ca="1" si="55">SUM(F165:F173)</f>
        <v>2.2329302500000016E-2</v>
      </c>
      <c r="G175" s="114">
        <f t="shared" ca="1" si="55"/>
        <v>0.57506725250000001</v>
      </c>
      <c r="H175" s="114">
        <f t="shared" ca="1" si="55"/>
        <v>0.33247016999999995</v>
      </c>
      <c r="I175" s="114">
        <f t="shared" ca="1" si="55"/>
        <v>5.3843149999999992E-2</v>
      </c>
      <c r="J175" s="114">
        <f t="shared" ca="1" si="55"/>
        <v>1.6290124999999999E-2</v>
      </c>
      <c r="K175" s="114">
        <f t="shared" ca="1" si="55"/>
        <v>0</v>
      </c>
      <c r="L175" s="114">
        <f t="shared" ca="1" si="55"/>
        <v>0</v>
      </c>
      <c r="M175" s="114">
        <f t="shared" ca="1" si="55"/>
        <v>0</v>
      </c>
      <c r="N175" s="114">
        <f t="shared" ca="1" si="55"/>
        <v>0</v>
      </c>
      <c r="O175" s="106">
        <f ca="1">SUM(F175:N175)</f>
        <v>0.99999999999999989</v>
      </c>
    </row>
    <row r="176" spans="1:15" x14ac:dyDescent="0.2">
      <c r="A176" s="98" t="s">
        <v>360</v>
      </c>
      <c r="B176" s="101">
        <f>IF(ISBLANK(Gear!$B$3), 0, VLOOKUP(Gear!$B$3, Weapon, MATCH("OAx", StatHeader, 0), 0))</f>
        <v>0</v>
      </c>
      <c r="E176" s="106" t="s">
        <v>243</v>
      </c>
      <c r="F176" s="115">
        <f ca="1">F164*F175+G164*G175+H164*H175+I164*I175+J175*J164+K175*K164+L175*L164+M175*M164+N175*N164</f>
        <v>1.4666975425</v>
      </c>
      <c r="G176" s="106"/>
      <c r="H176" s="106"/>
      <c r="I176" s="106"/>
      <c r="O176" s="100"/>
    </row>
    <row r="177" spans="1:15" x14ac:dyDescent="0.2">
      <c r="A177" s="98" t="s">
        <v>353</v>
      </c>
      <c r="B177" s="101">
        <f>IF(ISBLANK(Gear!$B$3), 0, VLOOKUP(Gear!$B$3, Weapon, MATCH(A177, StatHeader, 0), 0))</f>
        <v>0</v>
      </c>
      <c r="F177"/>
      <c r="G177"/>
      <c r="H177"/>
    </row>
    <row r="178" spans="1:15" x14ac:dyDescent="0.2">
      <c r="A178" s="98" t="s">
        <v>354</v>
      </c>
      <c r="B178" s="101">
        <f>IF(ISBLANK(Gear!$B$3), 0, VLOOKUP(Gear!$B$3, Weapon, MATCH(A178, StatHeader, 0), 0))</f>
        <v>0</v>
      </c>
      <c r="F178" s="88"/>
      <c r="G178" s="63"/>
      <c r="H178" s="63"/>
    </row>
    <row r="179" spans="1:15" x14ac:dyDescent="0.2">
      <c r="A179" s="98" t="s">
        <v>355</v>
      </c>
      <c r="B179" s="101">
        <f>IF(ISBLANK(Gear!$B$3), 0, VLOOKUP(Gear!$B$3, Weapon, MATCH(A179, StatHeader, 0), 0))</f>
        <v>0</v>
      </c>
      <c r="D179" s="100" t="s">
        <v>215</v>
      </c>
      <c r="E179" s="100">
        <v>0</v>
      </c>
      <c r="F179" s="100"/>
      <c r="G179" s="100"/>
      <c r="H179" s="100"/>
      <c r="I179" s="100"/>
      <c r="J179" s="100"/>
    </row>
    <row r="180" spans="1:15" x14ac:dyDescent="0.2">
      <c r="A180" s="98" t="s">
        <v>356</v>
      </c>
      <c r="B180" s="101">
        <f>IF(ISBLANK(Gear!$B$3), 0, VLOOKUP(Gear!$B$3, Weapon, MATCH(A180, StatHeader, 0), 0))</f>
        <v>0</v>
      </c>
      <c r="D180" s="98" t="s">
        <v>216</v>
      </c>
      <c r="E180" s="98" t="s">
        <v>240</v>
      </c>
      <c r="F180" s="102">
        <v>0</v>
      </c>
      <c r="G180" s="102">
        <v>1</v>
      </c>
      <c r="H180" s="102">
        <v>2</v>
      </c>
      <c r="I180" s="103">
        <v>3</v>
      </c>
      <c r="J180" s="103">
        <v>4</v>
      </c>
      <c r="K180" s="103">
        <v>5</v>
      </c>
      <c r="L180" s="103">
        <v>6</v>
      </c>
      <c r="M180" s="103">
        <v>7</v>
      </c>
      <c r="N180" s="103">
        <v>8</v>
      </c>
      <c r="O180" s="100"/>
    </row>
    <row r="181" spans="1:15" x14ac:dyDescent="0.2">
      <c r="A181" s="98" t="s">
        <v>357</v>
      </c>
      <c r="B181" s="101">
        <f>IF(ISBLANK(Gear!$B$3), 0, VLOOKUP(Gear!$B$3, Weapon, MATCH(A181, StatHeader, 0), 0))</f>
        <v>0</v>
      </c>
      <c r="D181" s="98">
        <v>0</v>
      </c>
      <c r="E181" s="105">
        <f>IF(E179=0, 100%, 0)</f>
        <v>1</v>
      </c>
      <c r="F181" s="106">
        <f t="shared" ref="F181:N181" ca="1" si="56">IF($D181&gt;=F180, POWER($B163, F180) * POWER((1-$B163), $D181-F180) * COMBIN($D181,F180) * $E181, 0)</f>
        <v>1</v>
      </c>
      <c r="G181" s="106">
        <f t="shared" si="56"/>
        <v>0</v>
      </c>
      <c r="H181" s="106">
        <f t="shared" si="56"/>
        <v>0</v>
      </c>
      <c r="I181" s="106">
        <f t="shared" si="56"/>
        <v>0</v>
      </c>
      <c r="J181" s="106">
        <f t="shared" si="56"/>
        <v>0</v>
      </c>
      <c r="K181" s="106">
        <f t="shared" si="56"/>
        <v>0</v>
      </c>
      <c r="L181" s="106">
        <f t="shared" si="56"/>
        <v>0</v>
      </c>
      <c r="M181" s="106">
        <f t="shared" si="56"/>
        <v>0</v>
      </c>
      <c r="N181" s="106">
        <f t="shared" si="56"/>
        <v>0</v>
      </c>
      <c r="O181" s="100"/>
    </row>
    <row r="182" spans="1:15" x14ac:dyDescent="0.2">
      <c r="A182" s="98" t="s">
        <v>358</v>
      </c>
      <c r="B182" s="101">
        <f>IF(ISBLANK(Gear!$B$3), 0, VLOOKUP(Gear!$B$3, Weapon, MATCH(A182, StatHeader, 0), 0))</f>
        <v>0</v>
      </c>
      <c r="D182" s="98">
        <v>1</v>
      </c>
      <c r="E182" s="108">
        <f>IF(E179=1, (1-B166)*(1-B165)*(1-B164)*(1-B176), 0)</f>
        <v>0</v>
      </c>
      <c r="F182" s="106">
        <f t="shared" ref="F182:N182" ca="1" si="57">IF($D182&gt;=F180, POWER($B163, F180) * POWER((1-$B163), $D182-F180) * COMBIN($D182,F180) * $E182, 0)</f>
        <v>0</v>
      </c>
      <c r="G182" s="106">
        <f t="shared" ca="1" si="57"/>
        <v>0</v>
      </c>
      <c r="H182" s="106">
        <f t="shared" si="57"/>
        <v>0</v>
      </c>
      <c r="I182" s="106">
        <f t="shared" si="57"/>
        <v>0</v>
      </c>
      <c r="J182" s="106">
        <f t="shared" si="57"/>
        <v>0</v>
      </c>
      <c r="K182" s="106">
        <f t="shared" si="57"/>
        <v>0</v>
      </c>
      <c r="L182" s="106">
        <f t="shared" si="57"/>
        <v>0</v>
      </c>
      <c r="M182" s="106">
        <f t="shared" si="57"/>
        <v>0</v>
      </c>
      <c r="N182" s="106">
        <f t="shared" si="57"/>
        <v>0</v>
      </c>
      <c r="O182" s="100"/>
    </row>
    <row r="183" spans="1:15" x14ac:dyDescent="0.2">
      <c r="A183" s="98" t="s">
        <v>359</v>
      </c>
      <c r="B183" s="101">
        <f>IF(ISBLANK(Gear!$B$3), 0, VLOOKUP(Gear!$B$3, Weapon, MATCH(A183, StatHeader, 0), 0))</f>
        <v>0</v>
      </c>
      <c r="D183" s="98">
        <v>2</v>
      </c>
      <c r="E183" s="108">
        <f>IF(E179=1, (1-B166)*(1-B165)*(1-B164)*(B176)*(B177) + (1-B166)*(1-B165)*B164, 0)</f>
        <v>0</v>
      </c>
      <c r="F183" s="106">
        <f t="shared" ref="F183:N183" ca="1" si="58">IF($D183&gt;=F180, POWER($B163, F180) * POWER((1-$B163), $D183-F180) * COMBIN($D183,F180) * $E183, 0)</f>
        <v>0</v>
      </c>
      <c r="G183" s="106">
        <f t="shared" ca="1" si="58"/>
        <v>0</v>
      </c>
      <c r="H183" s="106">
        <f t="shared" ca="1" si="58"/>
        <v>0</v>
      </c>
      <c r="I183" s="106">
        <f t="shared" si="58"/>
        <v>0</v>
      </c>
      <c r="J183" s="106">
        <f t="shared" si="58"/>
        <v>0</v>
      </c>
      <c r="K183" s="106">
        <f t="shared" si="58"/>
        <v>0</v>
      </c>
      <c r="L183" s="106">
        <f t="shared" si="58"/>
        <v>0</v>
      </c>
      <c r="M183" s="106">
        <f t="shared" si="58"/>
        <v>0</v>
      </c>
      <c r="N183" s="106">
        <f t="shared" si="58"/>
        <v>0</v>
      </c>
      <c r="O183" s="100"/>
    </row>
    <row r="184" spans="1:15" x14ac:dyDescent="0.2">
      <c r="A184" t="s">
        <v>437</v>
      </c>
      <c r="B184" s="8">
        <f>IF(LEFT(Setup!$B$36,4)="Lv.3", IF(ISBLANK(Gear!$B$3), 0, VLOOKUP(Gear!$B$3, Weapon, MATCH(A184, StatHeader, 0), 0)), 0)</f>
        <v>0</v>
      </c>
      <c r="D184" s="98">
        <v>3</v>
      </c>
      <c r="E184" s="108">
        <f>IF(E179=1, (1-B166)*(1-B165)*(1-B164)*(B176)*(B178) + (1-B166)*(B165), 0)</f>
        <v>0</v>
      </c>
      <c r="F184" s="106">
        <f t="shared" ref="F184:N184" ca="1" si="59">IF($D184&gt;=F180, POWER($B163, F180) * POWER((1-$B163), $D184-F180) * COMBIN($D184,F180) * $E184, 0)</f>
        <v>0</v>
      </c>
      <c r="G184" s="106">
        <f t="shared" ca="1" si="59"/>
        <v>0</v>
      </c>
      <c r="H184" s="106">
        <f t="shared" ca="1" si="59"/>
        <v>0</v>
      </c>
      <c r="I184" s="106">
        <f t="shared" ca="1" si="59"/>
        <v>0</v>
      </c>
      <c r="J184" s="106">
        <f t="shared" si="59"/>
        <v>0</v>
      </c>
      <c r="K184" s="106">
        <f t="shared" si="59"/>
        <v>0</v>
      </c>
      <c r="L184" s="106">
        <f t="shared" si="59"/>
        <v>0</v>
      </c>
      <c r="M184" s="106">
        <f t="shared" si="59"/>
        <v>0</v>
      </c>
      <c r="N184" s="106">
        <f t="shared" si="59"/>
        <v>0</v>
      </c>
      <c r="O184" s="100"/>
    </row>
    <row r="185" spans="1:15" x14ac:dyDescent="0.2">
      <c r="A185" t="s">
        <v>438</v>
      </c>
      <c r="B185" s="8">
        <f>IF(LEFT(Setup!$B$36,4)="Lv.3", IF(ISBLANK(Gear!$B$3), 0, VLOOKUP(Gear!$B$3, Weapon, MATCH(A185, StatHeader, 0), 0)), 0)</f>
        <v>0</v>
      </c>
      <c r="D185" s="98">
        <v>4</v>
      </c>
      <c r="E185" s="108">
        <f>IF(E179=1, (1-B166)*(1-B165)*(1-B164)*(B176)*(B179) + (B166), 0)</f>
        <v>0</v>
      </c>
      <c r="F185" s="106">
        <f t="shared" ref="F185:N185" ca="1" si="60">IF($D185&gt;=F180, POWER($B163, F180) * POWER((1-$B163), $D185-F180) * COMBIN($D185,F180) * $E185, 0)</f>
        <v>0</v>
      </c>
      <c r="G185" s="106">
        <f t="shared" ca="1" si="60"/>
        <v>0</v>
      </c>
      <c r="H185" s="106">
        <f t="shared" ca="1" si="60"/>
        <v>0</v>
      </c>
      <c r="I185" s="106">
        <f t="shared" ca="1" si="60"/>
        <v>0</v>
      </c>
      <c r="J185" s="106">
        <f t="shared" ca="1" si="60"/>
        <v>0</v>
      </c>
      <c r="K185" s="106">
        <f t="shared" si="60"/>
        <v>0</v>
      </c>
      <c r="L185" s="106">
        <f t="shared" si="60"/>
        <v>0</v>
      </c>
      <c r="M185" s="106">
        <f t="shared" si="60"/>
        <v>0</v>
      </c>
      <c r="N185" s="106">
        <f t="shared" si="60"/>
        <v>0</v>
      </c>
      <c r="O185" s="100"/>
    </row>
    <row r="186" spans="1:15" x14ac:dyDescent="0.2">
      <c r="A186" t="s">
        <v>439</v>
      </c>
      <c r="B186" s="8">
        <f>IF(LEFT(Setup!$B$36,4)="Lv.3", IF(ISBLANK(Gear!$B$3), 0, VLOOKUP(Gear!$B$3, Weapon, MATCH(A186, StatHeader, 0), 0)), 0)</f>
        <v>0</v>
      </c>
      <c r="D186" s="98">
        <v>5</v>
      </c>
      <c r="E186" s="109">
        <f>IF(E179=1, (1-B166)*(1-B165)*(1-B164)*(B176)*(B180), 0)</f>
        <v>0</v>
      </c>
      <c r="F186" s="106">
        <f t="shared" ref="F186:N186" ca="1" si="61">IF($D186&gt;=F180, POWER($B163, F180) * POWER((1-$B163), $D186-F180) * COMBIN($D186,F180) * $E186, 0)</f>
        <v>0</v>
      </c>
      <c r="G186" s="106">
        <f t="shared" ca="1" si="61"/>
        <v>0</v>
      </c>
      <c r="H186" s="106">
        <f t="shared" ca="1" si="61"/>
        <v>0</v>
      </c>
      <c r="I186" s="106">
        <f t="shared" ca="1" si="61"/>
        <v>0</v>
      </c>
      <c r="J186" s="106">
        <f t="shared" ca="1" si="61"/>
        <v>0</v>
      </c>
      <c r="K186" s="106">
        <f t="shared" ca="1" si="61"/>
        <v>0</v>
      </c>
      <c r="L186" s="106">
        <f t="shared" si="61"/>
        <v>0</v>
      </c>
      <c r="M186" s="106">
        <f t="shared" si="61"/>
        <v>0</v>
      </c>
      <c r="N186" s="106">
        <f t="shared" si="61"/>
        <v>0</v>
      </c>
      <c r="O186" s="100"/>
    </row>
    <row r="187" spans="1:15" x14ac:dyDescent="0.2">
      <c r="A187" s="121" t="s">
        <v>365</v>
      </c>
      <c r="B187" s="101">
        <f ca="1">Data!H83</f>
        <v>0.25</v>
      </c>
      <c r="D187" s="117">
        <v>6</v>
      </c>
      <c r="E187" s="109">
        <f>IF(E179=1, (1-B166)*(1-B165)*(1-B164)*(B176)*(B181), 0)</f>
        <v>0</v>
      </c>
      <c r="F187" s="106">
        <f t="shared" ref="F187:N187" ca="1" si="62">IF($D187&gt;=F180, POWER($B163, F180) * POWER((1-$B163), $D187-F180) * COMBIN($D187,F180) * $E187, 0)</f>
        <v>0</v>
      </c>
      <c r="G187" s="106">
        <f t="shared" ca="1" si="62"/>
        <v>0</v>
      </c>
      <c r="H187" s="106">
        <f t="shared" ca="1" si="62"/>
        <v>0</v>
      </c>
      <c r="I187" s="106">
        <f t="shared" ca="1" si="62"/>
        <v>0</v>
      </c>
      <c r="J187" s="106">
        <f t="shared" ca="1" si="62"/>
        <v>0</v>
      </c>
      <c r="K187" s="106">
        <f t="shared" ca="1" si="62"/>
        <v>0</v>
      </c>
      <c r="L187" s="106">
        <f t="shared" ca="1" si="62"/>
        <v>0</v>
      </c>
      <c r="M187" s="106">
        <f t="shared" si="62"/>
        <v>0</v>
      </c>
      <c r="N187" s="106">
        <f t="shared" si="62"/>
        <v>0</v>
      </c>
      <c r="O187" s="100"/>
    </row>
    <row r="188" spans="1:15" x14ac:dyDescent="0.2">
      <c r="A188" s="121" t="s">
        <v>163</v>
      </c>
      <c r="B188" s="96">
        <f ca="1">Data!H99</f>
        <v>0.95</v>
      </c>
      <c r="D188" s="98">
        <v>7</v>
      </c>
      <c r="E188" s="109">
        <f>IF(E179=1, (1-B166)*(1-B165)*(1-B164)*(B176)*(B182), 0)</f>
        <v>0</v>
      </c>
      <c r="F188" s="106">
        <f t="shared" ref="F188:N188" ca="1" si="63">IF($D188&gt;=F180, POWER($B163, F180) * POWER((1-$B163), $D188-F180) * COMBIN($D188,F180) * $E188, 0)</f>
        <v>0</v>
      </c>
      <c r="G188" s="106">
        <f t="shared" ca="1" si="63"/>
        <v>0</v>
      </c>
      <c r="H188" s="106">
        <f t="shared" ca="1" si="63"/>
        <v>0</v>
      </c>
      <c r="I188" s="106">
        <f t="shared" ca="1" si="63"/>
        <v>0</v>
      </c>
      <c r="J188" s="106">
        <f t="shared" ca="1" si="63"/>
        <v>0</v>
      </c>
      <c r="K188" s="106">
        <f t="shared" ca="1" si="63"/>
        <v>0</v>
      </c>
      <c r="L188" s="106">
        <f t="shared" ca="1" si="63"/>
        <v>0</v>
      </c>
      <c r="M188" s="106">
        <f t="shared" ca="1" si="63"/>
        <v>0</v>
      </c>
      <c r="N188" s="106">
        <f t="shared" si="63"/>
        <v>0</v>
      </c>
      <c r="O188" s="100"/>
    </row>
    <row r="189" spans="1:15" x14ac:dyDescent="0.2">
      <c r="D189" s="98">
        <v>8</v>
      </c>
      <c r="E189" s="109">
        <f>IF(E179=1, (1-B166)*(1-B165)*(1-B164)*(B176)*(B183), 0)</f>
        <v>0</v>
      </c>
      <c r="F189" s="111">
        <f t="shared" ref="F189:N189" ca="1" si="64">IF($D189&gt;=F180, POWER($B163, F180) * POWER((1-$B163), $D189-F180) * COMBIN($D189,F180) * $E189, 0)</f>
        <v>0</v>
      </c>
      <c r="G189" s="112">
        <f t="shared" ca="1" si="64"/>
        <v>0</v>
      </c>
      <c r="H189" s="112">
        <f t="shared" ca="1" si="64"/>
        <v>0</v>
      </c>
      <c r="I189" s="112">
        <f t="shared" ca="1" si="64"/>
        <v>0</v>
      </c>
      <c r="J189" s="112">
        <f t="shared" ca="1" si="64"/>
        <v>0</v>
      </c>
      <c r="K189" s="112">
        <f t="shared" ca="1" si="64"/>
        <v>0</v>
      </c>
      <c r="L189" s="112">
        <f t="shared" ca="1" si="64"/>
        <v>0</v>
      </c>
      <c r="M189" s="112">
        <f t="shared" ca="1" si="64"/>
        <v>0</v>
      </c>
      <c r="N189" s="112">
        <f t="shared" ca="1" si="64"/>
        <v>0</v>
      </c>
      <c r="O189" s="100"/>
    </row>
    <row r="190" spans="1:15" x14ac:dyDescent="0.2">
      <c r="E190" s="101">
        <f>SUM(E181:E189)</f>
        <v>1</v>
      </c>
      <c r="O190" s="100"/>
    </row>
    <row r="191" spans="1:15" x14ac:dyDescent="0.2">
      <c r="E191" s="98" t="s">
        <v>241</v>
      </c>
      <c r="F191" s="114">
        <f t="shared" ref="F191:N191" ca="1" si="65">SUM(F181:F189)</f>
        <v>1</v>
      </c>
      <c r="G191" s="114">
        <f t="shared" ca="1" si="65"/>
        <v>0</v>
      </c>
      <c r="H191" s="114">
        <f t="shared" ca="1" si="65"/>
        <v>0</v>
      </c>
      <c r="I191" s="114">
        <f t="shared" ca="1" si="65"/>
        <v>0</v>
      </c>
      <c r="J191" s="114">
        <f t="shared" ca="1" si="65"/>
        <v>0</v>
      </c>
      <c r="K191" s="114">
        <f t="shared" ca="1" si="65"/>
        <v>0</v>
      </c>
      <c r="L191" s="114">
        <f t="shared" ca="1" si="65"/>
        <v>0</v>
      </c>
      <c r="M191" s="114">
        <f t="shared" ca="1" si="65"/>
        <v>0</v>
      </c>
      <c r="N191" s="114">
        <f t="shared" ca="1" si="65"/>
        <v>0</v>
      </c>
      <c r="O191" s="106">
        <f ca="1">SUM(F191:N191)</f>
        <v>1</v>
      </c>
    </row>
    <row r="192" spans="1:15" x14ac:dyDescent="0.2">
      <c r="E192" s="98" t="s">
        <v>243</v>
      </c>
      <c r="F192" s="115">
        <f ca="1">F180*F191+G180*G191+H180*H191+I180*I191+J191*J180+K191*K180+L191*L180+M191*M180+N191*N180</f>
        <v>0</v>
      </c>
      <c r="I192" s="100"/>
      <c r="J192" s="100"/>
      <c r="K192" s="106"/>
      <c r="O192" s="106"/>
    </row>
    <row r="193" spans="1:15" x14ac:dyDescent="0.2">
      <c r="K193" s="106"/>
      <c r="O193" s="100"/>
    </row>
    <row r="195" spans="1:15" x14ac:dyDescent="0.2">
      <c r="D195" s="100" t="s">
        <v>361</v>
      </c>
      <c r="E195" s="100"/>
      <c r="F195" s="106"/>
      <c r="G195" s="106"/>
      <c r="H195" s="106"/>
      <c r="I195" s="106"/>
      <c r="J195" s="106"/>
      <c r="K195" s="106"/>
      <c r="L195" s="106"/>
      <c r="M195" s="106"/>
      <c r="N195" s="106"/>
    </row>
    <row r="196" spans="1:15" x14ac:dyDescent="0.2">
      <c r="D196" s="100" t="s">
        <v>362</v>
      </c>
      <c r="E196" s="119">
        <v>0</v>
      </c>
      <c r="F196" s="100">
        <v>1</v>
      </c>
      <c r="G196" s="100">
        <v>2</v>
      </c>
      <c r="H196" s="110">
        <v>3</v>
      </c>
      <c r="I196" s="110">
        <v>4</v>
      </c>
      <c r="J196" s="110">
        <v>5</v>
      </c>
      <c r="K196" s="110">
        <v>6</v>
      </c>
      <c r="L196" s="110">
        <v>7</v>
      </c>
      <c r="M196" s="110">
        <v>8</v>
      </c>
      <c r="N196" s="98" t="s">
        <v>99</v>
      </c>
    </row>
    <row r="197" spans="1:15" x14ac:dyDescent="0.2">
      <c r="D197" s="100" t="s">
        <v>363</v>
      </c>
      <c r="E197" s="106">
        <f ca="1">F175*F191</f>
        <v>2.2329302500000016E-2</v>
      </c>
      <c r="F197" s="106">
        <f ca="1">F175*G191+G175*F191</f>
        <v>0.57506725250000001</v>
      </c>
      <c r="G197" s="106">
        <f ca="1">F175*H191+G175*G191+H175*F191</f>
        <v>0.33247016999999995</v>
      </c>
      <c r="H197" s="106">
        <f ca="1">F175*I191+G175*H191+H175*G191+I175*F191</f>
        <v>5.3843149999999992E-2</v>
      </c>
      <c r="I197" s="106">
        <f ca="1">F175*J191+G175*I191+H175*H191+I175*G191+J175*F191</f>
        <v>1.6290124999999999E-2</v>
      </c>
      <c r="J197" s="106">
        <f ca="1">F175*K191+G175*J191+H175*I191+I175*H191+J175*G191+K175*F191</f>
        <v>0</v>
      </c>
      <c r="K197" s="106">
        <f ca="1">F175*L191+G175*K191+H175*J191+I175*I191+J175*H191+K175*G191+L175*F191</f>
        <v>0</v>
      </c>
      <c r="L197" s="118">
        <f ca="1">F175*M191+G175*L191+H175*K191+I175*J191+J175*I191+K175*H191+L175*G191+M175*F191</f>
        <v>0</v>
      </c>
      <c r="M197" s="106">
        <f ca="1">F175*N191+G175*M191+H175*L191+I175*K191+J175*J191+K175*I191+L175*H191+M175*G191+N175*F191+G175*N191+H175*M191+I175*L191+J175*K191+K175*J191+L175*I191+M175*H191+N175*G191+H175*N191+I175*M191+J175*L191+K175*K191+L175*J191+M175*I191+N175*H191+I175*N191+J175*M191+K175*L191+L175*K191+M175*J191+N175*I191+J175*N191+K175*M191+L175*L191+M175*K191+N175*J191+K175*N191+L175*M191+M175*L191+N175*K191+L175*N191+M175*M191+N175*L191+M175*N191+N175*M191+N175*N191</f>
        <v>0</v>
      </c>
      <c r="N197" s="106">
        <f ca="1">SUM(E197:M197)</f>
        <v>0.99999999999999989</v>
      </c>
    </row>
    <row r="198" spans="1:15" x14ac:dyDescent="0.2">
      <c r="D198" s="110" t="s">
        <v>243</v>
      </c>
      <c r="E198" s="113">
        <f ca="1">E196*E197+F196*F197+G196*G197+H196*H197+I196*I197+J196*J197+K196*K197+L196*L197+M196*M197</f>
        <v>1.4666975425</v>
      </c>
    </row>
    <row r="199" spans="1:15" x14ac:dyDescent="0.2">
      <c r="D199" s="100"/>
      <c r="E199" s="106"/>
      <c r="F199" s="100"/>
      <c r="G199" s="100"/>
      <c r="H199" s="100"/>
    </row>
    <row r="200" spans="1:15" x14ac:dyDescent="0.2">
      <c r="D200" s="100"/>
      <c r="E200" s="100"/>
      <c r="F200" s="106"/>
      <c r="G200" s="106"/>
      <c r="H200" s="100"/>
    </row>
    <row r="201" spans="1:15" x14ac:dyDescent="0.2">
      <c r="A201" s="121" t="s">
        <v>369</v>
      </c>
    </row>
    <row r="203" spans="1:15" x14ac:dyDescent="0.2">
      <c r="A203" s="98" t="s">
        <v>239</v>
      </c>
      <c r="B203" s="99">
        <f ca="1">Data!I98</f>
        <v>0.95</v>
      </c>
      <c r="D203" s="100" t="s">
        <v>211</v>
      </c>
      <c r="E203" s="100"/>
      <c r="F203" s="100"/>
      <c r="G203" s="100"/>
      <c r="H203" s="100"/>
      <c r="I203" s="100"/>
    </row>
    <row r="204" spans="1:15" x14ac:dyDescent="0.2">
      <c r="A204" s="98" t="s">
        <v>191</v>
      </c>
      <c r="B204" s="101">
        <f ca="1">Data!I79</f>
        <v>0.39</v>
      </c>
      <c r="D204" s="98" t="s">
        <v>216</v>
      </c>
      <c r="E204" s="98" t="s">
        <v>240</v>
      </c>
      <c r="F204" s="102">
        <v>0</v>
      </c>
      <c r="G204" s="102">
        <v>1</v>
      </c>
      <c r="H204" s="102">
        <v>2</v>
      </c>
      <c r="I204" s="103">
        <v>3</v>
      </c>
      <c r="J204" s="103">
        <v>4</v>
      </c>
      <c r="K204" s="103">
        <v>5</v>
      </c>
      <c r="L204" s="103">
        <v>6</v>
      </c>
      <c r="M204" s="103">
        <v>7</v>
      </c>
      <c r="N204" s="103">
        <v>8</v>
      </c>
    </row>
    <row r="205" spans="1:15" x14ac:dyDescent="0.2">
      <c r="A205" s="98" t="s">
        <v>194</v>
      </c>
      <c r="B205" s="101">
        <f ca="1">Data!I80</f>
        <v>0.06</v>
      </c>
      <c r="D205" s="98">
        <v>0</v>
      </c>
      <c r="E205" s="105">
        <v>0</v>
      </c>
      <c r="F205" s="106">
        <f t="shared" ref="F205:N205" ca="1" si="66">IF($D205&gt;=F204, POWER($B203, F204) * POWER((1-$B203), $D205-F204) * COMBIN($D205,F204) * $E205, 0)</f>
        <v>0</v>
      </c>
      <c r="G205" s="106">
        <f t="shared" si="66"/>
        <v>0</v>
      </c>
      <c r="H205" s="106">
        <f t="shared" si="66"/>
        <v>0</v>
      </c>
      <c r="I205" s="106">
        <f t="shared" si="66"/>
        <v>0</v>
      </c>
      <c r="J205" s="106">
        <f t="shared" si="66"/>
        <v>0</v>
      </c>
      <c r="K205" s="106">
        <f t="shared" si="66"/>
        <v>0</v>
      </c>
      <c r="L205" s="106">
        <f t="shared" si="66"/>
        <v>0</v>
      </c>
      <c r="M205" s="106">
        <f t="shared" si="66"/>
        <v>0</v>
      </c>
      <c r="N205" s="106">
        <f t="shared" si="66"/>
        <v>0</v>
      </c>
    </row>
    <row r="206" spans="1:15" x14ac:dyDescent="0.2">
      <c r="A206" s="98" t="s">
        <v>196</v>
      </c>
      <c r="B206" s="101">
        <f ca="1">Data!I81</f>
        <v>0.02</v>
      </c>
      <c r="D206" s="98">
        <v>1</v>
      </c>
      <c r="E206" s="165">
        <f ca="1">(1-B206)*(1-B205)*(1-B204)*(1-B208)*(1-B207)*(1-B224)</f>
        <v>0.56193199999999988</v>
      </c>
      <c r="F206" s="106">
        <f ca="1">IF($D206&gt;=F204, POWER($B203, F204) * POWER((1-$B203), $D206-F204) * COMBIN($D206,F204) * $E206, 0) * (1 - B227*B228*(1-E219))</f>
        <v>2.1423657500000016E-2</v>
      </c>
      <c r="G206" s="106">
        <f ca="1">IF($D206&gt;=G204, POWER($B203, G204) * POWER((1-$B203), $D206-G204) * COMBIN($D206,G204) * $E206, 0) + IF($D206&gt;=F204, POWER($B203, F204) * POWER((1-$B203), $D206-F204) * COMBIN($D206,F204) * $E206, 0) * B227 * B228 * (1-E219)</f>
        <v>0.54050834249999991</v>
      </c>
      <c r="H206" s="106">
        <f t="shared" ref="H206:N206" si="67">IF($D206&gt;=H204, POWER($B203, H204) * POWER((1-$B203), $D206-H204) * COMBIN($D206,H204) * $E206, 0)</f>
        <v>0</v>
      </c>
      <c r="I206" s="106">
        <f t="shared" si="67"/>
        <v>0</v>
      </c>
      <c r="J206" s="106">
        <f t="shared" si="67"/>
        <v>0</v>
      </c>
      <c r="K206" s="106">
        <f t="shared" si="67"/>
        <v>0</v>
      </c>
      <c r="L206" s="106">
        <f t="shared" si="67"/>
        <v>0</v>
      </c>
      <c r="M206" s="106">
        <f t="shared" si="67"/>
        <v>0</v>
      </c>
      <c r="N206" s="106">
        <f t="shared" si="67"/>
        <v>0</v>
      </c>
    </row>
    <row r="207" spans="1:15" x14ac:dyDescent="0.2">
      <c r="A207" s="98" t="s">
        <v>351</v>
      </c>
      <c r="B207" s="101">
        <v>0</v>
      </c>
      <c r="D207" s="98">
        <v>2</v>
      </c>
      <c r="E207" s="165">
        <f ca="1">(1-B206)*(1-B205)*(1-B207)*(B204) + (1-B206)*(1-B205)*(1-B204)*(1-B207)*(B208)*(B209) + (1-B206)*(1-B205)*(1-B204)*(1-B207)*(1-B208)*(B224)*(B225) + (1-B206)*(1-B205)*(1-B204)*(1-B208)*(B207)</f>
        <v>0.35926799999999998</v>
      </c>
      <c r="F207" s="106">
        <f t="shared" ref="F207:N207" ca="1" si="68">IF($D207&gt;=F204, POWER($B203, F204) * POWER((1-$B203), $D207-F204) * COMBIN($D207,F204) * $E207, 0)</f>
        <v>8.9817000000000152E-4</v>
      </c>
      <c r="G207" s="106">
        <f t="shared" ca="1" si="68"/>
        <v>3.4130460000000029E-2</v>
      </c>
      <c r="H207" s="106">
        <f t="shared" ca="1" si="68"/>
        <v>0.32423936999999997</v>
      </c>
      <c r="I207" s="106">
        <f t="shared" si="68"/>
        <v>0</v>
      </c>
      <c r="J207" s="106">
        <f t="shared" si="68"/>
        <v>0</v>
      </c>
      <c r="K207" s="106">
        <f t="shared" si="68"/>
        <v>0</v>
      </c>
      <c r="L207" s="106">
        <f t="shared" si="68"/>
        <v>0</v>
      </c>
      <c r="M207" s="106">
        <f t="shared" si="68"/>
        <v>0</v>
      </c>
      <c r="N207" s="106">
        <f t="shared" si="68"/>
        <v>0</v>
      </c>
    </row>
    <row r="208" spans="1:15" x14ac:dyDescent="0.2">
      <c r="A208" s="98" t="s">
        <v>352</v>
      </c>
      <c r="B208" s="101">
        <f>IF(ISBLANK(Gear!$X$3), 0, VLOOKUP(Gear!$X$3, Weapon, MATCH("OAx", StatHeader, 0), 0))</f>
        <v>0</v>
      </c>
      <c r="D208" s="98">
        <v>3</v>
      </c>
      <c r="E208" s="165">
        <f ca="1">(1-B206)*(1-B207)*(B205) + (1-B206)*(1-B205)*(1-B204)*(1-B207)*(B208)*(B210) + (1-B206)*(1-B205)*(1-B204)*(1-B207)*(1-B208)*(B224)*(B226) + (1-B206)*(1-B205)*(B207)*(B204) + (1-B206)*(1-B205)*(1-B204)*(B207)*(B208)*(B209) + (1-B206)*(1-B205)*(1-B204)*(B207)*(B224)*(B225)</f>
        <v>5.8799999999999998E-2</v>
      </c>
      <c r="F208" s="106">
        <f t="shared" ref="F208:N208" ca="1" si="69">IF($D208&gt;=F204, POWER($B203, F204) * POWER((1-$B203), $D208-F204) * COMBIN($D208,F204) * $E208, 0)</f>
        <v>7.3500000000000194E-6</v>
      </c>
      <c r="G208" s="106">
        <f t="shared" ca="1" si="69"/>
        <v>4.1895000000000067E-4</v>
      </c>
      <c r="H208" s="106">
        <f t="shared" ca="1" si="69"/>
        <v>7.9600500000000084E-3</v>
      </c>
      <c r="I208" s="106">
        <f t="shared" ca="1" si="69"/>
        <v>5.041364999999999E-2</v>
      </c>
      <c r="J208" s="106">
        <f t="shared" si="69"/>
        <v>0</v>
      </c>
      <c r="K208" s="106">
        <f t="shared" si="69"/>
        <v>0</v>
      </c>
      <c r="L208" s="106">
        <f t="shared" si="69"/>
        <v>0</v>
      </c>
      <c r="M208" s="106">
        <f t="shared" si="69"/>
        <v>0</v>
      </c>
      <c r="N208" s="106">
        <f t="shared" si="69"/>
        <v>0</v>
      </c>
    </row>
    <row r="209" spans="1:15" x14ac:dyDescent="0.2">
      <c r="A209" s="98" t="s">
        <v>353</v>
      </c>
      <c r="B209" s="101">
        <f>IF(ISBLANK(Gear!$X$3), 0, VLOOKUP(Gear!$X$3, Weapon, MATCH(A209, StatHeader, 0), 0))</f>
        <v>0</v>
      </c>
      <c r="D209" s="98">
        <v>4</v>
      </c>
      <c r="E209" s="165">
        <f ca="1">(B206)*(1-B207) + (1-B206)*(B207)*(B205) + (1-B206)*(1-B205)*(1-B204)*(1-B207)*(B208)*(B211) + (1-B206)*(1-B205)*(1-B204)*(B207)*(B224)*(B226) + (1-B206)*(1-B205)*(1-B204)*(B207)*(B208)*(B210)</f>
        <v>0.02</v>
      </c>
      <c r="F209" s="106">
        <f t="shared" ref="F209:N209" ca="1" si="70">IF($D209&gt;=F204, POWER($B203, F204) * POWER((1-$B203), $D209-F204) * COMBIN($D209,F204) * $E209, 0)</f>
        <v>1.2500000000000044E-7</v>
      </c>
      <c r="G209" s="106">
        <f t="shared" ca="1" si="70"/>
        <v>9.5000000000000259E-6</v>
      </c>
      <c r="H209" s="106">
        <f t="shared" ca="1" si="70"/>
        <v>2.7075000000000048E-4</v>
      </c>
      <c r="I209" s="106">
        <f t="shared" ca="1" si="70"/>
        <v>3.4295000000000024E-3</v>
      </c>
      <c r="J209" s="106">
        <f t="shared" ca="1" si="70"/>
        <v>1.6290124999999999E-2</v>
      </c>
      <c r="K209" s="106">
        <f t="shared" si="70"/>
        <v>0</v>
      </c>
      <c r="L209" s="106">
        <f t="shared" si="70"/>
        <v>0</v>
      </c>
      <c r="M209" s="106">
        <f t="shared" si="70"/>
        <v>0</v>
      </c>
      <c r="N209" s="106">
        <f t="shared" si="70"/>
        <v>0</v>
      </c>
    </row>
    <row r="210" spans="1:15" x14ac:dyDescent="0.2">
      <c r="A210" s="98" t="s">
        <v>354</v>
      </c>
      <c r="B210" s="101">
        <f>IF(ISBLANK(Gear!$X$3), 0, VLOOKUP(Gear!$X$3, Weapon, MATCH(A210, StatHeader, 0), 0))</f>
        <v>0</v>
      </c>
      <c r="D210" s="98">
        <v>5</v>
      </c>
      <c r="E210" s="166">
        <f ca="1">(1-B206)*(1-B205)*(1-B204)*(1-B207)*(B208)*(B212) + (1-B206)*(1-B205)*(1-B204)*(B207)*(B208)*(B211) + (B206)*(B207)</f>
        <v>0</v>
      </c>
      <c r="F210" s="106">
        <f t="shared" ref="F210:N210" ca="1" si="71">IF($D210&gt;=F204, POWER($B203, F204) * POWER((1-$B203), $D210-F204) * COMBIN($D210,F204) * $E210, 0)</f>
        <v>0</v>
      </c>
      <c r="G210" s="106">
        <f t="shared" ca="1" si="71"/>
        <v>0</v>
      </c>
      <c r="H210" s="106">
        <f t="shared" ca="1" si="71"/>
        <v>0</v>
      </c>
      <c r="I210" s="106">
        <f t="shared" ca="1" si="71"/>
        <v>0</v>
      </c>
      <c r="J210" s="106">
        <f t="shared" ca="1" si="71"/>
        <v>0</v>
      </c>
      <c r="K210" s="106">
        <f t="shared" ca="1" si="71"/>
        <v>0</v>
      </c>
      <c r="L210" s="106">
        <f t="shared" si="71"/>
        <v>0</v>
      </c>
      <c r="M210" s="106">
        <f t="shared" si="71"/>
        <v>0</v>
      </c>
      <c r="N210" s="106">
        <f t="shared" si="71"/>
        <v>0</v>
      </c>
    </row>
    <row r="211" spans="1:15" x14ac:dyDescent="0.2">
      <c r="A211" s="98" t="s">
        <v>355</v>
      </c>
      <c r="B211" s="101">
        <f>IF(ISBLANK(Gear!$X$3), 0, VLOOKUP(Gear!$X$3, Weapon, MATCH(A211, StatHeader, 0), 0))</f>
        <v>0</v>
      </c>
      <c r="D211" s="100">
        <v>6</v>
      </c>
      <c r="E211" s="166">
        <f ca="1">(1-B206)*(1-B205)*(1-B204)*(1-B207)*(B208)*(B213) + (1-B206)*(1-B205)*(1-B204)*(B207)*(B208)*(B212)</f>
        <v>0</v>
      </c>
      <c r="F211" s="106">
        <f t="shared" ref="F211:N211" ca="1" si="72">IF($D211&gt;=F204, POWER($B203, F204) * POWER((1-$B203), $D211-F204) * COMBIN($D211,F204) * $E211, 0)</f>
        <v>0</v>
      </c>
      <c r="G211" s="106">
        <f t="shared" ca="1" si="72"/>
        <v>0</v>
      </c>
      <c r="H211" s="106">
        <f t="shared" ca="1" si="72"/>
        <v>0</v>
      </c>
      <c r="I211" s="106">
        <f t="shared" ca="1" si="72"/>
        <v>0</v>
      </c>
      <c r="J211" s="106">
        <f t="shared" ca="1" si="72"/>
        <v>0</v>
      </c>
      <c r="K211" s="106">
        <f t="shared" ca="1" si="72"/>
        <v>0</v>
      </c>
      <c r="L211" s="106">
        <f t="shared" ca="1" si="72"/>
        <v>0</v>
      </c>
      <c r="M211" s="106">
        <f t="shared" si="72"/>
        <v>0</v>
      </c>
      <c r="N211" s="106">
        <f t="shared" si="72"/>
        <v>0</v>
      </c>
    </row>
    <row r="212" spans="1:15" x14ac:dyDescent="0.2">
      <c r="A212" s="98" t="s">
        <v>356</v>
      </c>
      <c r="B212" s="101">
        <f>IF(ISBLANK(Gear!$X$3), 0, VLOOKUP(Gear!$X$3, Weapon, MATCH(A212, StatHeader, 0), 0))</f>
        <v>0</v>
      </c>
      <c r="D212" s="110">
        <v>7</v>
      </c>
      <c r="E212" s="165">
        <f ca="1">(1-B206)*(1-B205)*(1-B204)*(1-B207)*(B208)*(B214) + (1-B206)*(1-B205)*(1-B204)*(B207)*(B208)*(B213)</f>
        <v>0</v>
      </c>
      <c r="F212" s="106">
        <f t="shared" ref="F212:N212" ca="1" si="73">IF($D212&gt;=F204, POWER($B203, F204) * POWER((1-$B203), $D212-F204) * COMBIN($D212,F204) * $E212, 0)</f>
        <v>0</v>
      </c>
      <c r="G212" s="106">
        <f t="shared" ca="1" si="73"/>
        <v>0</v>
      </c>
      <c r="H212" s="106">
        <f t="shared" ca="1" si="73"/>
        <v>0</v>
      </c>
      <c r="I212" s="106">
        <f t="shared" ca="1" si="73"/>
        <v>0</v>
      </c>
      <c r="J212" s="106">
        <f t="shared" ca="1" si="73"/>
        <v>0</v>
      </c>
      <c r="K212" s="106">
        <f t="shared" ca="1" si="73"/>
        <v>0</v>
      </c>
      <c r="L212" s="106">
        <f t="shared" ca="1" si="73"/>
        <v>0</v>
      </c>
      <c r="M212" s="106">
        <f t="shared" ca="1" si="73"/>
        <v>0</v>
      </c>
      <c r="N212" s="106">
        <f t="shared" si="73"/>
        <v>0</v>
      </c>
      <c r="O212" s="100"/>
    </row>
    <row r="213" spans="1:15" x14ac:dyDescent="0.2">
      <c r="A213" s="98" t="s">
        <v>357</v>
      </c>
      <c r="B213" s="101">
        <f>IF(ISBLANK(Gear!$X$3), 0, VLOOKUP(Gear!$X$3, Weapon, MATCH(A213, StatHeader, 0), 0))</f>
        <v>0</v>
      </c>
      <c r="D213" s="110">
        <v>8</v>
      </c>
      <c r="E213" s="165">
        <f ca="1">(1-B206)*(1-B205)*(1-B204)*(B208)*(B215) + (1-B206)*(1-B205)*(1-B204)*(B207)*(B208)*(B214)</f>
        <v>0</v>
      </c>
      <c r="F213" s="111">
        <f t="shared" ref="F213:N213" ca="1" si="74">IF($D213&gt;=F204, POWER($B203, F204) * POWER((1-$B203), $D213-F204) * COMBIN($D213,F204) * $E213, 0)</f>
        <v>0</v>
      </c>
      <c r="G213" s="112">
        <f t="shared" ca="1" si="74"/>
        <v>0</v>
      </c>
      <c r="H213" s="112">
        <f t="shared" ca="1" si="74"/>
        <v>0</v>
      </c>
      <c r="I213" s="112">
        <f t="shared" ca="1" si="74"/>
        <v>0</v>
      </c>
      <c r="J213" s="112">
        <f t="shared" ca="1" si="74"/>
        <v>0</v>
      </c>
      <c r="K213" s="112">
        <f t="shared" ca="1" si="74"/>
        <v>0</v>
      </c>
      <c r="L213" s="112">
        <f t="shared" ca="1" si="74"/>
        <v>0</v>
      </c>
      <c r="M213" s="112">
        <f t="shared" ca="1" si="74"/>
        <v>0</v>
      </c>
      <c r="N213" s="112">
        <f t="shared" ca="1" si="74"/>
        <v>0</v>
      </c>
      <c r="O213" s="100"/>
    </row>
    <row r="214" spans="1:15" x14ac:dyDescent="0.2">
      <c r="A214" s="98" t="s">
        <v>358</v>
      </c>
      <c r="B214" s="101">
        <f>IF(ISBLANK(Gear!$X$3), 0, VLOOKUP(Gear!$X$3, Weapon, MATCH(A214, StatHeader, 0), 0))</f>
        <v>0</v>
      </c>
      <c r="E214" s="101">
        <f ca="1">SUM(E205:E213)</f>
        <v>0.99999999999999978</v>
      </c>
      <c r="O214" s="106"/>
    </row>
    <row r="215" spans="1:15" x14ac:dyDescent="0.2">
      <c r="A215" s="98" t="s">
        <v>359</v>
      </c>
      <c r="B215" s="101">
        <f>IF(ISBLANK(Gear!$X$3), 0, VLOOKUP(Gear!$X$3, Weapon, MATCH(A215, StatHeader, 0), 0))</f>
        <v>0</v>
      </c>
      <c r="E215" s="98" t="s">
        <v>241</v>
      </c>
      <c r="F215" s="114">
        <f t="shared" ref="F215:N215" ca="1" si="75">SUM(F205:F213)</f>
        <v>2.2329302500000016E-2</v>
      </c>
      <c r="G215" s="114">
        <f t="shared" ca="1" si="75"/>
        <v>0.57506725250000001</v>
      </c>
      <c r="H215" s="114">
        <f t="shared" ca="1" si="75"/>
        <v>0.33247016999999995</v>
      </c>
      <c r="I215" s="114">
        <f t="shared" ca="1" si="75"/>
        <v>5.3843149999999992E-2</v>
      </c>
      <c r="J215" s="114">
        <f t="shared" ca="1" si="75"/>
        <v>1.6290124999999999E-2</v>
      </c>
      <c r="K215" s="114">
        <f t="shared" ca="1" si="75"/>
        <v>0</v>
      </c>
      <c r="L215" s="114">
        <f t="shared" ca="1" si="75"/>
        <v>0</v>
      </c>
      <c r="M215" s="114">
        <f t="shared" ca="1" si="75"/>
        <v>0</v>
      </c>
      <c r="N215" s="114">
        <f t="shared" ca="1" si="75"/>
        <v>0</v>
      </c>
      <c r="O215" s="106">
        <f ca="1">SUM(F215:N215)</f>
        <v>0.99999999999999989</v>
      </c>
    </row>
    <row r="216" spans="1:15" x14ac:dyDescent="0.2">
      <c r="A216" s="98" t="s">
        <v>360</v>
      </c>
      <c r="B216" s="101">
        <f>IF(ISBLANK(Gear!$X$3), 0, VLOOKUP(Gear!$X$3, Weapon, MATCH("OAx", StatHeader, 0), 0))</f>
        <v>0</v>
      </c>
      <c r="E216" s="106" t="s">
        <v>243</v>
      </c>
      <c r="F216" s="115">
        <f ca="1">F204*F215+G204*G215+H204*H215+I204*I215+J215*J204+K215*K204+L215*L204+M215*M204+N215*N204</f>
        <v>1.4666975425</v>
      </c>
      <c r="G216" s="106"/>
      <c r="H216" s="106"/>
      <c r="I216" s="106"/>
      <c r="O216" s="100"/>
    </row>
    <row r="217" spans="1:15" x14ac:dyDescent="0.2">
      <c r="A217" s="98" t="s">
        <v>353</v>
      </c>
      <c r="B217" s="101">
        <f>IF(ISBLANK(Gear!$X$3), 0, VLOOKUP(Gear!$X$3, Weapon, MATCH(A217, StatHeader, 0), 0))</f>
        <v>0</v>
      </c>
    </row>
    <row r="218" spans="1:15" x14ac:dyDescent="0.2">
      <c r="A218" s="98" t="s">
        <v>354</v>
      </c>
      <c r="B218" s="101">
        <f>IF(ISBLANK(Gear!$X$3), 0, VLOOKUP(Gear!$X$3, Weapon, MATCH(A218, StatHeader, 0), 0))</f>
        <v>0</v>
      </c>
    </row>
    <row r="219" spans="1:15" x14ac:dyDescent="0.2">
      <c r="A219" s="98" t="s">
        <v>355</v>
      </c>
      <c r="B219" s="101">
        <f>IF(ISBLANK(Gear!$X$3), 0, VLOOKUP(Gear!$X$3, Weapon, MATCH(A219, StatHeader, 0), 0))</f>
        <v>0</v>
      </c>
      <c r="D219" s="100" t="s">
        <v>215</v>
      </c>
      <c r="E219" s="100">
        <v>0</v>
      </c>
      <c r="F219" s="100"/>
      <c r="G219" s="100"/>
      <c r="H219" s="100"/>
      <c r="I219" s="100"/>
      <c r="J219" s="100"/>
    </row>
    <row r="220" spans="1:15" x14ac:dyDescent="0.2">
      <c r="A220" s="98" t="s">
        <v>356</v>
      </c>
      <c r="B220" s="101">
        <f>IF(ISBLANK(Gear!$X$3), 0, VLOOKUP(Gear!$X$3, Weapon, MATCH(A220, StatHeader, 0), 0))</f>
        <v>0</v>
      </c>
      <c r="D220" s="98" t="s">
        <v>216</v>
      </c>
      <c r="E220" s="98" t="s">
        <v>240</v>
      </c>
      <c r="F220" s="102">
        <v>0</v>
      </c>
      <c r="G220" s="102">
        <v>1</v>
      </c>
      <c r="H220" s="102">
        <v>2</v>
      </c>
      <c r="I220" s="103">
        <v>3</v>
      </c>
      <c r="J220" s="103">
        <v>4</v>
      </c>
      <c r="K220" s="103">
        <v>5</v>
      </c>
      <c r="L220" s="103">
        <v>6</v>
      </c>
      <c r="M220" s="103">
        <v>7</v>
      </c>
      <c r="N220" s="103">
        <v>8</v>
      </c>
      <c r="O220" s="100"/>
    </row>
    <row r="221" spans="1:15" x14ac:dyDescent="0.2">
      <c r="A221" s="98" t="s">
        <v>357</v>
      </c>
      <c r="B221" s="101">
        <f>IF(ISBLANK(Gear!$X$3), 0, VLOOKUP(Gear!$X$3, Weapon, MATCH(A221, StatHeader, 0), 0))</f>
        <v>0</v>
      </c>
      <c r="D221" s="98">
        <v>0</v>
      </c>
      <c r="E221" s="105">
        <f>IF(E219=0, 100%, 0)</f>
        <v>1</v>
      </c>
      <c r="F221" s="106">
        <f t="shared" ref="F221:N221" ca="1" si="76">IF($D221&gt;=F220, POWER($B203, F220) * POWER((1-$B203), $D221-F220) * COMBIN($D221,F220) * $E221, 0)</f>
        <v>1</v>
      </c>
      <c r="G221" s="106">
        <f t="shared" si="76"/>
        <v>0</v>
      </c>
      <c r="H221" s="106">
        <f t="shared" si="76"/>
        <v>0</v>
      </c>
      <c r="I221" s="106">
        <f t="shared" si="76"/>
        <v>0</v>
      </c>
      <c r="J221" s="106">
        <f t="shared" si="76"/>
        <v>0</v>
      </c>
      <c r="K221" s="106">
        <f t="shared" si="76"/>
        <v>0</v>
      </c>
      <c r="L221" s="106">
        <f t="shared" si="76"/>
        <v>0</v>
      </c>
      <c r="M221" s="106">
        <f t="shared" si="76"/>
        <v>0</v>
      </c>
      <c r="N221" s="106">
        <f t="shared" si="76"/>
        <v>0</v>
      </c>
      <c r="O221" s="100"/>
    </row>
    <row r="222" spans="1:15" x14ac:dyDescent="0.2">
      <c r="A222" s="98" t="s">
        <v>358</v>
      </c>
      <c r="B222" s="101">
        <f>IF(ISBLANK(Gear!$X$3), 0, VLOOKUP(Gear!$X$3, Weapon, MATCH(A222, StatHeader, 0), 0))</f>
        <v>0</v>
      </c>
      <c r="D222" s="98">
        <v>1</v>
      </c>
      <c r="E222" s="108">
        <f>IF(E219=1, (1-B206)*(1-B205)*(1-B204)*(1-B216), 0)</f>
        <v>0</v>
      </c>
      <c r="F222" s="106">
        <f t="shared" ref="F222:N222" ca="1" si="77">IF($D222&gt;=F220, POWER($B203, F220) * POWER((1-$B203), $D222-F220) * COMBIN($D222,F220) * $E222, 0)</f>
        <v>0</v>
      </c>
      <c r="G222" s="106">
        <f t="shared" ca="1" si="77"/>
        <v>0</v>
      </c>
      <c r="H222" s="106">
        <f t="shared" si="77"/>
        <v>0</v>
      </c>
      <c r="I222" s="106">
        <f t="shared" si="77"/>
        <v>0</v>
      </c>
      <c r="J222" s="106">
        <f t="shared" si="77"/>
        <v>0</v>
      </c>
      <c r="K222" s="106">
        <f t="shared" si="77"/>
        <v>0</v>
      </c>
      <c r="L222" s="106">
        <f t="shared" si="77"/>
        <v>0</v>
      </c>
      <c r="M222" s="106">
        <f t="shared" si="77"/>
        <v>0</v>
      </c>
      <c r="N222" s="106">
        <f t="shared" si="77"/>
        <v>0</v>
      </c>
      <c r="O222" s="100"/>
    </row>
    <row r="223" spans="1:15" x14ac:dyDescent="0.2">
      <c r="A223" s="98" t="s">
        <v>359</v>
      </c>
      <c r="B223" s="101">
        <f>IF(ISBLANK(Gear!$X$3), 0, VLOOKUP(Gear!$X$3, Weapon, MATCH(A223, StatHeader, 0), 0))</f>
        <v>0</v>
      </c>
      <c r="D223" s="98">
        <v>2</v>
      </c>
      <c r="E223" s="108">
        <f>IF(E219=1, (1-B206)*(1-B205)*(1-B204)*(B216)*(B217) + (1-B206)*(1-B205)*B204, 0)</f>
        <v>0</v>
      </c>
      <c r="F223" s="106">
        <f t="shared" ref="F223:N223" ca="1" si="78">IF($D223&gt;=F220, POWER($B203, F220) * POWER((1-$B203), $D223-F220) * COMBIN($D223,F220) * $E223, 0)</f>
        <v>0</v>
      </c>
      <c r="G223" s="106">
        <f t="shared" ca="1" si="78"/>
        <v>0</v>
      </c>
      <c r="H223" s="106">
        <f t="shared" ca="1" si="78"/>
        <v>0</v>
      </c>
      <c r="I223" s="106">
        <f t="shared" si="78"/>
        <v>0</v>
      </c>
      <c r="J223" s="106">
        <f t="shared" si="78"/>
        <v>0</v>
      </c>
      <c r="K223" s="106">
        <f t="shared" si="78"/>
        <v>0</v>
      </c>
      <c r="L223" s="106">
        <f t="shared" si="78"/>
        <v>0</v>
      </c>
      <c r="M223" s="106">
        <f t="shared" si="78"/>
        <v>0</v>
      </c>
      <c r="N223" s="106">
        <f t="shared" si="78"/>
        <v>0</v>
      </c>
      <c r="O223" s="100"/>
    </row>
    <row r="224" spans="1:15" x14ac:dyDescent="0.2">
      <c r="A224" t="s">
        <v>437</v>
      </c>
      <c r="B224" s="8">
        <f>IF(LEFT(Setup!$C$36,4)="Lv.3", IF(ISBLANK(Gear!$X$3), 0, VLOOKUP(Gear!$X$3, Weapon, MATCH(A224, StatHeader, 0), 0)), 0)</f>
        <v>0</v>
      </c>
      <c r="D224" s="98">
        <v>3</v>
      </c>
      <c r="E224" s="108">
        <f>IF(E219=1, (1-B206)*(1-B205)*(1-B204)*(B216)*(B218) + (1-B206)*(B205), 0)</f>
        <v>0</v>
      </c>
      <c r="F224" s="106">
        <f t="shared" ref="F224:N224" ca="1" si="79">IF($D224&gt;=F220, POWER($B203, F220) * POWER((1-$B203), $D224-F220) * COMBIN($D224,F220) * $E224, 0)</f>
        <v>0</v>
      </c>
      <c r="G224" s="106">
        <f t="shared" ca="1" si="79"/>
        <v>0</v>
      </c>
      <c r="H224" s="106">
        <f t="shared" ca="1" si="79"/>
        <v>0</v>
      </c>
      <c r="I224" s="106">
        <f t="shared" ca="1" si="79"/>
        <v>0</v>
      </c>
      <c r="J224" s="106">
        <f t="shared" si="79"/>
        <v>0</v>
      </c>
      <c r="K224" s="106">
        <f t="shared" si="79"/>
        <v>0</v>
      </c>
      <c r="L224" s="106">
        <f t="shared" si="79"/>
        <v>0</v>
      </c>
      <c r="M224" s="106">
        <f t="shared" si="79"/>
        <v>0</v>
      </c>
      <c r="N224" s="106">
        <f t="shared" si="79"/>
        <v>0</v>
      </c>
      <c r="O224" s="100"/>
    </row>
    <row r="225" spans="1:15" x14ac:dyDescent="0.2">
      <c r="A225" t="s">
        <v>438</v>
      </c>
      <c r="B225" s="8">
        <f>IF(LEFT(Setup!$C$36,4)="Lv.3", IF(ISBLANK(Gear!$X$3), 0, VLOOKUP(Gear!$X$3, Weapon, MATCH(A225, StatHeader, 0), 0)), 0)</f>
        <v>0</v>
      </c>
      <c r="D225" s="98">
        <v>4</v>
      </c>
      <c r="E225" s="108">
        <f>IF(E219=1, (1-B206)*(1-B205)*(1-B204)*(B216)*(B219) + (B206), 0)</f>
        <v>0</v>
      </c>
      <c r="F225" s="106">
        <f t="shared" ref="F225:N225" ca="1" si="80">IF($D225&gt;=F220, POWER($B203, F220) * POWER((1-$B203), $D225-F220) * COMBIN($D225,F220) * $E225, 0)</f>
        <v>0</v>
      </c>
      <c r="G225" s="106">
        <f t="shared" ca="1" si="80"/>
        <v>0</v>
      </c>
      <c r="H225" s="106">
        <f t="shared" ca="1" si="80"/>
        <v>0</v>
      </c>
      <c r="I225" s="106">
        <f t="shared" ca="1" si="80"/>
        <v>0</v>
      </c>
      <c r="J225" s="106">
        <f t="shared" ca="1" si="80"/>
        <v>0</v>
      </c>
      <c r="K225" s="106">
        <f t="shared" si="80"/>
        <v>0</v>
      </c>
      <c r="L225" s="106">
        <f t="shared" si="80"/>
        <v>0</v>
      </c>
      <c r="M225" s="106">
        <f t="shared" si="80"/>
        <v>0</v>
      </c>
      <c r="N225" s="106">
        <f t="shared" si="80"/>
        <v>0</v>
      </c>
      <c r="O225" s="100"/>
    </row>
    <row r="226" spans="1:15" x14ac:dyDescent="0.2">
      <c r="A226" t="s">
        <v>439</v>
      </c>
      <c r="B226" s="8">
        <f>IF(LEFT(Setup!$C$36,4)="Lv.3", IF(ISBLANK(Gear!$X$3), 0, VLOOKUP(Gear!$X$3, Weapon, MATCH(A226, StatHeader, 0), 0)), 0)</f>
        <v>0</v>
      </c>
      <c r="D226" s="98">
        <v>5</v>
      </c>
      <c r="E226" s="109">
        <f>IF(E219=1, (1-B206)*(1-B205)*(1-B204)*(B216)*(B220), 0)</f>
        <v>0</v>
      </c>
      <c r="F226" s="106">
        <f t="shared" ref="F226:N226" ca="1" si="81">IF($D226&gt;=F220, POWER($B203, F220) * POWER((1-$B203), $D226-F220) * COMBIN($D226,F220) * $E226, 0)</f>
        <v>0</v>
      </c>
      <c r="G226" s="106">
        <f t="shared" ca="1" si="81"/>
        <v>0</v>
      </c>
      <c r="H226" s="106">
        <f t="shared" ca="1" si="81"/>
        <v>0</v>
      </c>
      <c r="I226" s="106">
        <f t="shared" ca="1" si="81"/>
        <v>0</v>
      </c>
      <c r="J226" s="106">
        <f t="shared" ca="1" si="81"/>
        <v>0</v>
      </c>
      <c r="K226" s="106">
        <f t="shared" ca="1" si="81"/>
        <v>0</v>
      </c>
      <c r="L226" s="106">
        <f t="shared" si="81"/>
        <v>0</v>
      </c>
      <c r="M226" s="106">
        <f t="shared" si="81"/>
        <v>0</v>
      </c>
      <c r="N226" s="106">
        <f t="shared" si="81"/>
        <v>0</v>
      </c>
      <c r="O226" s="100"/>
    </row>
    <row r="227" spans="1:15" x14ac:dyDescent="0.2">
      <c r="A227" s="121" t="s">
        <v>365</v>
      </c>
      <c r="B227" s="101">
        <f ca="1">Data!I83</f>
        <v>0.25</v>
      </c>
      <c r="D227" s="117">
        <v>6</v>
      </c>
      <c r="E227" s="109">
        <f>IF(E219=1, (1-B206)*(1-B205)*(1-B204)*(B216)*(B221), 0)</f>
        <v>0</v>
      </c>
      <c r="F227" s="106">
        <f t="shared" ref="F227:N227" ca="1" si="82">IF($D227&gt;=F220, POWER($B203, F220) * POWER((1-$B203), $D227-F220) * COMBIN($D227,F220) * $E227, 0)</f>
        <v>0</v>
      </c>
      <c r="G227" s="106">
        <f t="shared" ca="1" si="82"/>
        <v>0</v>
      </c>
      <c r="H227" s="106">
        <f t="shared" ca="1" si="82"/>
        <v>0</v>
      </c>
      <c r="I227" s="106">
        <f t="shared" ca="1" si="82"/>
        <v>0</v>
      </c>
      <c r="J227" s="106">
        <f t="shared" ca="1" si="82"/>
        <v>0</v>
      </c>
      <c r="K227" s="106">
        <f t="shared" ca="1" si="82"/>
        <v>0</v>
      </c>
      <c r="L227" s="106">
        <f t="shared" ca="1" si="82"/>
        <v>0</v>
      </c>
      <c r="M227" s="106">
        <f t="shared" si="82"/>
        <v>0</v>
      </c>
      <c r="N227" s="106">
        <f t="shared" si="82"/>
        <v>0</v>
      </c>
      <c r="O227" s="100"/>
    </row>
    <row r="228" spans="1:15" x14ac:dyDescent="0.2">
      <c r="A228" s="121" t="s">
        <v>163</v>
      </c>
      <c r="B228" s="96">
        <f ca="1">Data!I99</f>
        <v>0.95</v>
      </c>
      <c r="D228" s="98">
        <v>7</v>
      </c>
      <c r="E228" s="109">
        <f>IF(E219=1, (1-B206)*(1-B205)*(1-B204)*(B216)*(B222), 0)</f>
        <v>0</v>
      </c>
      <c r="F228" s="106">
        <f t="shared" ref="F228:N228" ca="1" si="83">IF($D228&gt;=F220, POWER($B203, F220) * POWER((1-$B203), $D228-F220) * COMBIN($D228,F220) * $E228, 0)</f>
        <v>0</v>
      </c>
      <c r="G228" s="106">
        <f t="shared" ca="1" si="83"/>
        <v>0</v>
      </c>
      <c r="H228" s="106">
        <f t="shared" ca="1" si="83"/>
        <v>0</v>
      </c>
      <c r="I228" s="106">
        <f t="shared" ca="1" si="83"/>
        <v>0</v>
      </c>
      <c r="J228" s="106">
        <f t="shared" ca="1" si="83"/>
        <v>0</v>
      </c>
      <c r="K228" s="106">
        <f t="shared" ca="1" si="83"/>
        <v>0</v>
      </c>
      <c r="L228" s="106">
        <f t="shared" ca="1" si="83"/>
        <v>0</v>
      </c>
      <c r="M228" s="106">
        <f t="shared" ca="1" si="83"/>
        <v>0</v>
      </c>
      <c r="N228" s="106">
        <f t="shared" si="83"/>
        <v>0</v>
      </c>
      <c r="O228" s="100"/>
    </row>
    <row r="229" spans="1:15" x14ac:dyDescent="0.2">
      <c r="D229" s="98">
        <v>8</v>
      </c>
      <c r="E229" s="109">
        <f>IF(E219=1, (1-B206)*(1-B205)*(1-B204)*(B216)*(B223), 0)</f>
        <v>0</v>
      </c>
      <c r="F229" s="111">
        <f t="shared" ref="F229:N229" ca="1" si="84">IF($D229&gt;=F220, POWER($B203, F220) * POWER((1-$B203), $D229-F220) * COMBIN($D229,F220) * $E229, 0)</f>
        <v>0</v>
      </c>
      <c r="G229" s="112">
        <f t="shared" ca="1" si="84"/>
        <v>0</v>
      </c>
      <c r="H229" s="112">
        <f t="shared" ca="1" si="84"/>
        <v>0</v>
      </c>
      <c r="I229" s="112">
        <f t="shared" ca="1" si="84"/>
        <v>0</v>
      </c>
      <c r="J229" s="112">
        <f t="shared" ca="1" si="84"/>
        <v>0</v>
      </c>
      <c r="K229" s="112">
        <f t="shared" ca="1" si="84"/>
        <v>0</v>
      </c>
      <c r="L229" s="112">
        <f t="shared" ca="1" si="84"/>
        <v>0</v>
      </c>
      <c r="M229" s="112">
        <f t="shared" ca="1" si="84"/>
        <v>0</v>
      </c>
      <c r="N229" s="112">
        <f t="shared" ca="1" si="84"/>
        <v>0</v>
      </c>
      <c r="O229" s="100"/>
    </row>
    <row r="230" spans="1:15" x14ac:dyDescent="0.2">
      <c r="E230" s="101">
        <f>SUM(E221:E229)</f>
        <v>1</v>
      </c>
      <c r="O230" s="100"/>
    </row>
    <row r="231" spans="1:15" x14ac:dyDescent="0.2">
      <c r="E231" s="98" t="s">
        <v>241</v>
      </c>
      <c r="F231" s="114">
        <f t="shared" ref="F231:N231" ca="1" si="85">SUM(F221:F229)</f>
        <v>1</v>
      </c>
      <c r="G231" s="114">
        <f t="shared" ca="1" si="85"/>
        <v>0</v>
      </c>
      <c r="H231" s="114">
        <f t="shared" ca="1" si="85"/>
        <v>0</v>
      </c>
      <c r="I231" s="114">
        <f t="shared" ca="1" si="85"/>
        <v>0</v>
      </c>
      <c r="J231" s="114">
        <f t="shared" ca="1" si="85"/>
        <v>0</v>
      </c>
      <c r="K231" s="114">
        <f t="shared" ca="1" si="85"/>
        <v>0</v>
      </c>
      <c r="L231" s="114">
        <f t="shared" ca="1" si="85"/>
        <v>0</v>
      </c>
      <c r="M231" s="114">
        <f t="shared" ca="1" si="85"/>
        <v>0</v>
      </c>
      <c r="N231" s="114">
        <f t="shared" ca="1" si="85"/>
        <v>0</v>
      </c>
      <c r="O231" s="106">
        <f ca="1">SUM(F231:N231)</f>
        <v>1</v>
      </c>
    </row>
    <row r="232" spans="1:15" x14ac:dyDescent="0.2">
      <c r="E232" s="98" t="s">
        <v>243</v>
      </c>
      <c r="F232" s="115">
        <f ca="1">F220*F231+G220*G231+H220*H231+I220*I231+J231*J220+K231*K220+L231*L220+M231*M220+N231*N220</f>
        <v>0</v>
      </c>
      <c r="I232" s="100"/>
      <c r="J232" s="100"/>
      <c r="K232" s="106"/>
      <c r="O232" s="106"/>
    </row>
    <row r="233" spans="1:15" x14ac:dyDescent="0.2">
      <c r="K233" s="106"/>
      <c r="O233" s="100"/>
    </row>
    <row r="235" spans="1:15" x14ac:dyDescent="0.2">
      <c r="D235" s="100" t="s">
        <v>361</v>
      </c>
      <c r="E235" s="100"/>
      <c r="F235" s="106"/>
      <c r="G235" s="106"/>
      <c r="H235" s="106"/>
      <c r="I235" s="106"/>
      <c r="J235" s="106"/>
      <c r="K235" s="106"/>
      <c r="L235" s="106"/>
      <c r="M235" s="106"/>
      <c r="N235" s="106"/>
    </row>
    <row r="236" spans="1:15" x14ac:dyDescent="0.2">
      <c r="D236" s="100" t="s">
        <v>362</v>
      </c>
      <c r="E236" s="119">
        <v>0</v>
      </c>
      <c r="F236" s="100">
        <v>1</v>
      </c>
      <c r="G236" s="100">
        <v>2</v>
      </c>
      <c r="H236" s="110">
        <v>3</v>
      </c>
      <c r="I236" s="110">
        <v>4</v>
      </c>
      <c r="J236" s="110">
        <v>5</v>
      </c>
      <c r="K236" s="110">
        <v>6</v>
      </c>
      <c r="L236" s="110">
        <v>7</v>
      </c>
      <c r="M236" s="110">
        <v>8</v>
      </c>
      <c r="N236" s="98" t="s">
        <v>99</v>
      </c>
    </row>
    <row r="237" spans="1:15" x14ac:dyDescent="0.2">
      <c r="D237" s="100" t="s">
        <v>363</v>
      </c>
      <c r="E237" s="106">
        <f ca="1">F215*F231</f>
        <v>2.2329302500000016E-2</v>
      </c>
      <c r="F237" s="106">
        <f ca="1">F215*G231+G215*F231</f>
        <v>0.57506725250000001</v>
      </c>
      <c r="G237" s="106">
        <f ca="1">F215*H231+G215*G231+H215*F231</f>
        <v>0.33247016999999995</v>
      </c>
      <c r="H237" s="106">
        <f ca="1">F215*I231+G215*H231+H215*G231+I215*F231</f>
        <v>5.3843149999999992E-2</v>
      </c>
      <c r="I237" s="106">
        <f ca="1">F215*J231+G215*I231+H215*H231+I215*G231+J215*F231</f>
        <v>1.6290124999999999E-2</v>
      </c>
      <c r="J237" s="106">
        <f ca="1">F215*K231+G215*J231+H215*I231+I215*H231+J215*G231+K215*F231</f>
        <v>0</v>
      </c>
      <c r="K237" s="106">
        <f ca="1">F215*L231+G215*K231+H215*J231+I215*I231+J215*H231+K215*G231+L215*F231</f>
        <v>0</v>
      </c>
      <c r="L237" s="118">
        <f ca="1">F215*M231+G215*L231+H215*K231+I215*J231+J215*I231+K215*H231+L215*G231+M215*F231</f>
        <v>0</v>
      </c>
      <c r="M237" s="106">
        <f ca="1">F215*N231+G215*M231+H215*L231+I215*K231+J215*J231+K215*I231+L215*H231+M215*G231+N215*F231+G215*N231+H215*M231+I215*L231+J215*K231+K215*J231+L215*I231+M215*H231+N215*G231+H215*N231+I215*M231+J215*L231+K215*K231+L215*J231+M215*I231+N215*H231+I215*N231+J215*M231+K215*L231+L215*K231+M215*J231+N215*I231+J215*N231+K215*M231+L215*L231+M215*K231+N215*J231+K215*N231+L215*M231+M215*L231+N215*K231+L215*N231+M215*M231+N215*L231+M215*N231+N215*M231+N215*N231</f>
        <v>0</v>
      </c>
      <c r="N237" s="106">
        <f ca="1">SUM(E237:M237)</f>
        <v>0.99999999999999989</v>
      </c>
    </row>
    <row r="238" spans="1:15" x14ac:dyDescent="0.2">
      <c r="D238" s="110" t="s">
        <v>243</v>
      </c>
      <c r="E238" s="113">
        <f ca="1">E236*E237+F236*F237+G236*G237+H236*H237+I236*I237+J236*J237+K236*K237+L236*L237+M236*M237</f>
        <v>1.4666975425</v>
      </c>
    </row>
    <row r="239" spans="1:15" x14ac:dyDescent="0.2">
      <c r="D239" s="100"/>
      <c r="E239" s="106"/>
      <c r="F239" s="106"/>
      <c r="G239" s="106"/>
      <c r="H239" s="106"/>
      <c r="I239" s="106"/>
      <c r="J239" s="106"/>
      <c r="K239" s="106"/>
      <c r="L239" s="106"/>
      <c r="M239" s="106"/>
      <c r="N239" s="100"/>
    </row>
    <row r="241" spans="1:15" x14ac:dyDescent="0.2">
      <c r="A241" s="121" t="s">
        <v>370</v>
      </c>
    </row>
    <row r="243" spans="1:15" x14ac:dyDescent="0.2">
      <c r="A243" s="98" t="s">
        <v>239</v>
      </c>
      <c r="B243" s="99">
        <f ca="1">Data!J98</f>
        <v>0.95</v>
      </c>
      <c r="D243" s="100" t="s">
        <v>211</v>
      </c>
      <c r="E243" s="100"/>
      <c r="F243" s="100"/>
      <c r="G243" s="100"/>
      <c r="H243" s="100"/>
      <c r="I243" s="100"/>
    </row>
    <row r="244" spans="1:15" x14ac:dyDescent="0.2">
      <c r="A244" s="98" t="s">
        <v>191</v>
      </c>
      <c r="B244" s="101">
        <f ca="1">Data!J79</f>
        <v>0.39</v>
      </c>
      <c r="D244" s="98" t="s">
        <v>216</v>
      </c>
      <c r="E244" s="98" t="s">
        <v>240</v>
      </c>
      <c r="F244" s="102">
        <v>0</v>
      </c>
      <c r="G244" s="102">
        <v>1</v>
      </c>
      <c r="H244" s="102">
        <v>2</v>
      </c>
      <c r="I244" s="103">
        <v>3</v>
      </c>
      <c r="J244" s="103">
        <v>4</v>
      </c>
      <c r="K244" s="103">
        <v>5</v>
      </c>
      <c r="L244" s="103">
        <v>6</v>
      </c>
      <c r="M244" s="103">
        <v>7</v>
      </c>
      <c r="N244" s="103">
        <v>8</v>
      </c>
    </row>
    <row r="245" spans="1:15" x14ac:dyDescent="0.2">
      <c r="A245" s="98" t="s">
        <v>194</v>
      </c>
      <c r="B245" s="101">
        <f ca="1">Data!J80</f>
        <v>0.06</v>
      </c>
      <c r="D245" s="98">
        <v>0</v>
      </c>
      <c r="E245" s="105">
        <v>0</v>
      </c>
      <c r="F245" s="106">
        <f ca="1">IF($D245&gt;=F$244, POWER($B$243, F$244) * IF(ISERR(POWER((1-$B$243), $D245-F$244)), 1, POWER((1-$B$243), $D245-F$244)) * COMBIN($D245,F$244) * $E245, 0)</f>
        <v>0</v>
      </c>
      <c r="G245" s="106">
        <f t="shared" ref="G245:N252" si="86">IF($D245&gt;=G$244, POWER($B$243, G$244) * IF(ISERR(POWER((1-$B$243), $D245-G$244)), 1, POWER((1-$B$243), $D245-G$244)) * COMBIN($D245,G$244) * $E245, 0)</f>
        <v>0</v>
      </c>
      <c r="H245" s="106">
        <f t="shared" si="86"/>
        <v>0</v>
      </c>
      <c r="I245" s="106">
        <f t="shared" si="86"/>
        <v>0</v>
      </c>
      <c r="J245" s="106">
        <f t="shared" si="86"/>
        <v>0</v>
      </c>
      <c r="K245" s="106">
        <f t="shared" si="86"/>
        <v>0</v>
      </c>
      <c r="L245" s="106">
        <f t="shared" si="86"/>
        <v>0</v>
      </c>
      <c r="M245" s="106">
        <f t="shared" si="86"/>
        <v>0</v>
      </c>
      <c r="N245" s="106">
        <f t="shared" si="86"/>
        <v>0</v>
      </c>
    </row>
    <row r="246" spans="1:15" x14ac:dyDescent="0.2">
      <c r="A246" s="98" t="s">
        <v>196</v>
      </c>
      <c r="B246" s="101">
        <f ca="1">Data!J81</f>
        <v>0.02</v>
      </c>
      <c r="D246" s="98">
        <v>1</v>
      </c>
      <c r="E246" s="165">
        <f ca="1">(1-B246)*(1-B245)*(1-B244)*(1-B248)*(1-B247)*(1-B264)</f>
        <v>0.56193199999999988</v>
      </c>
      <c r="F246" s="106">
        <f ca="1">IF($D246&gt;=F244, POWER($B243, F244) * POWER((1-$B243), $D246-F244) * COMBIN($D246,F244) * $E246, 0) * (1 - B267*B268*(1-E259))</f>
        <v>2.1423657500000016E-2</v>
      </c>
      <c r="G246" s="106">
        <f ca="1">IF($D246&gt;=G244, POWER($B243, G244) * IF(ISERR(POWER((1-$B$243), $D246-G$244)), 1, POWER((1-$B$243), $D246-G$244)) * COMBIN($D246,G244) * $E246, 0) + IF($D246&gt;=F244, POWER($B243, F244) * IF(ISERR(POWER((1-$B$243), $D246-F$244)), 1, POWER((1-$B$243), $D246-F$244)) * COMBIN($D246,F244) * $E246, 0) * B267 * B268 * (1-E259)</f>
        <v>0.54050834249999991</v>
      </c>
      <c r="H246" s="106">
        <f t="shared" si="86"/>
        <v>0</v>
      </c>
      <c r="I246" s="106">
        <f t="shared" si="86"/>
        <v>0</v>
      </c>
      <c r="J246" s="106">
        <f t="shared" si="86"/>
        <v>0</v>
      </c>
      <c r="K246" s="106">
        <f t="shared" si="86"/>
        <v>0</v>
      </c>
      <c r="L246" s="106">
        <f t="shared" si="86"/>
        <v>0</v>
      </c>
      <c r="M246" s="106">
        <f t="shared" si="86"/>
        <v>0</v>
      </c>
      <c r="N246" s="106">
        <f t="shared" si="86"/>
        <v>0</v>
      </c>
    </row>
    <row r="247" spans="1:15" x14ac:dyDescent="0.2">
      <c r="A247" s="98" t="s">
        <v>351</v>
      </c>
      <c r="B247" s="101">
        <v>0</v>
      </c>
      <c r="D247" s="98">
        <v>2</v>
      </c>
      <c r="E247" s="165">
        <f ca="1">(1-B246)*(1-B245)*(1-B247)*(B244) + (1-B246)*(1-B245)*(1-B244)*(1-B247)*(B248)*(B249) + (1-B246)*(1-B245)*(1-B244)*(1-B247)*(1-B248)*(B264)*(B265) + (1-B246)*(1-B245)*(1-B244)*(1-B248)*(B247)</f>
        <v>0.35926799999999998</v>
      </c>
      <c r="F247" s="106">
        <f ca="1">IF($D247&gt;=F244, POWER($B243, F244) * POWER((1-$B243), $D247-F244) * COMBIN($D247,F244) * $E247, 0)</f>
        <v>8.9817000000000152E-4</v>
      </c>
      <c r="G247" s="106">
        <f ca="1">IF($D247&gt;=G244, POWER($B243, G244) * POWER((1-$B243), $D247-G244) * COMBIN($D247,G244) * $E247, 0)</f>
        <v>3.4130460000000029E-2</v>
      </c>
      <c r="H247" s="106">
        <f t="shared" ca="1" si="86"/>
        <v>0.32423936999999997</v>
      </c>
      <c r="I247" s="106">
        <f t="shared" si="86"/>
        <v>0</v>
      </c>
      <c r="J247" s="106">
        <f t="shared" si="86"/>
        <v>0</v>
      </c>
      <c r="K247" s="106">
        <f t="shared" si="86"/>
        <v>0</v>
      </c>
      <c r="L247" s="106">
        <f t="shared" si="86"/>
        <v>0</v>
      </c>
      <c r="M247" s="106">
        <f t="shared" si="86"/>
        <v>0</v>
      </c>
      <c r="N247" s="106">
        <f t="shared" si="86"/>
        <v>0</v>
      </c>
    </row>
    <row r="248" spans="1:15" x14ac:dyDescent="0.2">
      <c r="A248" s="98" t="s">
        <v>352</v>
      </c>
      <c r="B248" s="101">
        <f>IF(ISBLANK(Gear!$B$3), 0, VLOOKUP(Gear!$B$3, Weapon, MATCH("OAx", StatHeader, 0), 0))</f>
        <v>0</v>
      </c>
      <c r="D248" s="98">
        <v>3</v>
      </c>
      <c r="E248" s="165">
        <f ca="1">(1-B246)*(1-B247)*(B245) + (1-B246)*(1-B245)*(1-B244)*(1-B247)*(B248)*(B250) + (1-B246)*(1-B245)*(1-B244)*(1-B247)*(1-B248)*(B264)*(B266) + (1-B246)*(1-B245)*(B247)*(B244) + (1-B246)*(1-B245)*(1-B244)*(B247)*(B248)*(B249) + (1-B246)*(1-B245)*(1-B244)*(B247)*(B264)*(B265)</f>
        <v>5.8799999999999998E-2</v>
      </c>
      <c r="F248" s="106">
        <f ca="1">IF($D248&gt;=F244, POWER($B243, F244) * POWER((1-$B243), $D248-F244) * COMBIN($D248,F244) * $E248, 0)</f>
        <v>7.3500000000000194E-6</v>
      </c>
      <c r="G248" s="106">
        <f ca="1">IF($D248&gt;=G244, POWER($B243, G244) * POWER((1-$B243), $D248-G244) * COMBIN($D248,G244) * $E248, 0)</f>
        <v>4.1895000000000067E-4</v>
      </c>
      <c r="H248" s="106">
        <f ca="1">IF($D248&gt;=H244, POWER($B243, H244) * POWER((1-$B243), $D248-H244) * COMBIN($D248,H244) * $E248, 0)</f>
        <v>7.9600500000000084E-3</v>
      </c>
      <c r="I248" s="106">
        <f t="shared" ca="1" si="86"/>
        <v>5.041364999999999E-2</v>
      </c>
      <c r="J248" s="106">
        <f t="shared" si="86"/>
        <v>0</v>
      </c>
      <c r="K248" s="106">
        <f t="shared" si="86"/>
        <v>0</v>
      </c>
      <c r="L248" s="106">
        <f t="shared" si="86"/>
        <v>0</v>
      </c>
      <c r="M248" s="106">
        <f t="shared" si="86"/>
        <v>0</v>
      </c>
      <c r="N248" s="106">
        <f t="shared" si="86"/>
        <v>0</v>
      </c>
    </row>
    <row r="249" spans="1:15" x14ac:dyDescent="0.2">
      <c r="A249" s="98" t="s">
        <v>353</v>
      </c>
      <c r="B249" s="101">
        <f>IF(ISBLANK(Gear!$B$3), 0, VLOOKUP(Gear!$B$3, Weapon, MATCH(A249, StatHeader, 0), 0))</f>
        <v>0</v>
      </c>
      <c r="D249" s="98">
        <v>4</v>
      </c>
      <c r="E249" s="165">
        <f ca="1">(B246)*(1-B247) + (1-B246)*(B247)*(B245) + (1-B246)*(1-B245)*(1-B244)*(1-B247)*(B248)*(B251) + (1-B246)*(1-B245)*(1-B244)*(B247)*(B264)*(B266) + (1-B246)*(1-B245)*(1-B244)*(B247)*(B248)*(B250)</f>
        <v>0.02</v>
      </c>
      <c r="F249" s="106">
        <f ca="1">IF($D249&gt;=F244, POWER($B243, F244) * POWER((1-$B243), $D249-F244) * COMBIN($D249,F244) * $E249, 0)</f>
        <v>1.2500000000000044E-7</v>
      </c>
      <c r="G249" s="106">
        <f ca="1">IF($D249&gt;=G244, POWER($B243, G244) * POWER((1-$B243), $D249-G244) * COMBIN($D249,G244) * $E249, 0)</f>
        <v>9.5000000000000259E-6</v>
      </c>
      <c r="H249" s="106">
        <f ca="1">IF($D249&gt;=H244, POWER($B243, H244) * POWER((1-$B243), $D249-H244) * COMBIN($D249,H244) * $E249, 0)</f>
        <v>2.7075000000000048E-4</v>
      </c>
      <c r="I249" s="106">
        <f ca="1">IF($D249&gt;=I244, POWER($B243, I244) * POWER((1-$B243), $D249-I244) * COMBIN($D249,I244) * $E249, 0)</f>
        <v>3.4295000000000024E-3</v>
      </c>
      <c r="J249" s="106">
        <f t="shared" ca="1" si="86"/>
        <v>1.6290124999999999E-2</v>
      </c>
      <c r="K249" s="106">
        <f t="shared" si="86"/>
        <v>0</v>
      </c>
      <c r="L249" s="106">
        <f t="shared" si="86"/>
        <v>0</v>
      </c>
      <c r="M249" s="106">
        <f t="shared" si="86"/>
        <v>0</v>
      </c>
      <c r="N249" s="106">
        <f t="shared" si="86"/>
        <v>0</v>
      </c>
    </row>
    <row r="250" spans="1:15" x14ac:dyDescent="0.2">
      <c r="A250" s="98" t="s">
        <v>354</v>
      </c>
      <c r="B250" s="101">
        <f>IF(ISBLANK(Gear!$B$3), 0, VLOOKUP(Gear!$B$3, Weapon, MATCH(A250, StatHeader, 0), 0))</f>
        <v>0</v>
      </c>
      <c r="D250" s="98">
        <v>5</v>
      </c>
      <c r="E250" s="166">
        <f ca="1">(1-B246)*(1-B245)*(1-B244)*(1-B247)*(B248)*(B252) + (1-B246)*(1-B245)*(1-B244)*(B247)*(B248)*(B251) + (B246)*(B247)</f>
        <v>0</v>
      </c>
      <c r="F250" s="106">
        <f ca="1">IF($D250&gt;=F244, POWER($B243, F244) * POWER((1-$B243), $D250-F244) * COMBIN($D250,F244) * $E250, 0)</f>
        <v>0</v>
      </c>
      <c r="G250" s="106">
        <f ca="1">IF($D250&gt;=G244, POWER($B243, G244) * POWER((1-$B243), $D250-G244) * COMBIN($D250,G244) * $E250, 0)</f>
        <v>0</v>
      </c>
      <c r="H250" s="106">
        <f ca="1">IF($D250&gt;=H244, POWER($B243, H244) * POWER((1-$B243), $D250-H244) * COMBIN($D250,H244) * $E250, 0)</f>
        <v>0</v>
      </c>
      <c r="I250" s="106">
        <f ca="1">IF($D250&gt;=I244, POWER($B243, I244) * POWER((1-$B243), $D250-I244) * COMBIN($D250,I244) * $E250, 0)</f>
        <v>0</v>
      </c>
      <c r="J250" s="106">
        <f ca="1">IF($D250&gt;=J244, POWER($B243, J244) * POWER((1-$B243), $D250-J244) * COMBIN($D250,J244) * $E250, 0)</f>
        <v>0</v>
      </c>
      <c r="K250" s="106">
        <f t="shared" ca="1" si="86"/>
        <v>0</v>
      </c>
      <c r="L250" s="106">
        <f t="shared" si="86"/>
        <v>0</v>
      </c>
      <c r="M250" s="106">
        <f t="shared" si="86"/>
        <v>0</v>
      </c>
      <c r="N250" s="106">
        <f t="shared" si="86"/>
        <v>0</v>
      </c>
    </row>
    <row r="251" spans="1:15" x14ac:dyDescent="0.2">
      <c r="A251" s="98" t="s">
        <v>355</v>
      </c>
      <c r="B251" s="101">
        <f>IF(ISBLANK(Gear!$B$3), 0, VLOOKUP(Gear!$B$3, Weapon, MATCH(A251, StatHeader, 0), 0))</f>
        <v>0</v>
      </c>
      <c r="D251" s="100">
        <v>6</v>
      </c>
      <c r="E251" s="166">
        <f ca="1">(1-B246)*(1-B245)*(1-B244)*(1-B247)*(B248)*(B253) + (1-B246)*(1-B245)*(1-B244)*(B247)*(B248)*(B252)</f>
        <v>0</v>
      </c>
      <c r="F251" s="106">
        <f t="shared" ref="F251:K251" ca="1" si="87">IF($D251&gt;=F244, POWER($B243, F244) * POWER((1-$B243), $D251-F244) * COMBIN($D251,F244) * $E251, 0)</f>
        <v>0</v>
      </c>
      <c r="G251" s="106">
        <f t="shared" ca="1" si="87"/>
        <v>0</v>
      </c>
      <c r="H251" s="106">
        <f t="shared" ca="1" si="87"/>
        <v>0</v>
      </c>
      <c r="I251" s="106">
        <f t="shared" ca="1" si="87"/>
        <v>0</v>
      </c>
      <c r="J251" s="106">
        <f t="shared" ca="1" si="87"/>
        <v>0</v>
      </c>
      <c r="K251" s="106">
        <f t="shared" ca="1" si="87"/>
        <v>0</v>
      </c>
      <c r="L251" s="106">
        <f t="shared" ca="1" si="86"/>
        <v>0</v>
      </c>
      <c r="M251" s="106">
        <f t="shared" si="86"/>
        <v>0</v>
      </c>
      <c r="N251" s="106">
        <f t="shared" si="86"/>
        <v>0</v>
      </c>
    </row>
    <row r="252" spans="1:15" x14ac:dyDescent="0.2">
      <c r="A252" s="98" t="s">
        <v>356</v>
      </c>
      <c r="B252" s="101">
        <f>IF(ISBLANK(Gear!$B$3), 0, VLOOKUP(Gear!$B$3, Weapon, MATCH(A252, StatHeader, 0), 0))</f>
        <v>0</v>
      </c>
      <c r="D252" s="110">
        <v>7</v>
      </c>
      <c r="E252" s="165">
        <f ca="1">(1-B246)*(1-B245)*(1-B244)*(1-B247)*(B248)*(B254) + (1-B246)*(1-B245)*(1-B244)*(B247)*(B248)*(B253)</f>
        <v>0</v>
      </c>
      <c r="F252" s="106">
        <f t="shared" ref="F252:L252" ca="1" si="88">IF($D252&gt;=F244, POWER($B243, F244) * POWER((1-$B243), $D252-F244) * COMBIN($D252,F244) * $E252, 0)</f>
        <v>0</v>
      </c>
      <c r="G252" s="106">
        <f t="shared" ca="1" si="88"/>
        <v>0</v>
      </c>
      <c r="H252" s="106">
        <f t="shared" ca="1" si="88"/>
        <v>0</v>
      </c>
      <c r="I252" s="106">
        <f t="shared" ca="1" si="88"/>
        <v>0</v>
      </c>
      <c r="J252" s="106">
        <f t="shared" ca="1" si="88"/>
        <v>0</v>
      </c>
      <c r="K252" s="106">
        <f t="shared" ca="1" si="88"/>
        <v>0</v>
      </c>
      <c r="L252" s="106">
        <f t="shared" ca="1" si="88"/>
        <v>0</v>
      </c>
      <c r="M252" s="106">
        <f t="shared" ca="1" si="86"/>
        <v>0</v>
      </c>
      <c r="N252" s="106">
        <f t="shared" si="86"/>
        <v>0</v>
      </c>
      <c r="O252" s="100"/>
    </row>
    <row r="253" spans="1:15" x14ac:dyDescent="0.2">
      <c r="A253" s="98" t="s">
        <v>357</v>
      </c>
      <c r="B253" s="101">
        <f>IF(ISBLANK(Gear!$B$3), 0, VLOOKUP(Gear!$B$3, Weapon, MATCH(A253, StatHeader, 0), 0))</f>
        <v>0</v>
      </c>
      <c r="D253" s="110">
        <v>8</v>
      </c>
      <c r="E253" s="165">
        <f ca="1">(1-B246)*(1-B245)*(1-B244)*(B248)*(B255) + (1-B246)*(1-B245)*(1-B244)*(B247)*(B248)*(B254)</f>
        <v>0</v>
      </c>
      <c r="F253" s="111">
        <f t="shared" ref="F253:M253" ca="1" si="89">IF($D253&gt;=F244, POWER($B243, F244) * POWER((1-$B243), $D253-F244) * COMBIN($D253,F244) * $E253, 0)</f>
        <v>0</v>
      </c>
      <c r="G253" s="112">
        <f t="shared" ca="1" si="89"/>
        <v>0</v>
      </c>
      <c r="H253" s="112">
        <f t="shared" ca="1" si="89"/>
        <v>0</v>
      </c>
      <c r="I253" s="112">
        <f t="shared" ca="1" si="89"/>
        <v>0</v>
      </c>
      <c r="J253" s="112">
        <f t="shared" ca="1" si="89"/>
        <v>0</v>
      </c>
      <c r="K253" s="112">
        <f t="shared" ca="1" si="89"/>
        <v>0</v>
      </c>
      <c r="L253" s="112">
        <f t="shared" ca="1" si="89"/>
        <v>0</v>
      </c>
      <c r="M253" s="112">
        <f t="shared" ca="1" si="89"/>
        <v>0</v>
      </c>
      <c r="N253" s="112">
        <f ca="1">IF($D253&gt;=N$244, POWER($B$243, N$244) * IF(ISERR(POWER((1-$B$243), $D253-N$244)), 1, POWER((1-$B$243), $D253-N$244)) * COMBIN($D253,N$244) * $E253, 0)</f>
        <v>0</v>
      </c>
      <c r="O253" s="100"/>
    </row>
    <row r="254" spans="1:15" x14ac:dyDescent="0.2">
      <c r="A254" s="98" t="s">
        <v>358</v>
      </c>
      <c r="B254" s="101">
        <f>IF(ISBLANK(Gear!$B$3), 0, VLOOKUP(Gear!$B$3, Weapon, MATCH(A254, StatHeader, 0), 0))</f>
        <v>0</v>
      </c>
      <c r="E254" s="101">
        <f ca="1">SUM(E245:E253)</f>
        <v>0.99999999999999978</v>
      </c>
      <c r="O254" s="106"/>
    </row>
    <row r="255" spans="1:15" x14ac:dyDescent="0.2">
      <c r="A255" s="98" t="s">
        <v>359</v>
      </c>
      <c r="B255" s="101">
        <f>IF(ISBLANK(Gear!$B$3), 0, VLOOKUP(Gear!$B$3, Weapon, MATCH(A255, StatHeader, 0), 0))</f>
        <v>0</v>
      </c>
      <c r="E255" s="98" t="s">
        <v>241</v>
      </c>
      <c r="F255" s="114">
        <f t="shared" ref="F255:N255" ca="1" si="90">SUM(F245:F253)</f>
        <v>2.2329302500000016E-2</v>
      </c>
      <c r="G255" s="114">
        <f t="shared" ca="1" si="90"/>
        <v>0.57506725250000001</v>
      </c>
      <c r="H255" s="114">
        <f t="shared" ca="1" si="90"/>
        <v>0.33247016999999995</v>
      </c>
      <c r="I255" s="114">
        <f t="shared" ca="1" si="90"/>
        <v>5.3843149999999992E-2</v>
      </c>
      <c r="J255" s="114">
        <f t="shared" ca="1" si="90"/>
        <v>1.6290124999999999E-2</v>
      </c>
      <c r="K255" s="114">
        <f t="shared" ca="1" si="90"/>
        <v>0</v>
      </c>
      <c r="L255" s="114">
        <f t="shared" ca="1" si="90"/>
        <v>0</v>
      </c>
      <c r="M255" s="114">
        <f t="shared" ca="1" si="90"/>
        <v>0</v>
      </c>
      <c r="N255" s="114">
        <f t="shared" ca="1" si="90"/>
        <v>0</v>
      </c>
      <c r="O255" s="106">
        <f ca="1">SUM(F255:N255)</f>
        <v>0.99999999999999989</v>
      </c>
    </row>
    <row r="256" spans="1:15" x14ac:dyDescent="0.2">
      <c r="A256" s="98" t="s">
        <v>360</v>
      </c>
      <c r="B256" s="101">
        <f>IF(ISBLANK(Gear!$B$3), 0, VLOOKUP(Gear!$B$3, Weapon, MATCH("OAx", StatHeader, 0), 0))</f>
        <v>0</v>
      </c>
      <c r="E256" s="106" t="s">
        <v>243</v>
      </c>
      <c r="F256" s="115">
        <f ca="1">F244*F255+G244*G255+H244*H255+I244*I255+J255*J244+K255*K244+L255*L244+M255*M244+N255*N244</f>
        <v>1.4666975425</v>
      </c>
      <c r="G256" s="106"/>
      <c r="H256" s="106"/>
      <c r="I256" s="106"/>
      <c r="O256" s="100"/>
    </row>
    <row r="257" spans="1:15" x14ac:dyDescent="0.2">
      <c r="A257" s="98" t="s">
        <v>353</v>
      </c>
      <c r="B257" s="101">
        <f>IF(ISBLANK(Gear!$B$3), 0, VLOOKUP(Gear!$B$3, Weapon, MATCH(A257, StatHeader, 0), 0))</f>
        <v>0</v>
      </c>
      <c r="F257"/>
      <c r="G257"/>
      <c r="H257"/>
    </row>
    <row r="258" spans="1:15" x14ac:dyDescent="0.2">
      <c r="A258" s="98" t="s">
        <v>354</v>
      </c>
      <c r="B258" s="101">
        <f>IF(ISBLANK(Gear!$B$3), 0, VLOOKUP(Gear!$B$3, Weapon, MATCH(A258, StatHeader, 0), 0))</f>
        <v>0</v>
      </c>
      <c r="F258" s="88"/>
      <c r="G258" s="63"/>
      <c r="H258" s="63"/>
    </row>
    <row r="259" spans="1:15" x14ac:dyDescent="0.2">
      <c r="A259" s="98" t="s">
        <v>355</v>
      </c>
      <c r="B259" s="101">
        <f>IF(ISBLANK(Gear!$B$3), 0, VLOOKUP(Gear!$B$3, Weapon, MATCH(A259, StatHeader, 0), 0))</f>
        <v>0</v>
      </c>
      <c r="D259" s="100" t="s">
        <v>215</v>
      </c>
      <c r="E259" s="100">
        <v>0</v>
      </c>
      <c r="F259" s="100"/>
      <c r="G259" s="100"/>
      <c r="H259" s="100"/>
      <c r="I259" s="100"/>
      <c r="J259" s="100"/>
    </row>
    <row r="260" spans="1:15" x14ac:dyDescent="0.2">
      <c r="A260" s="98" t="s">
        <v>356</v>
      </c>
      <c r="B260" s="101">
        <f>IF(ISBLANK(Gear!$B$3), 0, VLOOKUP(Gear!$B$3, Weapon, MATCH(A260, StatHeader, 0), 0))</f>
        <v>0</v>
      </c>
      <c r="D260" s="98" t="s">
        <v>216</v>
      </c>
      <c r="E260" s="98" t="s">
        <v>240</v>
      </c>
      <c r="F260" s="102">
        <v>0</v>
      </c>
      <c r="G260" s="102">
        <v>1</v>
      </c>
      <c r="H260" s="102">
        <v>2</v>
      </c>
      <c r="I260" s="103">
        <v>3</v>
      </c>
      <c r="J260" s="103">
        <v>4</v>
      </c>
      <c r="K260" s="103">
        <v>5</v>
      </c>
      <c r="L260" s="103">
        <v>6</v>
      </c>
      <c r="M260" s="103">
        <v>7</v>
      </c>
      <c r="N260" s="103">
        <v>8</v>
      </c>
      <c r="O260" s="100"/>
    </row>
    <row r="261" spans="1:15" x14ac:dyDescent="0.2">
      <c r="A261" s="98" t="s">
        <v>357</v>
      </c>
      <c r="B261" s="101">
        <f>IF(ISBLANK(Gear!$B$3), 0, VLOOKUP(Gear!$B$3, Weapon, MATCH(A261, StatHeader, 0), 0))</f>
        <v>0</v>
      </c>
      <c r="D261" s="98">
        <v>0</v>
      </c>
      <c r="E261" s="105">
        <f>IF(E259=0, 100%, 0)</f>
        <v>1</v>
      </c>
      <c r="F261" s="106">
        <f ca="1">IF($D261&gt;=F$260, POWER($B$243, F$260) * IF(ISERR(POWER((1-$B$243), $D261-F$260)), 1, POWER((1-$B$243), $D261-F$260)) * COMBIN($D261,F$260) * $E261, 0)</f>
        <v>1</v>
      </c>
      <c r="G261" s="106">
        <f t="shared" ref="G261:N268" si="91">IF($D261&gt;=G$260, POWER($B$243, G$260) * IF(ISERR(POWER((1-$B$243), $D261-G$260)), 1, POWER((1-$B$243), $D261-G$260)) * COMBIN($D261,G$260) * $E261, 0)</f>
        <v>0</v>
      </c>
      <c r="H261" s="106">
        <f t="shared" si="91"/>
        <v>0</v>
      </c>
      <c r="I261" s="106">
        <f t="shared" si="91"/>
        <v>0</v>
      </c>
      <c r="J261" s="106">
        <f t="shared" si="91"/>
        <v>0</v>
      </c>
      <c r="K261" s="106">
        <f t="shared" si="91"/>
        <v>0</v>
      </c>
      <c r="L261" s="106">
        <f t="shared" si="91"/>
        <v>0</v>
      </c>
      <c r="M261" s="106">
        <f t="shared" si="91"/>
        <v>0</v>
      </c>
      <c r="N261" s="106">
        <f t="shared" si="91"/>
        <v>0</v>
      </c>
      <c r="O261" s="100"/>
    </row>
    <row r="262" spans="1:15" x14ac:dyDescent="0.2">
      <c r="A262" s="98" t="s">
        <v>358</v>
      </c>
      <c r="B262" s="101">
        <f>IF(ISBLANK(Gear!$B$3), 0, VLOOKUP(Gear!$B$3, Weapon, MATCH(A262, StatHeader, 0), 0))</f>
        <v>0</v>
      </c>
      <c r="D262" s="98">
        <v>1</v>
      </c>
      <c r="E262" s="108">
        <f>IF(E259=1, (1-B246)*(1-B245)*(1-B244)*(1-B256), 0)</f>
        <v>0</v>
      </c>
      <c r="F262" s="106">
        <f ca="1">IF($D262&gt;=F260, POWER($B243, F260) * POWER((1-$B243), $D262-F260) * COMBIN($D262,F260) * $E262, 0)</f>
        <v>0</v>
      </c>
      <c r="G262" s="106">
        <f t="shared" ca="1" si="91"/>
        <v>0</v>
      </c>
      <c r="H262" s="106">
        <f t="shared" si="91"/>
        <v>0</v>
      </c>
      <c r="I262" s="106">
        <f t="shared" si="91"/>
        <v>0</v>
      </c>
      <c r="J262" s="106">
        <f t="shared" si="91"/>
        <v>0</v>
      </c>
      <c r="K262" s="106">
        <f t="shared" si="91"/>
        <v>0</v>
      </c>
      <c r="L262" s="106">
        <f t="shared" si="91"/>
        <v>0</v>
      </c>
      <c r="M262" s="106">
        <f t="shared" si="91"/>
        <v>0</v>
      </c>
      <c r="N262" s="106">
        <f t="shared" si="91"/>
        <v>0</v>
      </c>
      <c r="O262" s="100"/>
    </row>
    <row r="263" spans="1:15" x14ac:dyDescent="0.2">
      <c r="A263" s="98" t="s">
        <v>359</v>
      </c>
      <c r="B263" s="101">
        <f>IF(ISBLANK(Gear!$B$3), 0, VLOOKUP(Gear!$B$3, Weapon, MATCH(A263, StatHeader, 0), 0))</f>
        <v>0</v>
      </c>
      <c r="D263" s="98">
        <v>2</v>
      </c>
      <c r="E263" s="108">
        <f>IF(E259=1, (1-B246)*(1-B245)*(1-B244)*(B256)*(B257) + (1-B246)*(1-B245)*B244, 0)</f>
        <v>0</v>
      </c>
      <c r="F263" s="106">
        <f ca="1">IF($D263&gt;=F260, POWER($B243, F260) * POWER((1-$B243), $D263-F260) * COMBIN($D263,F260) * $E263, 0)</f>
        <v>0</v>
      </c>
      <c r="G263" s="106">
        <f ca="1">IF($D263&gt;=G260, POWER($B243, G260) * POWER((1-$B243), $D263-G260) * COMBIN($D263,G260) * $E263, 0)</f>
        <v>0</v>
      </c>
      <c r="H263" s="106">
        <f t="shared" ca="1" si="91"/>
        <v>0</v>
      </c>
      <c r="I263" s="106">
        <f t="shared" si="91"/>
        <v>0</v>
      </c>
      <c r="J263" s="106">
        <f t="shared" si="91"/>
        <v>0</v>
      </c>
      <c r="K263" s="106">
        <f t="shared" si="91"/>
        <v>0</v>
      </c>
      <c r="L263" s="106">
        <f t="shared" si="91"/>
        <v>0</v>
      </c>
      <c r="M263" s="106">
        <f t="shared" si="91"/>
        <v>0</v>
      </c>
      <c r="N263" s="106">
        <f t="shared" si="91"/>
        <v>0</v>
      </c>
      <c r="O263" s="100"/>
    </row>
    <row r="264" spans="1:15" x14ac:dyDescent="0.2">
      <c r="A264" t="s">
        <v>437</v>
      </c>
      <c r="B264" s="8">
        <f>IF(LEFT(Setup!$B$36,4)="Lv.3", IF(ISBLANK(Gear!$B$3), 0, VLOOKUP(Gear!$B$3, Weapon, MATCH(A264, StatHeader, 0), 0)), 0)</f>
        <v>0</v>
      </c>
      <c r="D264" s="98">
        <v>3</v>
      </c>
      <c r="E264" s="108">
        <f>IF(E259=1, (1-B246)*(1-B245)*(1-B244)*(B256)*(B258) + (1-B246)*(B245), 0)</f>
        <v>0</v>
      </c>
      <c r="F264" s="106">
        <f ca="1">IF($D264&gt;=F260, POWER($B243, F260) * POWER((1-$B243), $D264-F260) * COMBIN($D264,F260) * $E264, 0)</f>
        <v>0</v>
      </c>
      <c r="G264" s="106">
        <f ca="1">IF($D264&gt;=G260, POWER($B243, G260) * POWER((1-$B243), $D264-G260) * COMBIN($D264,G260) * $E264, 0)</f>
        <v>0</v>
      </c>
      <c r="H264" s="106">
        <f ca="1">IF($D264&gt;=H260, POWER($B243, H260) * POWER((1-$B243), $D264-H260) * COMBIN($D264,H260) * $E264, 0)</f>
        <v>0</v>
      </c>
      <c r="I264" s="106">
        <f t="shared" ca="1" si="91"/>
        <v>0</v>
      </c>
      <c r="J264" s="106">
        <f t="shared" si="91"/>
        <v>0</v>
      </c>
      <c r="K264" s="106">
        <f t="shared" si="91"/>
        <v>0</v>
      </c>
      <c r="L264" s="106">
        <f t="shared" si="91"/>
        <v>0</v>
      </c>
      <c r="M264" s="106">
        <f t="shared" si="91"/>
        <v>0</v>
      </c>
      <c r="N264" s="106">
        <f t="shared" si="91"/>
        <v>0</v>
      </c>
      <c r="O264" s="100"/>
    </row>
    <row r="265" spans="1:15" x14ac:dyDescent="0.2">
      <c r="A265" t="s">
        <v>438</v>
      </c>
      <c r="B265" s="8">
        <f>IF(LEFT(Setup!$B$36,4)="Lv.3", IF(ISBLANK(Gear!$B$3), 0, VLOOKUP(Gear!$B$3, Weapon, MATCH(A265, StatHeader, 0), 0)), 0)</f>
        <v>0</v>
      </c>
      <c r="D265" s="98">
        <v>4</v>
      </c>
      <c r="E265" s="108">
        <f>IF(E259=1, (1-B246)*(1-B245)*(1-B244)*(B256)*(B259) + (B246), 0)</f>
        <v>0</v>
      </c>
      <c r="F265" s="106">
        <f ca="1">IF($D265&gt;=F260, POWER($B243, F260) * POWER((1-$B243), $D265-F260) * COMBIN($D265,F260) * $E265, 0)</f>
        <v>0</v>
      </c>
      <c r="G265" s="106">
        <f ca="1">IF($D265&gt;=G260, POWER($B243, G260) * POWER((1-$B243), $D265-G260) * COMBIN($D265,G260) * $E265, 0)</f>
        <v>0</v>
      </c>
      <c r="H265" s="106">
        <f ca="1">IF($D265&gt;=H260, POWER($B243, H260) * POWER((1-$B243), $D265-H260) * COMBIN($D265,H260) * $E265, 0)</f>
        <v>0</v>
      </c>
      <c r="I265" s="106">
        <f ca="1">IF($D265&gt;=I260, POWER($B243, I260) * POWER((1-$B243), $D265-I260) * COMBIN($D265,I260) * $E265, 0)</f>
        <v>0</v>
      </c>
      <c r="J265" s="106">
        <f t="shared" ca="1" si="91"/>
        <v>0</v>
      </c>
      <c r="K265" s="106">
        <f t="shared" si="91"/>
        <v>0</v>
      </c>
      <c r="L265" s="106">
        <f t="shared" si="91"/>
        <v>0</v>
      </c>
      <c r="M265" s="106">
        <f t="shared" si="91"/>
        <v>0</v>
      </c>
      <c r="N265" s="106">
        <f t="shared" si="91"/>
        <v>0</v>
      </c>
      <c r="O265" s="100"/>
    </row>
    <row r="266" spans="1:15" x14ac:dyDescent="0.2">
      <c r="A266" t="s">
        <v>439</v>
      </c>
      <c r="B266" s="8">
        <f>IF(LEFT(Setup!$B$36,4)="Lv.3", IF(ISBLANK(Gear!$B$3), 0, VLOOKUP(Gear!$B$3, Weapon, MATCH(A266, StatHeader, 0), 0)), 0)</f>
        <v>0</v>
      </c>
      <c r="D266" s="98">
        <v>5</v>
      </c>
      <c r="E266" s="109">
        <f>IF(E259=1, (1-B246)*(1-B245)*(1-B244)*(B256)*(B260), 0)</f>
        <v>0</v>
      </c>
      <c r="F266" s="106">
        <f ca="1">IF($D266&gt;=F260, POWER($B243, F260) * POWER((1-$B243), $D266-F260) * COMBIN($D266,F260) * $E266, 0)</f>
        <v>0</v>
      </c>
      <c r="G266" s="106">
        <f ca="1">IF($D266&gt;=G260, POWER($B243, G260) * POWER((1-$B243), $D266-G260) * COMBIN($D266,G260) * $E266, 0)</f>
        <v>0</v>
      </c>
      <c r="H266" s="106">
        <f ca="1">IF($D266&gt;=H260, POWER($B243, H260) * POWER((1-$B243), $D266-H260) * COMBIN($D266,H260) * $E266, 0)</f>
        <v>0</v>
      </c>
      <c r="I266" s="106">
        <f ca="1">IF($D266&gt;=I260, POWER($B243, I260) * POWER((1-$B243), $D266-I260) * COMBIN($D266,I260) * $E266, 0)</f>
        <v>0</v>
      </c>
      <c r="J266" s="106">
        <f ca="1">IF($D266&gt;=J260, POWER($B243, J260) * POWER((1-$B243), $D266-J260) * COMBIN($D266,J260) * $E266, 0)</f>
        <v>0</v>
      </c>
      <c r="K266" s="106">
        <f t="shared" ca="1" si="91"/>
        <v>0</v>
      </c>
      <c r="L266" s="106">
        <f t="shared" si="91"/>
        <v>0</v>
      </c>
      <c r="M266" s="106">
        <f t="shared" si="91"/>
        <v>0</v>
      </c>
      <c r="N266" s="106">
        <f t="shared" si="91"/>
        <v>0</v>
      </c>
      <c r="O266" s="100"/>
    </row>
    <row r="267" spans="1:15" x14ac:dyDescent="0.2">
      <c r="A267" s="121" t="s">
        <v>365</v>
      </c>
      <c r="B267" s="101">
        <f ca="1">Data!J83</f>
        <v>0.25</v>
      </c>
      <c r="D267" s="117">
        <v>6</v>
      </c>
      <c r="E267" s="109">
        <f>IF(E259=1, (1-B246)*(1-B245)*(1-B244)*(B256)*(B261), 0)</f>
        <v>0</v>
      </c>
      <c r="F267" s="106">
        <f t="shared" ref="F267:K267" ca="1" si="92">IF($D267&gt;=F260, POWER($B243, F260) * POWER((1-$B243), $D267-F260) * COMBIN($D267,F260) * $E267, 0)</f>
        <v>0</v>
      </c>
      <c r="G267" s="106">
        <f t="shared" ca="1" si="92"/>
        <v>0</v>
      </c>
      <c r="H267" s="106">
        <f t="shared" ca="1" si="92"/>
        <v>0</v>
      </c>
      <c r="I267" s="106">
        <f t="shared" ca="1" si="92"/>
        <v>0</v>
      </c>
      <c r="J267" s="106">
        <f t="shared" ca="1" si="92"/>
        <v>0</v>
      </c>
      <c r="K267" s="106">
        <f t="shared" ca="1" si="92"/>
        <v>0</v>
      </c>
      <c r="L267" s="106">
        <f t="shared" ca="1" si="91"/>
        <v>0</v>
      </c>
      <c r="M267" s="106">
        <f t="shared" si="91"/>
        <v>0</v>
      </c>
      <c r="N267" s="106">
        <f t="shared" si="91"/>
        <v>0</v>
      </c>
      <c r="O267" s="100"/>
    </row>
    <row r="268" spans="1:15" x14ac:dyDescent="0.2">
      <c r="A268" s="121" t="s">
        <v>163</v>
      </c>
      <c r="B268" s="96">
        <f ca="1">Data!J99</f>
        <v>0.95</v>
      </c>
      <c r="D268" s="98">
        <v>7</v>
      </c>
      <c r="E268" s="109">
        <f>IF(E259=1, (1-B246)*(1-B245)*(1-B244)*(B256)*(B262), 0)</f>
        <v>0</v>
      </c>
      <c r="F268" s="106">
        <f t="shared" ref="F268:L268" ca="1" si="93">IF($D268&gt;=F260, POWER($B243, F260) * POWER((1-$B243), $D268-F260) * COMBIN($D268,F260) * $E268, 0)</f>
        <v>0</v>
      </c>
      <c r="G268" s="106">
        <f t="shared" ca="1" si="93"/>
        <v>0</v>
      </c>
      <c r="H268" s="106">
        <f t="shared" ca="1" si="93"/>
        <v>0</v>
      </c>
      <c r="I268" s="106">
        <f t="shared" ca="1" si="93"/>
        <v>0</v>
      </c>
      <c r="J268" s="106">
        <f t="shared" ca="1" si="93"/>
        <v>0</v>
      </c>
      <c r="K268" s="106">
        <f t="shared" ca="1" si="93"/>
        <v>0</v>
      </c>
      <c r="L268" s="106">
        <f t="shared" ca="1" si="93"/>
        <v>0</v>
      </c>
      <c r="M268" s="106">
        <f t="shared" ca="1" si="91"/>
        <v>0</v>
      </c>
      <c r="N268" s="106">
        <f t="shared" si="91"/>
        <v>0</v>
      </c>
      <c r="O268" s="100"/>
    </row>
    <row r="269" spans="1:15" x14ac:dyDescent="0.2">
      <c r="D269" s="98">
        <v>8</v>
      </c>
      <c r="E269" s="109">
        <f>IF(E259=1, (1-B246)*(1-B245)*(1-B244)*(B256)*(B263), 0)</f>
        <v>0</v>
      </c>
      <c r="F269" s="111">
        <f t="shared" ref="F269:M269" ca="1" si="94">IF($D269&gt;=F260, POWER($B243, F260) * POWER((1-$B243), $D269-F260) * COMBIN($D269,F260) * $E269, 0)</f>
        <v>0</v>
      </c>
      <c r="G269" s="112">
        <f t="shared" ca="1" si="94"/>
        <v>0</v>
      </c>
      <c r="H269" s="112">
        <f t="shared" ca="1" si="94"/>
        <v>0</v>
      </c>
      <c r="I269" s="112">
        <f t="shared" ca="1" si="94"/>
        <v>0</v>
      </c>
      <c r="J269" s="112">
        <f t="shared" ca="1" si="94"/>
        <v>0</v>
      </c>
      <c r="K269" s="112">
        <f t="shared" ca="1" si="94"/>
        <v>0</v>
      </c>
      <c r="L269" s="112">
        <f t="shared" ca="1" si="94"/>
        <v>0</v>
      </c>
      <c r="M269" s="112">
        <f t="shared" ca="1" si="94"/>
        <v>0</v>
      </c>
      <c r="N269" s="112">
        <f ca="1">IF($D269&gt;=N$260, POWER($B$243, N$260) * IF(ISERR(POWER((1-$B$243), $D269-N$260)), 1, POWER((1-$B$243), $D269-N$260)) * COMBIN($D269,N$260) * $E269, 0)</f>
        <v>0</v>
      </c>
      <c r="O269" s="100"/>
    </row>
    <row r="270" spans="1:15" x14ac:dyDescent="0.2">
      <c r="E270" s="101">
        <f>SUM(E261:E269)</f>
        <v>1</v>
      </c>
      <c r="O270" s="100"/>
    </row>
    <row r="271" spans="1:15" x14ac:dyDescent="0.2">
      <c r="E271" s="98" t="s">
        <v>241</v>
      </c>
      <c r="F271" s="114">
        <f t="shared" ref="F271:N271" ca="1" si="95">SUM(F261:F269)</f>
        <v>1</v>
      </c>
      <c r="G271" s="114">
        <f t="shared" ca="1" si="95"/>
        <v>0</v>
      </c>
      <c r="H271" s="114">
        <f t="shared" ca="1" si="95"/>
        <v>0</v>
      </c>
      <c r="I271" s="114">
        <f t="shared" ca="1" si="95"/>
        <v>0</v>
      </c>
      <c r="J271" s="114">
        <f t="shared" ca="1" si="95"/>
        <v>0</v>
      </c>
      <c r="K271" s="114">
        <f t="shared" ca="1" si="95"/>
        <v>0</v>
      </c>
      <c r="L271" s="114">
        <f t="shared" ca="1" si="95"/>
        <v>0</v>
      </c>
      <c r="M271" s="114">
        <f t="shared" ca="1" si="95"/>
        <v>0</v>
      </c>
      <c r="N271" s="114">
        <f t="shared" ca="1" si="95"/>
        <v>0</v>
      </c>
      <c r="O271" s="106">
        <f ca="1">SUM(F271:N271)</f>
        <v>1</v>
      </c>
    </row>
    <row r="272" spans="1:15" x14ac:dyDescent="0.2">
      <c r="E272" s="98" t="s">
        <v>243</v>
      </c>
      <c r="F272" s="115">
        <f ca="1">F260*F271+G260*G271+H260*H271+I260*I271+J271*J260+K271*K260+L271*L260+M271*M260+N271*N260</f>
        <v>0</v>
      </c>
      <c r="I272" s="100"/>
      <c r="J272" s="100"/>
      <c r="K272" s="106"/>
      <c r="O272" s="106"/>
    </row>
    <row r="273" spans="1:15" x14ac:dyDescent="0.2">
      <c r="K273" s="106"/>
      <c r="O273" s="100"/>
    </row>
    <row r="275" spans="1:15" x14ac:dyDescent="0.2">
      <c r="D275" s="100" t="s">
        <v>361</v>
      </c>
      <c r="E275" s="100"/>
      <c r="F275" s="106"/>
      <c r="G275" s="106"/>
      <c r="H275" s="106"/>
      <c r="I275" s="106"/>
      <c r="J275" s="106"/>
      <c r="K275" s="106"/>
      <c r="L275" s="106"/>
      <c r="M275" s="106"/>
      <c r="N275" s="106"/>
    </row>
    <row r="276" spans="1:15" x14ac:dyDescent="0.2">
      <c r="D276" s="100" t="s">
        <v>362</v>
      </c>
      <c r="E276" s="119">
        <v>0</v>
      </c>
      <c r="F276" s="100">
        <v>1</v>
      </c>
      <c r="G276" s="100">
        <v>2</v>
      </c>
      <c r="H276" s="110">
        <v>3</v>
      </c>
      <c r="I276" s="110">
        <v>4</v>
      </c>
      <c r="J276" s="110">
        <v>5</v>
      </c>
      <c r="K276" s="110">
        <v>6</v>
      </c>
      <c r="L276" s="110">
        <v>7</v>
      </c>
      <c r="M276" s="110">
        <v>8</v>
      </c>
      <c r="N276" s="98" t="s">
        <v>99</v>
      </c>
    </row>
    <row r="277" spans="1:15" x14ac:dyDescent="0.2">
      <c r="D277" s="100" t="s">
        <v>363</v>
      </c>
      <c r="E277" s="106">
        <f ca="1">F255*F271</f>
        <v>2.2329302500000016E-2</v>
      </c>
      <c r="F277" s="106">
        <f ca="1">F255*G271+G255*F271</f>
        <v>0.57506725250000001</v>
      </c>
      <c r="G277" s="106">
        <f ca="1">F255*H271+G255*G271+H255*F271</f>
        <v>0.33247016999999995</v>
      </c>
      <c r="H277" s="106">
        <f ca="1">F255*I271+G255*H271+H255*G271+I255*F271</f>
        <v>5.3843149999999992E-2</v>
      </c>
      <c r="I277" s="106">
        <f ca="1">F255*J271+G255*I271+H255*H271+I255*G271+J255*F271</f>
        <v>1.6290124999999999E-2</v>
      </c>
      <c r="J277" s="106">
        <f ca="1">F255*K271+G255*J271+H255*I271+I255*H271+J255*G271+K255*F271</f>
        <v>0</v>
      </c>
      <c r="K277" s="106">
        <f ca="1">F255*L271+G255*K271+H255*J271+I255*I271+J255*H271+K255*G271+L255*F271</f>
        <v>0</v>
      </c>
      <c r="L277" s="118">
        <f ca="1">F255*M271+G255*L271+H255*K271+I255*J271+J255*I271+K255*H271+L255*G271+M255*F271</f>
        <v>0</v>
      </c>
      <c r="M277" s="106">
        <f ca="1">F255*N271+G255*M271+H255*L271+I255*K271+J255*J271+K255*I271+L255*H271+M255*G271+N255*F271+G255*N271+H255*M271+I255*L271+J255*K271+K255*J271+L255*I271+M255*H271+N255*G271+H255*N271+I255*M271+J255*L271+K255*K271+L255*J271+M255*I271+N255*H271+I255*N271+J255*M271+K255*L271+L255*K271+M255*J271+N255*I271+J255*N271+K255*M271+L255*L271+M255*K271+N255*J271+K255*N271+L255*M271+M255*L271+N255*K271+L255*N271+M255*M271+N255*L271+M255*N271+N255*M271+N255*N271</f>
        <v>0</v>
      </c>
      <c r="N277" s="106">
        <f ca="1">SUM(E277:M277)</f>
        <v>0.99999999999999989</v>
      </c>
    </row>
    <row r="278" spans="1:15" x14ac:dyDescent="0.2">
      <c r="D278" s="110" t="s">
        <v>243</v>
      </c>
      <c r="E278" s="113">
        <f ca="1">E276*E277+F276*F277+G276*G277+H276*H277+I276*I277+J276*J277+K276*K277+L276*L277+M276*M277</f>
        <v>1.4666975425</v>
      </c>
    </row>
    <row r="279" spans="1:15" x14ac:dyDescent="0.2">
      <c r="D279" s="100"/>
      <c r="E279" s="106"/>
      <c r="F279" s="100"/>
      <c r="G279" s="100"/>
      <c r="H279" s="100"/>
    </row>
    <row r="280" spans="1:15" x14ac:dyDescent="0.2">
      <c r="D280" s="100"/>
      <c r="E280" s="100"/>
      <c r="F280" s="106"/>
      <c r="G280" s="106"/>
      <c r="H280" s="100"/>
    </row>
    <row r="281" spans="1:15" x14ac:dyDescent="0.2">
      <c r="A281" s="121" t="s">
        <v>371</v>
      </c>
    </row>
    <row r="283" spans="1:15" x14ac:dyDescent="0.2">
      <c r="A283" s="98" t="s">
        <v>239</v>
      </c>
      <c r="B283" s="99">
        <f ca="1">Data!K98</f>
        <v>0.95</v>
      </c>
      <c r="D283" s="100" t="s">
        <v>211</v>
      </c>
      <c r="E283" s="100"/>
      <c r="F283" s="100"/>
      <c r="G283" s="100"/>
      <c r="H283" s="100"/>
      <c r="I283" s="100"/>
    </row>
    <row r="284" spans="1:15" x14ac:dyDescent="0.2">
      <c r="A284" s="98" t="s">
        <v>191</v>
      </c>
      <c r="B284" s="101">
        <f ca="1">Data!K79</f>
        <v>0.39</v>
      </c>
      <c r="D284" s="98" t="s">
        <v>216</v>
      </c>
      <c r="E284" s="98" t="s">
        <v>240</v>
      </c>
      <c r="F284" s="102">
        <v>0</v>
      </c>
      <c r="G284" s="102">
        <v>1</v>
      </c>
      <c r="H284" s="102">
        <v>2</v>
      </c>
      <c r="I284" s="103">
        <v>3</v>
      </c>
      <c r="J284" s="103">
        <v>4</v>
      </c>
      <c r="K284" s="103">
        <v>5</v>
      </c>
      <c r="L284" s="103">
        <v>6</v>
      </c>
      <c r="M284" s="103">
        <v>7</v>
      </c>
      <c r="N284" s="103">
        <v>8</v>
      </c>
    </row>
    <row r="285" spans="1:15" x14ac:dyDescent="0.2">
      <c r="A285" s="98" t="s">
        <v>194</v>
      </c>
      <c r="B285" s="101">
        <f ca="1">Data!K80</f>
        <v>0.06</v>
      </c>
      <c r="D285" s="98">
        <v>0</v>
      </c>
      <c r="E285" s="105">
        <v>0</v>
      </c>
      <c r="F285" s="106">
        <f ca="1">IF($D285&gt;=F$284, POWER($B$283, F$284) * IF(ISERR(POWER((1-$B$283), $D285-F$284)), 1, POWER((1-$B$283), $D285-F$284)) * COMBIN($D285,F$284) * $E285, 0)</f>
        <v>0</v>
      </c>
      <c r="G285" s="106">
        <f t="shared" ref="G285:N292" si="96">IF($D285&gt;=G$284, POWER($B$283, G$284) * IF(ISERR(POWER((1-$B$283), $D285-G$284)), 1, POWER((1-$B$283), $D285-G$284)) * COMBIN($D285,G$284) * $E285, 0)</f>
        <v>0</v>
      </c>
      <c r="H285" s="106">
        <f t="shared" si="96"/>
        <v>0</v>
      </c>
      <c r="I285" s="106">
        <f t="shared" si="96"/>
        <v>0</v>
      </c>
      <c r="J285" s="106">
        <f t="shared" si="96"/>
        <v>0</v>
      </c>
      <c r="K285" s="106">
        <f t="shared" si="96"/>
        <v>0</v>
      </c>
      <c r="L285" s="106">
        <f t="shared" si="96"/>
        <v>0</v>
      </c>
      <c r="M285" s="106">
        <f t="shared" si="96"/>
        <v>0</v>
      </c>
      <c r="N285" s="106">
        <f t="shared" si="96"/>
        <v>0</v>
      </c>
    </row>
    <row r="286" spans="1:15" x14ac:dyDescent="0.2">
      <c r="A286" s="98" t="s">
        <v>196</v>
      </c>
      <c r="B286" s="101">
        <f ca="1">Data!K81</f>
        <v>0.02</v>
      </c>
      <c r="D286" s="98">
        <v>1</v>
      </c>
      <c r="E286" s="165">
        <f ca="1">(1-B286)*(1-B285)*(1-B284)*(1-B288)*(1-B287)*(1-B304)</f>
        <v>0.56193199999999988</v>
      </c>
      <c r="F286" s="106">
        <f ca="1">IF($D286&gt;=F284, POWER($B283, F284) * POWER((1-$B283), $D286-F284) * COMBIN($D286,F284) * $E286, 0) * (1 - B307*B308*(1-E299))</f>
        <v>2.1423657500000016E-2</v>
      </c>
      <c r="G286" s="106">
        <f ca="1">IF($D286&gt;=G284, POWER($B283, G284) * IF(ISERR(POWER((1-$B$283), $D286-G$284)), 1, POWER((1-$B$283), $D286-G$284)) * COMBIN($D286,G284) * $E286, 0) + IF($D286&gt;=F284, POWER($B283, F284) * IF(ISERR(POWER((1-$B$283), $D286-F$284)), 1, POWER((1-$B$283), $D286-F$284)) * COMBIN($D286,F284) * $E286, 0) * B307 * B308 * (1-E299)</f>
        <v>0.54050834249999991</v>
      </c>
      <c r="H286" s="106">
        <f t="shared" si="96"/>
        <v>0</v>
      </c>
      <c r="I286" s="106">
        <f t="shared" si="96"/>
        <v>0</v>
      </c>
      <c r="J286" s="106">
        <f t="shared" si="96"/>
        <v>0</v>
      </c>
      <c r="K286" s="106">
        <f t="shared" si="96"/>
        <v>0</v>
      </c>
      <c r="L286" s="106">
        <f t="shared" si="96"/>
        <v>0</v>
      </c>
      <c r="M286" s="106">
        <f t="shared" si="96"/>
        <v>0</v>
      </c>
      <c r="N286" s="106">
        <f t="shared" si="96"/>
        <v>0</v>
      </c>
    </row>
    <row r="287" spans="1:15" x14ac:dyDescent="0.2">
      <c r="A287" s="98" t="s">
        <v>351</v>
      </c>
      <c r="B287" s="101">
        <v>0</v>
      </c>
      <c r="D287" s="98">
        <v>2</v>
      </c>
      <c r="E287" s="165">
        <f ca="1">(1-B286)*(1-B285)*(1-B287)*(B284) + (1-B286)*(1-B285)*(1-B284)*(1-B287)*(B288)*(B289) + (1-B286)*(1-B285)*(1-B284)*(1-B287)*(1-B288)*(B304)*(B305) + (1-B286)*(1-B285)*(1-B284)*(1-B288)*(B287)</f>
        <v>0.35926799999999998</v>
      </c>
      <c r="F287" s="106">
        <f ca="1">IF($D287&gt;=F284, POWER($B283, F284) * POWER((1-$B283), $D287-F284) * COMBIN($D287,F284) * $E287, 0)</f>
        <v>8.9817000000000152E-4</v>
      </c>
      <c r="G287" s="106">
        <f ca="1">IF($D287&gt;=G284, POWER($B283, G284) * POWER((1-$B283), $D287-G284) * COMBIN($D287,G284) * $E287, 0)</f>
        <v>3.4130460000000029E-2</v>
      </c>
      <c r="H287" s="106">
        <f t="shared" ca="1" si="96"/>
        <v>0.32423936999999997</v>
      </c>
      <c r="I287" s="106">
        <f t="shared" si="96"/>
        <v>0</v>
      </c>
      <c r="J287" s="106">
        <f t="shared" si="96"/>
        <v>0</v>
      </c>
      <c r="K287" s="106">
        <f t="shared" si="96"/>
        <v>0</v>
      </c>
      <c r="L287" s="106">
        <f t="shared" si="96"/>
        <v>0</v>
      </c>
      <c r="M287" s="106">
        <f t="shared" si="96"/>
        <v>0</v>
      </c>
      <c r="N287" s="106">
        <f t="shared" si="96"/>
        <v>0</v>
      </c>
    </row>
    <row r="288" spans="1:15" x14ac:dyDescent="0.2">
      <c r="A288" s="98" t="s">
        <v>352</v>
      </c>
      <c r="B288" s="101">
        <f>IF(ISBLANK(Gear!$X$3), 0, VLOOKUP(Gear!$X$3, Weapon, MATCH("OAx", StatHeader, 0), 0))</f>
        <v>0</v>
      </c>
      <c r="D288" s="98">
        <v>3</v>
      </c>
      <c r="E288" s="165">
        <f ca="1">(1-B286)*(1-B287)*(B285) + (1-B286)*(1-B285)*(1-B284)*(1-B287)*(B288)*(B290) + (1-B286)*(1-B285)*(1-B284)*(1-B287)*(1-B288)*(B304)*(B306) + (1-B286)*(1-B285)*(B287)*(B284) + (1-B286)*(1-B285)*(1-B284)*(B287)*(B288)*(B289) + (1-B286)*(1-B285)*(1-B284)*(B287)*(B304)*(B305)</f>
        <v>5.8799999999999998E-2</v>
      </c>
      <c r="F288" s="106">
        <f ca="1">IF($D288&gt;=F284, POWER($B283, F284) * POWER((1-$B283), $D288-F284) * COMBIN($D288,F284) * $E288, 0)</f>
        <v>7.3500000000000194E-6</v>
      </c>
      <c r="G288" s="106">
        <f ca="1">IF($D288&gt;=G284, POWER($B283, G284) * POWER((1-$B283), $D288-G284) * COMBIN($D288,G284) * $E288, 0)</f>
        <v>4.1895000000000067E-4</v>
      </c>
      <c r="H288" s="106">
        <f ca="1">IF($D288&gt;=H284, POWER($B283, H284) * POWER((1-$B283), $D288-H284) * COMBIN($D288,H284) * $E288, 0)</f>
        <v>7.9600500000000084E-3</v>
      </c>
      <c r="I288" s="106">
        <f t="shared" ca="1" si="96"/>
        <v>5.041364999999999E-2</v>
      </c>
      <c r="J288" s="106">
        <f t="shared" si="96"/>
        <v>0</v>
      </c>
      <c r="K288" s="106">
        <f t="shared" si="96"/>
        <v>0</v>
      </c>
      <c r="L288" s="106">
        <f t="shared" si="96"/>
        <v>0</v>
      </c>
      <c r="M288" s="106">
        <f t="shared" si="96"/>
        <v>0</v>
      </c>
      <c r="N288" s="106">
        <f t="shared" si="96"/>
        <v>0</v>
      </c>
    </row>
    <row r="289" spans="1:15" x14ac:dyDescent="0.2">
      <c r="A289" s="98" t="s">
        <v>353</v>
      </c>
      <c r="B289" s="101">
        <f>IF(ISBLANK(Gear!$X$3), 0, VLOOKUP(Gear!$X$3, Weapon, MATCH(A289, StatHeader, 0), 0))</f>
        <v>0</v>
      </c>
      <c r="D289" s="98">
        <v>4</v>
      </c>
      <c r="E289" s="165">
        <f ca="1">(B286)*(1-B287) + (1-B286)*(B287)*(B285) + (1-B286)*(1-B285)*(1-B284)*(1-B287)*(B288)*(B291) + (1-B286)*(1-B285)*(1-B284)*(B287)*(B304)*(B306) + (1-B286)*(1-B285)*(1-B284)*(B287)*(B288)*(B290)</f>
        <v>0.02</v>
      </c>
      <c r="F289" s="106">
        <f ca="1">IF($D289&gt;=F284, POWER($B283, F284) * POWER((1-$B283), $D289-F284) * COMBIN($D289,F284) * $E289, 0)</f>
        <v>1.2500000000000044E-7</v>
      </c>
      <c r="G289" s="106">
        <f ca="1">IF($D289&gt;=G284, POWER($B283, G284) * POWER((1-$B283), $D289-G284) * COMBIN($D289,G284) * $E289, 0)</f>
        <v>9.5000000000000259E-6</v>
      </c>
      <c r="H289" s="106">
        <f ca="1">IF($D289&gt;=H284, POWER($B283, H284) * POWER((1-$B283), $D289-H284) * COMBIN($D289,H284) * $E289, 0)</f>
        <v>2.7075000000000048E-4</v>
      </c>
      <c r="I289" s="106">
        <f ca="1">IF($D289&gt;=I284, POWER($B283, I284) * POWER((1-$B283), $D289-I284) * COMBIN($D289,I284) * $E289, 0)</f>
        <v>3.4295000000000024E-3</v>
      </c>
      <c r="J289" s="106">
        <f t="shared" ca="1" si="96"/>
        <v>1.6290124999999999E-2</v>
      </c>
      <c r="K289" s="106">
        <f t="shared" si="96"/>
        <v>0</v>
      </c>
      <c r="L289" s="106">
        <f t="shared" si="96"/>
        <v>0</v>
      </c>
      <c r="M289" s="106">
        <f t="shared" si="96"/>
        <v>0</v>
      </c>
      <c r="N289" s="106">
        <f t="shared" si="96"/>
        <v>0</v>
      </c>
    </row>
    <row r="290" spans="1:15" x14ac:dyDescent="0.2">
      <c r="A290" s="98" t="s">
        <v>354</v>
      </c>
      <c r="B290" s="101">
        <f>IF(ISBLANK(Gear!$X$3), 0, VLOOKUP(Gear!$X$3, Weapon, MATCH(A290, StatHeader, 0), 0))</f>
        <v>0</v>
      </c>
      <c r="D290" s="98">
        <v>5</v>
      </c>
      <c r="E290" s="166">
        <f ca="1">(1-B286)*(1-B285)*(1-B284)*(1-B287)*(B288)*(B292) + (1-B286)*(1-B285)*(1-B284)*(B287)*(B288)*(B291) + (B286)*(B287)</f>
        <v>0</v>
      </c>
      <c r="F290" s="106">
        <f ca="1">IF($D290&gt;=F284, POWER($B283, F284) * POWER((1-$B283), $D290-F284) * COMBIN($D290,F284) * $E290, 0)</f>
        <v>0</v>
      </c>
      <c r="G290" s="106">
        <f ca="1">IF($D290&gt;=G284, POWER($B283, G284) * POWER((1-$B283), $D290-G284) * COMBIN($D290,G284) * $E290, 0)</f>
        <v>0</v>
      </c>
      <c r="H290" s="106">
        <f ca="1">IF($D290&gt;=H284, POWER($B283, H284) * POWER((1-$B283), $D290-H284) * COMBIN($D290,H284) * $E290, 0)</f>
        <v>0</v>
      </c>
      <c r="I290" s="106">
        <f ca="1">IF($D290&gt;=I284, POWER($B283, I284) * POWER((1-$B283), $D290-I284) * COMBIN($D290,I284) * $E290, 0)</f>
        <v>0</v>
      </c>
      <c r="J290" s="106">
        <f ca="1">IF($D290&gt;=J284, POWER($B283, J284) * POWER((1-$B283), $D290-J284) * COMBIN($D290,J284) * $E290, 0)</f>
        <v>0</v>
      </c>
      <c r="K290" s="106">
        <f t="shared" ca="1" si="96"/>
        <v>0</v>
      </c>
      <c r="L290" s="106">
        <f t="shared" si="96"/>
        <v>0</v>
      </c>
      <c r="M290" s="106">
        <f t="shared" si="96"/>
        <v>0</v>
      </c>
      <c r="N290" s="106">
        <f t="shared" si="96"/>
        <v>0</v>
      </c>
    </row>
    <row r="291" spans="1:15" x14ac:dyDescent="0.2">
      <c r="A291" s="98" t="s">
        <v>355</v>
      </c>
      <c r="B291" s="101">
        <f>IF(ISBLANK(Gear!$X$3), 0, VLOOKUP(Gear!$X$3, Weapon, MATCH(A291, StatHeader, 0), 0))</f>
        <v>0</v>
      </c>
      <c r="D291" s="100">
        <v>6</v>
      </c>
      <c r="E291" s="166">
        <f ca="1">(1-B286)*(1-B285)*(1-B284)*(1-B287)*(B288)*(B293) + (1-B286)*(1-B285)*(1-B284)*(B287)*(B288)*(B292)</f>
        <v>0</v>
      </c>
      <c r="F291" s="106">
        <f t="shared" ref="F291:K291" ca="1" si="97">IF($D291&gt;=F284, POWER($B283, F284) * POWER((1-$B283), $D291-F284) * COMBIN($D291,F284) * $E291, 0)</f>
        <v>0</v>
      </c>
      <c r="G291" s="106">
        <f t="shared" ca="1" si="97"/>
        <v>0</v>
      </c>
      <c r="H291" s="106">
        <f t="shared" ca="1" si="97"/>
        <v>0</v>
      </c>
      <c r="I291" s="106">
        <f t="shared" ca="1" si="97"/>
        <v>0</v>
      </c>
      <c r="J291" s="106">
        <f t="shared" ca="1" si="97"/>
        <v>0</v>
      </c>
      <c r="K291" s="106">
        <f t="shared" ca="1" si="97"/>
        <v>0</v>
      </c>
      <c r="L291" s="106">
        <f t="shared" ca="1" si="96"/>
        <v>0</v>
      </c>
      <c r="M291" s="106">
        <f t="shared" si="96"/>
        <v>0</v>
      </c>
      <c r="N291" s="106">
        <f t="shared" si="96"/>
        <v>0</v>
      </c>
    </row>
    <row r="292" spans="1:15" x14ac:dyDescent="0.2">
      <c r="A292" s="98" t="s">
        <v>356</v>
      </c>
      <c r="B292" s="101">
        <f>IF(ISBLANK(Gear!$X$3), 0, VLOOKUP(Gear!$X$3, Weapon, MATCH(A292, StatHeader, 0), 0))</f>
        <v>0</v>
      </c>
      <c r="D292" s="110">
        <v>7</v>
      </c>
      <c r="E292" s="165">
        <f ca="1">(1-B286)*(1-B285)*(1-B284)*(1-B287)*(B288)*(B294) + (1-B286)*(1-B285)*(1-B284)*(B287)*(B288)*(B293)</f>
        <v>0</v>
      </c>
      <c r="F292" s="106">
        <f t="shared" ref="F292:L292" ca="1" si="98">IF($D292&gt;=F284, POWER($B283, F284) * POWER((1-$B283), $D292-F284) * COMBIN($D292,F284) * $E292, 0)</f>
        <v>0</v>
      </c>
      <c r="G292" s="106">
        <f t="shared" ca="1" si="98"/>
        <v>0</v>
      </c>
      <c r="H292" s="106">
        <f t="shared" ca="1" si="98"/>
        <v>0</v>
      </c>
      <c r="I292" s="106">
        <f t="shared" ca="1" si="98"/>
        <v>0</v>
      </c>
      <c r="J292" s="106">
        <f t="shared" ca="1" si="98"/>
        <v>0</v>
      </c>
      <c r="K292" s="106">
        <f t="shared" ca="1" si="98"/>
        <v>0</v>
      </c>
      <c r="L292" s="106">
        <f t="shared" ca="1" si="98"/>
        <v>0</v>
      </c>
      <c r="M292" s="106">
        <f t="shared" ca="1" si="96"/>
        <v>0</v>
      </c>
      <c r="N292" s="106">
        <f t="shared" si="96"/>
        <v>0</v>
      </c>
      <c r="O292" s="100"/>
    </row>
    <row r="293" spans="1:15" x14ac:dyDescent="0.2">
      <c r="A293" s="98" t="s">
        <v>357</v>
      </c>
      <c r="B293" s="101">
        <f>IF(ISBLANK(Gear!$X$3), 0, VLOOKUP(Gear!$X$3, Weapon, MATCH(A293, StatHeader, 0), 0))</f>
        <v>0</v>
      </c>
      <c r="D293" s="110">
        <v>8</v>
      </c>
      <c r="E293" s="165">
        <f ca="1">(1-B286)*(1-B285)*(1-B284)*(B288)*(B295) + (1-B286)*(1-B285)*(1-B284)*(B287)*(B288)*(B294)</f>
        <v>0</v>
      </c>
      <c r="F293" s="111">
        <f t="shared" ref="F293:M293" ca="1" si="99">IF($D293&gt;=F284, POWER($B283, F284) * POWER((1-$B283), $D293-F284) * COMBIN($D293,F284) * $E293, 0)</f>
        <v>0</v>
      </c>
      <c r="G293" s="112">
        <f t="shared" ca="1" si="99"/>
        <v>0</v>
      </c>
      <c r="H293" s="112">
        <f t="shared" ca="1" si="99"/>
        <v>0</v>
      </c>
      <c r="I293" s="112">
        <f t="shared" ca="1" si="99"/>
        <v>0</v>
      </c>
      <c r="J293" s="112">
        <f t="shared" ca="1" si="99"/>
        <v>0</v>
      </c>
      <c r="K293" s="112">
        <f t="shared" ca="1" si="99"/>
        <v>0</v>
      </c>
      <c r="L293" s="112">
        <f t="shared" ca="1" si="99"/>
        <v>0</v>
      </c>
      <c r="M293" s="112">
        <f t="shared" ca="1" si="99"/>
        <v>0</v>
      </c>
      <c r="N293" s="106">
        <f ca="1">IF($D293&gt;=N$284, POWER($B$283, N$284) * IF(ISERR(POWER((1-$B$283), $D293-N$284)), 1, POWER((1-$B$283), $D293-N$284)) * COMBIN($D293,N$284) * $E293, 0)</f>
        <v>0</v>
      </c>
      <c r="O293" s="100"/>
    </row>
    <row r="294" spans="1:15" x14ac:dyDescent="0.2">
      <c r="A294" s="98" t="s">
        <v>358</v>
      </c>
      <c r="B294" s="101">
        <f>IF(ISBLANK(Gear!$X$3), 0, VLOOKUP(Gear!$X$3, Weapon, MATCH(A294, StatHeader, 0), 0))</f>
        <v>0</v>
      </c>
      <c r="E294" s="101">
        <f ca="1">SUM(E285:E293)</f>
        <v>0.99999999999999978</v>
      </c>
      <c r="O294" s="106"/>
    </row>
    <row r="295" spans="1:15" x14ac:dyDescent="0.2">
      <c r="A295" s="98" t="s">
        <v>359</v>
      </c>
      <c r="B295" s="101">
        <f>IF(ISBLANK(Gear!$X$3), 0, VLOOKUP(Gear!$X$3, Weapon, MATCH(A295, StatHeader, 0), 0))</f>
        <v>0</v>
      </c>
      <c r="E295" s="98" t="s">
        <v>241</v>
      </c>
      <c r="F295" s="114">
        <f t="shared" ref="F295:N295" ca="1" si="100">SUM(F285:F293)</f>
        <v>2.2329302500000016E-2</v>
      </c>
      <c r="G295" s="114">
        <f t="shared" ca="1" si="100"/>
        <v>0.57506725250000001</v>
      </c>
      <c r="H295" s="114">
        <f t="shared" ca="1" si="100"/>
        <v>0.33247016999999995</v>
      </c>
      <c r="I295" s="114">
        <f t="shared" ca="1" si="100"/>
        <v>5.3843149999999992E-2</v>
      </c>
      <c r="J295" s="114">
        <f t="shared" ca="1" si="100"/>
        <v>1.6290124999999999E-2</v>
      </c>
      <c r="K295" s="114">
        <f t="shared" ca="1" si="100"/>
        <v>0</v>
      </c>
      <c r="L295" s="114">
        <f t="shared" ca="1" si="100"/>
        <v>0</v>
      </c>
      <c r="M295" s="114">
        <f t="shared" ca="1" si="100"/>
        <v>0</v>
      </c>
      <c r="N295" s="114">
        <f t="shared" ca="1" si="100"/>
        <v>0</v>
      </c>
      <c r="O295" s="106">
        <f ca="1">SUM(F295:N295)</f>
        <v>0.99999999999999989</v>
      </c>
    </row>
    <row r="296" spans="1:15" x14ac:dyDescent="0.2">
      <c r="A296" s="98" t="s">
        <v>360</v>
      </c>
      <c r="B296" s="101">
        <f>IF(ISBLANK(Gear!$X$3), 0, VLOOKUP(Gear!$X$3, Weapon, MATCH("OAx", StatHeader, 0), 0))</f>
        <v>0</v>
      </c>
      <c r="E296" s="106" t="s">
        <v>243</v>
      </c>
      <c r="F296" s="115">
        <f ca="1">F284*F295+G284*G295+H284*H295+I284*I295+J295*J284+K295*K284+L295*L284+M295*M284+N295*N284</f>
        <v>1.4666975425</v>
      </c>
      <c r="G296" s="106"/>
      <c r="H296" s="106"/>
      <c r="I296" s="106"/>
      <c r="O296" s="100"/>
    </row>
    <row r="297" spans="1:15" x14ac:dyDescent="0.2">
      <c r="A297" s="98" t="s">
        <v>353</v>
      </c>
      <c r="B297" s="101">
        <f>IF(ISBLANK(Gear!$X$3), 0, VLOOKUP(Gear!$X$3, Weapon, MATCH(A297, StatHeader, 0), 0))</f>
        <v>0</v>
      </c>
    </row>
    <row r="298" spans="1:15" x14ac:dyDescent="0.2">
      <c r="A298" s="98" t="s">
        <v>354</v>
      </c>
      <c r="B298" s="101">
        <f>IF(ISBLANK(Gear!$X$3), 0, VLOOKUP(Gear!$X$3, Weapon, MATCH(A298, StatHeader, 0), 0))</f>
        <v>0</v>
      </c>
    </row>
    <row r="299" spans="1:15" x14ac:dyDescent="0.2">
      <c r="A299" s="98" t="s">
        <v>355</v>
      </c>
      <c r="B299" s="101">
        <f>IF(ISBLANK(Gear!$X$3), 0, VLOOKUP(Gear!$X$3, Weapon, MATCH(A299, StatHeader, 0), 0))</f>
        <v>0</v>
      </c>
      <c r="D299" s="100" t="s">
        <v>215</v>
      </c>
      <c r="E299" s="100">
        <v>0</v>
      </c>
      <c r="F299" s="100"/>
      <c r="G299" s="100"/>
      <c r="H299" s="100"/>
      <c r="I299" s="100"/>
      <c r="J299" s="100"/>
    </row>
    <row r="300" spans="1:15" x14ac:dyDescent="0.2">
      <c r="A300" s="98" t="s">
        <v>356</v>
      </c>
      <c r="B300" s="101">
        <f>IF(ISBLANK(Gear!$X$3), 0, VLOOKUP(Gear!$X$3, Weapon, MATCH(A300, StatHeader, 0), 0))</f>
        <v>0</v>
      </c>
      <c r="D300" s="98" t="s">
        <v>216</v>
      </c>
      <c r="E300" s="98" t="s">
        <v>240</v>
      </c>
      <c r="F300" s="102">
        <v>0</v>
      </c>
      <c r="G300" s="102">
        <v>1</v>
      </c>
      <c r="H300" s="102">
        <v>2</v>
      </c>
      <c r="I300" s="103">
        <v>3</v>
      </c>
      <c r="J300" s="103">
        <v>4</v>
      </c>
      <c r="K300" s="103">
        <v>5</v>
      </c>
      <c r="L300" s="103">
        <v>6</v>
      </c>
      <c r="M300" s="103">
        <v>7</v>
      </c>
      <c r="N300" s="103">
        <v>8</v>
      </c>
      <c r="O300" s="100"/>
    </row>
    <row r="301" spans="1:15" x14ac:dyDescent="0.2">
      <c r="A301" s="98" t="s">
        <v>357</v>
      </c>
      <c r="B301" s="101">
        <f>IF(ISBLANK(Gear!$X$3), 0, VLOOKUP(Gear!$X$3, Weapon, MATCH(A301, StatHeader, 0), 0))</f>
        <v>0</v>
      </c>
      <c r="D301" s="98">
        <v>0</v>
      </c>
      <c r="E301" s="105">
        <f>IF(E299=0, 100%, 0)</f>
        <v>1</v>
      </c>
      <c r="F301" s="106">
        <f ca="1">IF($D301&gt;=F$300, POWER($B$283, F$300) * IF(ISERR(POWER((1-$B$283), $D301-F$300)), 1, POWER((1-$B$283), $D301-F$300)) * COMBIN($D301,F$300) * $E301, 0)</f>
        <v>1</v>
      </c>
      <c r="G301" s="106">
        <f t="shared" ref="G301:N308" si="101">IF($D301&gt;=G$300, POWER($B$283, G$300) * IF(ISERR(POWER((1-$B$283), $D301-G$300)), 1, POWER((1-$B$283), $D301-G$300)) * COMBIN($D301,G$300) * $E301, 0)</f>
        <v>0</v>
      </c>
      <c r="H301" s="106">
        <f t="shared" si="101"/>
        <v>0</v>
      </c>
      <c r="I301" s="106">
        <f t="shared" si="101"/>
        <v>0</v>
      </c>
      <c r="J301" s="106">
        <f t="shared" si="101"/>
        <v>0</v>
      </c>
      <c r="K301" s="106">
        <f t="shared" si="101"/>
        <v>0</v>
      </c>
      <c r="L301" s="106">
        <f t="shared" si="101"/>
        <v>0</v>
      </c>
      <c r="M301" s="106">
        <f t="shared" si="101"/>
        <v>0</v>
      </c>
      <c r="N301" s="106">
        <f t="shared" si="101"/>
        <v>0</v>
      </c>
      <c r="O301" s="100"/>
    </row>
    <row r="302" spans="1:15" x14ac:dyDescent="0.2">
      <c r="A302" s="98" t="s">
        <v>358</v>
      </c>
      <c r="B302" s="101">
        <f>IF(ISBLANK(Gear!$X$3), 0, VLOOKUP(Gear!$X$3, Weapon, MATCH(A302, StatHeader, 0), 0))</f>
        <v>0</v>
      </c>
      <c r="D302" s="98">
        <v>1</v>
      </c>
      <c r="E302" s="108">
        <f>IF(E299=1, (1-B286)*(1-B285)*(1-B284)*(1-B296), 0)</f>
        <v>0</v>
      </c>
      <c r="F302" s="106">
        <f ca="1">IF($D302&gt;=F300, POWER($B283, F300) * POWER((1-$B283), $D302-F300) * COMBIN($D302,F300) * $E302, 0)</f>
        <v>0</v>
      </c>
      <c r="G302" s="106">
        <f t="shared" ca="1" si="101"/>
        <v>0</v>
      </c>
      <c r="H302" s="106">
        <f t="shared" si="101"/>
        <v>0</v>
      </c>
      <c r="I302" s="106">
        <f t="shared" si="101"/>
        <v>0</v>
      </c>
      <c r="J302" s="106">
        <f t="shared" si="101"/>
        <v>0</v>
      </c>
      <c r="K302" s="106">
        <f t="shared" si="101"/>
        <v>0</v>
      </c>
      <c r="L302" s="106">
        <f t="shared" si="101"/>
        <v>0</v>
      </c>
      <c r="M302" s="106">
        <f t="shared" si="101"/>
        <v>0</v>
      </c>
      <c r="N302" s="106">
        <f t="shared" si="101"/>
        <v>0</v>
      </c>
      <c r="O302" s="100"/>
    </row>
    <row r="303" spans="1:15" x14ac:dyDescent="0.2">
      <c r="A303" s="98" t="s">
        <v>359</v>
      </c>
      <c r="B303" s="101">
        <f>IF(ISBLANK(Gear!$X$3), 0, VLOOKUP(Gear!$X$3, Weapon, MATCH(A303, StatHeader, 0), 0))</f>
        <v>0</v>
      </c>
      <c r="D303" s="98">
        <v>2</v>
      </c>
      <c r="E303" s="108">
        <f>IF(E299=1, (1-B286)*(1-B285)*(1-B284)*(B296)*(B297) + (1-B286)*(1-B285)*B284, 0)</f>
        <v>0</v>
      </c>
      <c r="F303" s="106">
        <f ca="1">IF($D303&gt;=F300, POWER($B283, F300) * POWER((1-$B283), $D303-F300) * COMBIN($D303,F300) * $E303, 0)</f>
        <v>0</v>
      </c>
      <c r="G303" s="106">
        <f ca="1">IF($D303&gt;=G300, POWER($B283, G300) * POWER((1-$B283), $D303-G300) * COMBIN($D303,G300) * $E303, 0)</f>
        <v>0</v>
      </c>
      <c r="H303" s="106">
        <f t="shared" ca="1" si="101"/>
        <v>0</v>
      </c>
      <c r="I303" s="106">
        <f t="shared" si="101"/>
        <v>0</v>
      </c>
      <c r="J303" s="106">
        <f t="shared" si="101"/>
        <v>0</v>
      </c>
      <c r="K303" s="106">
        <f t="shared" si="101"/>
        <v>0</v>
      </c>
      <c r="L303" s="106">
        <f t="shared" si="101"/>
        <v>0</v>
      </c>
      <c r="M303" s="106">
        <f t="shared" si="101"/>
        <v>0</v>
      </c>
      <c r="N303" s="106">
        <f t="shared" si="101"/>
        <v>0</v>
      </c>
      <c r="O303" s="100"/>
    </row>
    <row r="304" spans="1:15" x14ac:dyDescent="0.2">
      <c r="A304" t="s">
        <v>437</v>
      </c>
      <c r="B304" s="8">
        <f>IF(LEFT(Setup!$C$36,4)="Lv.3", IF(ISBLANK(Gear!$X$3), 0, VLOOKUP(Gear!$X$3, Weapon, MATCH(A304, StatHeader, 0), 0)), 0)</f>
        <v>0</v>
      </c>
      <c r="D304" s="98">
        <v>3</v>
      </c>
      <c r="E304" s="108">
        <f>IF(E299=1, (1-B286)*(1-B285)*(1-B284)*(B296)*(B298) + (1-B286)*(B285), 0)</f>
        <v>0</v>
      </c>
      <c r="F304" s="106">
        <f ca="1">IF($D304&gt;=F300, POWER($B283, F300) * POWER((1-$B283), $D304-F300) * COMBIN($D304,F300) * $E304, 0)</f>
        <v>0</v>
      </c>
      <c r="G304" s="106">
        <f ca="1">IF($D304&gt;=G300, POWER($B283, G300) * POWER((1-$B283), $D304-G300) * COMBIN($D304,G300) * $E304, 0)</f>
        <v>0</v>
      </c>
      <c r="H304" s="106">
        <f ca="1">IF($D304&gt;=H300, POWER($B283, H300) * POWER((1-$B283), $D304-H300) * COMBIN($D304,H300) * $E304, 0)</f>
        <v>0</v>
      </c>
      <c r="I304" s="106">
        <f t="shared" ca="1" si="101"/>
        <v>0</v>
      </c>
      <c r="J304" s="106">
        <f t="shared" si="101"/>
        <v>0</v>
      </c>
      <c r="K304" s="106">
        <f t="shared" si="101"/>
        <v>0</v>
      </c>
      <c r="L304" s="106">
        <f t="shared" si="101"/>
        <v>0</v>
      </c>
      <c r="M304" s="106">
        <f t="shared" si="101"/>
        <v>0</v>
      </c>
      <c r="N304" s="106">
        <f t="shared" si="101"/>
        <v>0</v>
      </c>
      <c r="O304" s="100"/>
    </row>
    <row r="305" spans="1:15" x14ac:dyDescent="0.2">
      <c r="A305" t="s">
        <v>438</v>
      </c>
      <c r="B305" s="8">
        <f>IF(LEFT(Setup!$C$36,4)="Lv.3", IF(ISBLANK(Gear!$X$3), 0, VLOOKUP(Gear!$X$3, Weapon, MATCH(A305, StatHeader, 0), 0)), 0)</f>
        <v>0</v>
      </c>
      <c r="D305" s="98">
        <v>4</v>
      </c>
      <c r="E305" s="108">
        <f>IF(E299=1, (1-B286)*(1-B285)*(1-B284)*(B296)*(B299) + (B286), 0)</f>
        <v>0</v>
      </c>
      <c r="F305" s="106">
        <f ca="1">IF($D305&gt;=F300, POWER($B283, F300) * POWER((1-$B283), $D305-F300) * COMBIN($D305,F300) * $E305, 0)</f>
        <v>0</v>
      </c>
      <c r="G305" s="106">
        <f ca="1">IF($D305&gt;=G300, POWER($B283, G300) * POWER((1-$B283), $D305-G300) * COMBIN($D305,G300) * $E305, 0)</f>
        <v>0</v>
      </c>
      <c r="H305" s="106">
        <f ca="1">IF($D305&gt;=H300, POWER($B283, H300) * POWER((1-$B283), $D305-H300) * COMBIN($D305,H300) * $E305, 0)</f>
        <v>0</v>
      </c>
      <c r="I305" s="106">
        <f ca="1">IF($D305&gt;=I300, POWER($B283, I300) * POWER((1-$B283), $D305-I300) * COMBIN($D305,I300) * $E305, 0)</f>
        <v>0</v>
      </c>
      <c r="J305" s="106">
        <f t="shared" ca="1" si="101"/>
        <v>0</v>
      </c>
      <c r="K305" s="106">
        <f t="shared" si="101"/>
        <v>0</v>
      </c>
      <c r="L305" s="106">
        <f t="shared" si="101"/>
        <v>0</v>
      </c>
      <c r="M305" s="106">
        <f t="shared" si="101"/>
        <v>0</v>
      </c>
      <c r="N305" s="106">
        <f t="shared" si="101"/>
        <v>0</v>
      </c>
      <c r="O305" s="100"/>
    </row>
    <row r="306" spans="1:15" x14ac:dyDescent="0.2">
      <c r="A306" t="s">
        <v>439</v>
      </c>
      <c r="B306" s="8">
        <f>IF(LEFT(Setup!$C$36,4)="Lv.3", IF(ISBLANK(Gear!$X$3), 0, VLOOKUP(Gear!$X$3, Weapon, MATCH(A306, StatHeader, 0), 0)), 0)</f>
        <v>0</v>
      </c>
      <c r="D306" s="98">
        <v>5</v>
      </c>
      <c r="E306" s="109">
        <f>IF(E299=1, (1-B286)*(1-B285)*(1-B284)*(B296)*(B300), 0)</f>
        <v>0</v>
      </c>
      <c r="F306" s="106">
        <f ca="1">IF($D306&gt;=F300, POWER($B283, F300) * POWER((1-$B283), $D306-F300) * COMBIN($D306,F300) * $E306, 0)</f>
        <v>0</v>
      </c>
      <c r="G306" s="106">
        <f ca="1">IF($D306&gt;=G300, POWER($B283, G300) * POWER((1-$B283), $D306-G300) * COMBIN($D306,G300) * $E306, 0)</f>
        <v>0</v>
      </c>
      <c r="H306" s="106">
        <f ca="1">IF($D306&gt;=H300, POWER($B283, H300) * POWER((1-$B283), $D306-H300) * COMBIN($D306,H300) * $E306, 0)</f>
        <v>0</v>
      </c>
      <c r="I306" s="106">
        <f ca="1">IF($D306&gt;=I300, POWER($B283, I300) * POWER((1-$B283), $D306-I300) * COMBIN($D306,I300) * $E306, 0)</f>
        <v>0</v>
      </c>
      <c r="J306" s="106">
        <f ca="1">IF($D306&gt;=J300, POWER($B283, J300) * POWER((1-$B283), $D306-J300) * COMBIN($D306,J300) * $E306, 0)</f>
        <v>0</v>
      </c>
      <c r="K306" s="106">
        <f t="shared" ca="1" si="101"/>
        <v>0</v>
      </c>
      <c r="L306" s="106">
        <f t="shared" si="101"/>
        <v>0</v>
      </c>
      <c r="M306" s="106">
        <f t="shared" si="101"/>
        <v>0</v>
      </c>
      <c r="N306" s="106">
        <f t="shared" si="101"/>
        <v>0</v>
      </c>
      <c r="O306" s="100"/>
    </row>
    <row r="307" spans="1:15" x14ac:dyDescent="0.2">
      <c r="A307" s="121" t="s">
        <v>365</v>
      </c>
      <c r="B307" s="101">
        <f ca="1">Data!K83</f>
        <v>0.25</v>
      </c>
      <c r="D307" s="117">
        <v>6</v>
      </c>
      <c r="E307" s="109">
        <f>IF(E299=1, (1-B286)*(1-B285)*(1-B284)*(B296)*(B301), 0)</f>
        <v>0</v>
      </c>
      <c r="F307" s="106">
        <f t="shared" ref="F307:K307" ca="1" si="102">IF($D307&gt;=F300, POWER($B283, F300) * POWER((1-$B283), $D307-F300) * COMBIN($D307,F300) * $E307, 0)</f>
        <v>0</v>
      </c>
      <c r="G307" s="106">
        <f t="shared" ca="1" si="102"/>
        <v>0</v>
      </c>
      <c r="H307" s="106">
        <f t="shared" ca="1" si="102"/>
        <v>0</v>
      </c>
      <c r="I307" s="106">
        <f t="shared" ca="1" si="102"/>
        <v>0</v>
      </c>
      <c r="J307" s="106">
        <f t="shared" ca="1" si="102"/>
        <v>0</v>
      </c>
      <c r="K307" s="106">
        <f t="shared" ca="1" si="102"/>
        <v>0</v>
      </c>
      <c r="L307" s="106">
        <f t="shared" ca="1" si="101"/>
        <v>0</v>
      </c>
      <c r="M307" s="106">
        <f t="shared" si="101"/>
        <v>0</v>
      </c>
      <c r="N307" s="106">
        <f t="shared" si="101"/>
        <v>0</v>
      </c>
      <c r="O307" s="100"/>
    </row>
    <row r="308" spans="1:15" x14ac:dyDescent="0.2">
      <c r="A308" s="121" t="s">
        <v>163</v>
      </c>
      <c r="B308" s="96">
        <f ca="1">Data!K99</f>
        <v>0.95</v>
      </c>
      <c r="D308" s="98">
        <v>7</v>
      </c>
      <c r="E308" s="109">
        <f>IF(E299=1, (1-B286)*(1-B285)*(1-B284)*(B296)*(B302), 0)</f>
        <v>0</v>
      </c>
      <c r="F308" s="106">
        <f t="shared" ref="F308:L308" ca="1" si="103">IF($D308&gt;=F300, POWER($B283, F300) * POWER((1-$B283), $D308-F300) * COMBIN($D308,F300) * $E308, 0)</f>
        <v>0</v>
      </c>
      <c r="G308" s="106">
        <f t="shared" ca="1" si="103"/>
        <v>0</v>
      </c>
      <c r="H308" s="106">
        <f t="shared" ca="1" si="103"/>
        <v>0</v>
      </c>
      <c r="I308" s="106">
        <f t="shared" ca="1" si="103"/>
        <v>0</v>
      </c>
      <c r="J308" s="106">
        <f t="shared" ca="1" si="103"/>
        <v>0</v>
      </c>
      <c r="K308" s="106">
        <f t="shared" ca="1" si="103"/>
        <v>0</v>
      </c>
      <c r="L308" s="106">
        <f t="shared" ca="1" si="103"/>
        <v>0</v>
      </c>
      <c r="M308" s="106">
        <f t="shared" ca="1" si="101"/>
        <v>0</v>
      </c>
      <c r="N308" s="106">
        <f t="shared" si="101"/>
        <v>0</v>
      </c>
      <c r="O308" s="100"/>
    </row>
    <row r="309" spans="1:15" x14ac:dyDescent="0.2">
      <c r="D309" s="98">
        <v>8</v>
      </c>
      <c r="E309" s="109">
        <f>IF(E299=1, (1-B286)*(1-B285)*(1-B284)*(B296)*(B303), 0)</f>
        <v>0</v>
      </c>
      <c r="F309" s="111">
        <f t="shared" ref="F309:M309" ca="1" si="104">IF($D309&gt;=F300, POWER($B283, F300) * POWER((1-$B283), $D309-F300) * COMBIN($D309,F300) * $E309, 0)</f>
        <v>0</v>
      </c>
      <c r="G309" s="112">
        <f t="shared" ca="1" si="104"/>
        <v>0</v>
      </c>
      <c r="H309" s="112">
        <f t="shared" ca="1" si="104"/>
        <v>0</v>
      </c>
      <c r="I309" s="112">
        <f t="shared" ca="1" si="104"/>
        <v>0</v>
      </c>
      <c r="J309" s="112">
        <f t="shared" ca="1" si="104"/>
        <v>0</v>
      </c>
      <c r="K309" s="112">
        <f t="shared" ca="1" si="104"/>
        <v>0</v>
      </c>
      <c r="L309" s="112">
        <f t="shared" ca="1" si="104"/>
        <v>0</v>
      </c>
      <c r="M309" s="112">
        <f t="shared" ca="1" si="104"/>
        <v>0</v>
      </c>
      <c r="N309" s="112">
        <f ca="1">IF($D309&gt;=N$300, POWER($B$283, N$300) * IF(ISERR(POWER((1-$B$283), $D309-N$300)), 1, POWER((1-$B$283), $D309-N$300)) * COMBIN($D309,N$300) * $E309, 0)</f>
        <v>0</v>
      </c>
      <c r="O309" s="100"/>
    </row>
    <row r="310" spans="1:15" x14ac:dyDescent="0.2">
      <c r="E310" s="101">
        <f>SUM(E301:E309)</f>
        <v>1</v>
      </c>
      <c r="O310" s="100"/>
    </row>
    <row r="311" spans="1:15" x14ac:dyDescent="0.2">
      <c r="E311" s="98" t="s">
        <v>241</v>
      </c>
      <c r="F311" s="114">
        <f t="shared" ref="F311:N311" ca="1" si="105">SUM(F301:F309)</f>
        <v>1</v>
      </c>
      <c r="G311" s="114">
        <f t="shared" ca="1" si="105"/>
        <v>0</v>
      </c>
      <c r="H311" s="114">
        <f t="shared" ca="1" si="105"/>
        <v>0</v>
      </c>
      <c r="I311" s="114">
        <f t="shared" ca="1" si="105"/>
        <v>0</v>
      </c>
      <c r="J311" s="114">
        <f t="shared" ca="1" si="105"/>
        <v>0</v>
      </c>
      <c r="K311" s="114">
        <f t="shared" ca="1" si="105"/>
        <v>0</v>
      </c>
      <c r="L311" s="114">
        <f t="shared" ca="1" si="105"/>
        <v>0</v>
      </c>
      <c r="M311" s="114">
        <f t="shared" ca="1" si="105"/>
        <v>0</v>
      </c>
      <c r="N311" s="114">
        <f t="shared" ca="1" si="105"/>
        <v>0</v>
      </c>
      <c r="O311" s="106">
        <f ca="1">SUM(F311:N311)</f>
        <v>1</v>
      </c>
    </row>
    <row r="312" spans="1:15" x14ac:dyDescent="0.2">
      <c r="E312" s="98" t="s">
        <v>243</v>
      </c>
      <c r="F312" s="115">
        <f ca="1">F300*F311+G300*G311+H300*H311+I300*I311+J311*J300+K311*K300+L311*L300+M311*M300+N311*N300</f>
        <v>0</v>
      </c>
      <c r="I312" s="100"/>
      <c r="J312" s="100"/>
      <c r="K312" s="106"/>
      <c r="O312" s="106"/>
    </row>
    <row r="313" spans="1:15" x14ac:dyDescent="0.2">
      <c r="K313" s="106"/>
      <c r="O313" s="100"/>
    </row>
    <row r="315" spans="1:15" x14ac:dyDescent="0.2">
      <c r="D315" s="100" t="s">
        <v>361</v>
      </c>
      <c r="E315" s="100"/>
      <c r="F315" s="106"/>
      <c r="G315" s="106"/>
      <c r="H315" s="106"/>
      <c r="I315" s="106"/>
      <c r="J315" s="106"/>
      <c r="K315" s="106"/>
      <c r="L315" s="106"/>
      <c r="M315" s="106"/>
      <c r="N315" s="106"/>
    </row>
    <row r="316" spans="1:15" x14ac:dyDescent="0.2">
      <c r="D316" s="100" t="s">
        <v>362</v>
      </c>
      <c r="E316" s="119">
        <v>0</v>
      </c>
      <c r="F316" s="100">
        <v>1</v>
      </c>
      <c r="G316" s="100">
        <v>2</v>
      </c>
      <c r="H316" s="110">
        <v>3</v>
      </c>
      <c r="I316" s="110">
        <v>4</v>
      </c>
      <c r="J316" s="110">
        <v>5</v>
      </c>
      <c r="K316" s="110">
        <v>6</v>
      </c>
      <c r="L316" s="110">
        <v>7</v>
      </c>
      <c r="M316" s="110">
        <v>8</v>
      </c>
      <c r="N316" s="98" t="s">
        <v>99</v>
      </c>
    </row>
    <row r="317" spans="1:15" x14ac:dyDescent="0.2">
      <c r="D317" s="100" t="s">
        <v>363</v>
      </c>
      <c r="E317" s="106">
        <f ca="1">F295*F311</f>
        <v>2.2329302500000016E-2</v>
      </c>
      <c r="F317" s="106">
        <f ca="1">F295*G311+G295*F311</f>
        <v>0.57506725250000001</v>
      </c>
      <c r="G317" s="106">
        <f ca="1">F295*H311+G295*G311+H295*F311</f>
        <v>0.33247016999999995</v>
      </c>
      <c r="H317" s="106">
        <f ca="1">F295*I311+G295*H311+H295*G311+I295*F311</f>
        <v>5.3843149999999992E-2</v>
      </c>
      <c r="I317" s="106">
        <f ca="1">F295*J311+G295*I311+H295*H311+I295*G311+J295*F311</f>
        <v>1.6290124999999999E-2</v>
      </c>
      <c r="J317" s="106">
        <f ca="1">F295*K311+G295*J311+H295*I311+I295*H311+J295*G311+K295*F311</f>
        <v>0</v>
      </c>
      <c r="K317" s="106">
        <f ca="1">F295*L311+G295*K311+H295*J311+I295*I311+J295*H311+K295*G311+L295*F311</f>
        <v>0</v>
      </c>
      <c r="L317" s="118">
        <f ca="1">F295*M311+G295*L311+H295*K311+I295*J311+J295*I311+K295*H311+L295*G311+M295*F311</f>
        <v>0</v>
      </c>
      <c r="M317" s="106">
        <f ca="1">F295*N311+G295*M311+H295*L311+I295*K311+J295*J311+K295*I311+L295*H311+M295*G311+N295*F311+G295*N311+H295*M311+I295*L311+J295*K311+K295*J311+L295*I311+M295*H311+N295*G311+H295*N311+I295*M311+J295*L311+K295*K311+L295*J311+M295*I311+N295*H311+I295*N311+J295*M311+K295*L311+L295*K311+M295*J311+N295*I311+J295*N311+K295*M311+L295*L311+M295*K311+N295*J311+K295*N311+L295*M311+M295*L311+N295*K311+L295*N311+M295*M311+N295*L311+M295*N311+N295*M311+N295*N311</f>
        <v>0</v>
      </c>
      <c r="N317" s="106">
        <f ca="1">SUM(E317:M317)</f>
        <v>0.99999999999999989</v>
      </c>
    </row>
    <row r="318" spans="1:15" x14ac:dyDescent="0.2">
      <c r="D318" s="110" t="s">
        <v>243</v>
      </c>
      <c r="E318" s="113">
        <f ca="1">E316*E317+F316*F317+G316*G317+H316*H317+I316*I317+J316*J317+K316*K317+L316*L317+M316*M317</f>
        <v>1.4666975425</v>
      </c>
    </row>
    <row r="319" spans="1:15" x14ac:dyDescent="0.2">
      <c r="D319" s="100"/>
      <c r="E319" s="106"/>
      <c r="F319" s="106"/>
      <c r="G319" s="106"/>
      <c r="H319" s="106"/>
      <c r="I319" s="106"/>
      <c r="J319" s="106"/>
      <c r="K319" s="106"/>
      <c r="L319" s="106"/>
      <c r="M319" s="106"/>
      <c r="N319" s="100"/>
    </row>
    <row r="321" spans="1:15" x14ac:dyDescent="0.2">
      <c r="A321" s="121" t="s">
        <v>372</v>
      </c>
    </row>
    <row r="323" spans="1:15" x14ac:dyDescent="0.2">
      <c r="A323" s="98" t="s">
        <v>239</v>
      </c>
      <c r="B323" s="99">
        <f ca="1">Data!L98</f>
        <v>0.95</v>
      </c>
      <c r="D323" s="100" t="s">
        <v>211</v>
      </c>
      <c r="E323" s="100"/>
      <c r="F323" s="100"/>
      <c r="G323" s="100"/>
      <c r="H323" s="100"/>
      <c r="I323" s="100"/>
    </row>
    <row r="324" spans="1:15" x14ac:dyDescent="0.2">
      <c r="A324" s="98" t="s">
        <v>191</v>
      </c>
      <c r="B324" s="101">
        <f ca="1">Data!L79</f>
        <v>0.39</v>
      </c>
      <c r="D324" s="98" t="s">
        <v>216</v>
      </c>
      <c r="E324" s="98" t="s">
        <v>240</v>
      </c>
      <c r="F324" s="102">
        <v>0</v>
      </c>
      <c r="G324" s="102">
        <v>1</v>
      </c>
      <c r="H324" s="102">
        <v>2</v>
      </c>
      <c r="I324" s="103">
        <v>3</v>
      </c>
      <c r="J324" s="103">
        <v>4</v>
      </c>
      <c r="K324" s="103">
        <v>5</v>
      </c>
      <c r="L324" s="103">
        <v>6</v>
      </c>
      <c r="M324" s="103">
        <v>7</v>
      </c>
      <c r="N324" s="103">
        <v>8</v>
      </c>
    </row>
    <row r="325" spans="1:15" x14ac:dyDescent="0.2">
      <c r="A325" s="98" t="s">
        <v>194</v>
      </c>
      <c r="B325" s="101">
        <f ca="1">Data!L80</f>
        <v>0.06</v>
      </c>
      <c r="D325" s="98">
        <v>0</v>
      </c>
      <c r="E325" s="105">
        <v>0</v>
      </c>
      <c r="F325" s="106">
        <f t="shared" ref="F325:N325" ca="1" si="106">IF($D325&gt;=F324, POWER($B323, F324) * POWER((1-$B323), $D325-F324) * COMBIN($D325,F324) * $E325, 0)</f>
        <v>0</v>
      </c>
      <c r="G325" s="106">
        <f t="shared" si="106"/>
        <v>0</v>
      </c>
      <c r="H325" s="106">
        <f t="shared" si="106"/>
        <v>0</v>
      </c>
      <c r="I325" s="106">
        <f t="shared" si="106"/>
        <v>0</v>
      </c>
      <c r="J325" s="106">
        <f t="shared" si="106"/>
        <v>0</v>
      </c>
      <c r="K325" s="106">
        <f t="shared" si="106"/>
        <v>0</v>
      </c>
      <c r="L325" s="106">
        <f t="shared" si="106"/>
        <v>0</v>
      </c>
      <c r="M325" s="106">
        <f t="shared" si="106"/>
        <v>0</v>
      </c>
      <c r="N325" s="106">
        <f t="shared" si="106"/>
        <v>0</v>
      </c>
    </row>
    <row r="326" spans="1:15" x14ac:dyDescent="0.2">
      <c r="A326" s="98" t="s">
        <v>196</v>
      </c>
      <c r="B326" s="101">
        <f ca="1">Data!L81</f>
        <v>0.02</v>
      </c>
      <c r="D326" s="98">
        <v>1</v>
      </c>
      <c r="E326" s="165">
        <f ca="1">(1-B326)*(1-B325)*(1-B324)*(1-B328)*(1-B327)*(1-B344)</f>
        <v>0.56193199999999988</v>
      </c>
      <c r="F326" s="106">
        <f ca="1">IF($D326&gt;=F324, POWER($B323, F324) * POWER((1-$B323), $D326-F324) * COMBIN($D326,F324) * $E326, 0) * (1 - B347*B348*(1-E339))</f>
        <v>2.1423657500000016E-2</v>
      </c>
      <c r="G326" s="106">
        <f ca="1">IF($D326&gt;=G324, POWER($B323, G324) * POWER((1-$B323), $D326-G324) * COMBIN($D326,G324) * $E326, 0) + IF($D326&gt;=F324, POWER($B323, F324) * POWER((1-$B323), $D326-F324) * COMBIN($D326,F324) * $E326, 0) * B347 * B348 * (1-E339)</f>
        <v>0.54050834249999991</v>
      </c>
      <c r="H326" s="106">
        <f t="shared" ref="H326:N326" si="107">IF($D326&gt;=H324, POWER($B323, H324) * POWER((1-$B323), $D326-H324) * COMBIN($D326,H324) * $E326, 0)</f>
        <v>0</v>
      </c>
      <c r="I326" s="106">
        <f t="shared" si="107"/>
        <v>0</v>
      </c>
      <c r="J326" s="106">
        <f t="shared" si="107"/>
        <v>0</v>
      </c>
      <c r="K326" s="106">
        <f t="shared" si="107"/>
        <v>0</v>
      </c>
      <c r="L326" s="106">
        <f t="shared" si="107"/>
        <v>0</v>
      </c>
      <c r="M326" s="106">
        <f t="shared" si="107"/>
        <v>0</v>
      </c>
      <c r="N326" s="106">
        <f t="shared" si="107"/>
        <v>0</v>
      </c>
    </row>
    <row r="327" spans="1:15" x14ac:dyDescent="0.2">
      <c r="A327" s="98" t="s">
        <v>351</v>
      </c>
      <c r="B327" s="101">
        <v>0</v>
      </c>
      <c r="D327" s="98">
        <v>2</v>
      </c>
      <c r="E327" s="165">
        <f ca="1">(1-B326)*(1-B325)*(1-B327)*(B324) + (1-B326)*(1-B325)*(1-B324)*(1-B327)*(B328)*(B329) + (1-B326)*(1-B325)*(1-B324)*(1-B327)*(1-B328)*(B344)*(B345) + (1-B326)*(1-B325)*(1-B324)*(1-B328)*(B327)</f>
        <v>0.35926799999999998</v>
      </c>
      <c r="F327" s="106">
        <f t="shared" ref="F327:N327" ca="1" si="108">IF($D327&gt;=F324, POWER($B323, F324) * POWER((1-$B323), $D327-F324) * COMBIN($D327,F324) * $E327, 0)</f>
        <v>8.9817000000000152E-4</v>
      </c>
      <c r="G327" s="106">
        <f t="shared" ca="1" si="108"/>
        <v>3.4130460000000029E-2</v>
      </c>
      <c r="H327" s="106">
        <f t="shared" ca="1" si="108"/>
        <v>0.32423936999999997</v>
      </c>
      <c r="I327" s="106">
        <f t="shared" si="108"/>
        <v>0</v>
      </c>
      <c r="J327" s="106">
        <f t="shared" si="108"/>
        <v>0</v>
      </c>
      <c r="K327" s="106">
        <f t="shared" si="108"/>
        <v>0</v>
      </c>
      <c r="L327" s="106">
        <f t="shared" si="108"/>
        <v>0</v>
      </c>
      <c r="M327" s="106">
        <f t="shared" si="108"/>
        <v>0</v>
      </c>
      <c r="N327" s="106">
        <f t="shared" si="108"/>
        <v>0</v>
      </c>
    </row>
    <row r="328" spans="1:15" x14ac:dyDescent="0.2">
      <c r="A328" s="98" t="s">
        <v>352</v>
      </c>
      <c r="B328" s="101">
        <f>IF(ISBLANK(Gear!$B$3), 0, VLOOKUP(Gear!$B$3, Weapon, MATCH("OAx", StatHeader, 0), 0))</f>
        <v>0</v>
      </c>
      <c r="D328" s="98">
        <v>3</v>
      </c>
      <c r="E328" s="165">
        <f ca="1">(1-B326)*(1-B327)*(B325) + (1-B326)*(1-B325)*(1-B324)*(1-B327)*(B328)*(B330) + (1-B326)*(1-B325)*(1-B324)*(1-B327)*(1-B328)*(B344)*(B346) + (1-B326)*(1-B325)*(B327)*(B324) + (1-B326)*(1-B325)*(1-B324)*(B327)*(B328)*(B329) + (1-B326)*(1-B325)*(1-B324)*(B327)*(B344)*(B345)</f>
        <v>5.8799999999999998E-2</v>
      </c>
      <c r="F328" s="106">
        <f t="shared" ref="F328:N328" ca="1" si="109">IF($D328&gt;=F324, POWER($B323, F324) * POWER((1-$B323), $D328-F324) * COMBIN($D328,F324) * $E328, 0)</f>
        <v>7.3500000000000194E-6</v>
      </c>
      <c r="G328" s="106">
        <f t="shared" ca="1" si="109"/>
        <v>4.1895000000000067E-4</v>
      </c>
      <c r="H328" s="106">
        <f t="shared" ca="1" si="109"/>
        <v>7.9600500000000084E-3</v>
      </c>
      <c r="I328" s="106">
        <f t="shared" ca="1" si="109"/>
        <v>5.041364999999999E-2</v>
      </c>
      <c r="J328" s="106">
        <f t="shared" si="109"/>
        <v>0</v>
      </c>
      <c r="K328" s="106">
        <f t="shared" si="109"/>
        <v>0</v>
      </c>
      <c r="L328" s="106">
        <f t="shared" si="109"/>
        <v>0</v>
      </c>
      <c r="M328" s="106">
        <f t="shared" si="109"/>
        <v>0</v>
      </c>
      <c r="N328" s="106">
        <f t="shared" si="109"/>
        <v>0</v>
      </c>
    </row>
    <row r="329" spans="1:15" x14ac:dyDescent="0.2">
      <c r="A329" s="98" t="s">
        <v>353</v>
      </c>
      <c r="B329" s="101">
        <f>IF(ISBLANK(Gear!$B$3), 0, VLOOKUP(Gear!$B$3, Weapon, MATCH(A329, StatHeader, 0), 0))</f>
        <v>0</v>
      </c>
      <c r="D329" s="98">
        <v>4</v>
      </c>
      <c r="E329" s="165">
        <f ca="1">(B326)*(1-B327) + (1-B326)*(B327)*(B325) + (1-B326)*(1-B325)*(1-B324)*(1-B327)*(B328)*(B331) + (1-B326)*(1-B325)*(1-B324)*(B327)*(B344)*(B346) + (1-B326)*(1-B325)*(1-B324)*(B327)*(B328)*(B330)</f>
        <v>0.02</v>
      </c>
      <c r="F329" s="106">
        <f t="shared" ref="F329:N329" ca="1" si="110">IF($D329&gt;=F324, POWER($B323, F324) * POWER((1-$B323), $D329-F324) * COMBIN($D329,F324) * $E329, 0)</f>
        <v>1.2500000000000044E-7</v>
      </c>
      <c r="G329" s="106">
        <f t="shared" ca="1" si="110"/>
        <v>9.5000000000000259E-6</v>
      </c>
      <c r="H329" s="106">
        <f t="shared" ca="1" si="110"/>
        <v>2.7075000000000048E-4</v>
      </c>
      <c r="I329" s="106">
        <f t="shared" ca="1" si="110"/>
        <v>3.4295000000000024E-3</v>
      </c>
      <c r="J329" s="106">
        <f t="shared" ca="1" si="110"/>
        <v>1.6290124999999999E-2</v>
      </c>
      <c r="K329" s="106">
        <f t="shared" si="110"/>
        <v>0</v>
      </c>
      <c r="L329" s="106">
        <f t="shared" si="110"/>
        <v>0</v>
      </c>
      <c r="M329" s="106">
        <f t="shared" si="110"/>
        <v>0</v>
      </c>
      <c r="N329" s="106">
        <f t="shared" si="110"/>
        <v>0</v>
      </c>
    </row>
    <row r="330" spans="1:15" x14ac:dyDescent="0.2">
      <c r="A330" s="98" t="s">
        <v>354</v>
      </c>
      <c r="B330" s="101">
        <f>IF(ISBLANK(Gear!$B$3), 0, VLOOKUP(Gear!$B$3, Weapon, MATCH(A330, StatHeader, 0), 0))</f>
        <v>0</v>
      </c>
      <c r="D330" s="98">
        <v>5</v>
      </c>
      <c r="E330" s="166">
        <f ca="1">(1-B326)*(1-B325)*(1-B324)*(1-B327)*(B328)*(B332) + (1-B326)*(1-B325)*(1-B324)*(B327)*(B328)*(B331) + (B326)*(B327)</f>
        <v>0</v>
      </c>
      <c r="F330" s="106">
        <f t="shared" ref="F330:N330" ca="1" si="111">IF($D330&gt;=F324, POWER($B323, F324) * POWER((1-$B323), $D330-F324) * COMBIN($D330,F324) * $E330, 0)</f>
        <v>0</v>
      </c>
      <c r="G330" s="106">
        <f t="shared" ca="1" si="111"/>
        <v>0</v>
      </c>
      <c r="H330" s="106">
        <f t="shared" ca="1" si="111"/>
        <v>0</v>
      </c>
      <c r="I330" s="106">
        <f t="shared" ca="1" si="111"/>
        <v>0</v>
      </c>
      <c r="J330" s="106">
        <f t="shared" ca="1" si="111"/>
        <v>0</v>
      </c>
      <c r="K330" s="106">
        <f t="shared" ca="1" si="111"/>
        <v>0</v>
      </c>
      <c r="L330" s="106">
        <f t="shared" si="111"/>
        <v>0</v>
      </c>
      <c r="M330" s="106">
        <f t="shared" si="111"/>
        <v>0</v>
      </c>
      <c r="N330" s="106">
        <f t="shared" si="111"/>
        <v>0</v>
      </c>
    </row>
    <row r="331" spans="1:15" x14ac:dyDescent="0.2">
      <c r="A331" s="98" t="s">
        <v>355</v>
      </c>
      <c r="B331" s="101">
        <f>IF(ISBLANK(Gear!$B$3), 0, VLOOKUP(Gear!$B$3, Weapon, MATCH(A331, StatHeader, 0), 0))</f>
        <v>0</v>
      </c>
      <c r="D331" s="100">
        <v>6</v>
      </c>
      <c r="E331" s="166">
        <f ca="1">(1-B326)*(1-B325)*(1-B324)*(1-B327)*(B328)*(B333) + (1-B326)*(1-B325)*(1-B324)*(B327)*(B328)*(B332)</f>
        <v>0</v>
      </c>
      <c r="F331" s="106">
        <f t="shared" ref="F331:N331" ca="1" si="112">IF($D331&gt;=F324, POWER($B323, F324) * POWER((1-$B323), $D331-F324) * COMBIN($D331,F324) * $E331, 0)</f>
        <v>0</v>
      </c>
      <c r="G331" s="106">
        <f t="shared" ca="1" si="112"/>
        <v>0</v>
      </c>
      <c r="H331" s="106">
        <f t="shared" ca="1" si="112"/>
        <v>0</v>
      </c>
      <c r="I331" s="106">
        <f t="shared" ca="1" si="112"/>
        <v>0</v>
      </c>
      <c r="J331" s="106">
        <f t="shared" ca="1" si="112"/>
        <v>0</v>
      </c>
      <c r="K331" s="106">
        <f t="shared" ca="1" si="112"/>
        <v>0</v>
      </c>
      <c r="L331" s="106">
        <f t="shared" ca="1" si="112"/>
        <v>0</v>
      </c>
      <c r="M331" s="106">
        <f t="shared" si="112"/>
        <v>0</v>
      </c>
      <c r="N331" s="106">
        <f t="shared" si="112"/>
        <v>0</v>
      </c>
    </row>
    <row r="332" spans="1:15" x14ac:dyDescent="0.2">
      <c r="A332" s="98" t="s">
        <v>356</v>
      </c>
      <c r="B332" s="101">
        <f>IF(ISBLANK(Gear!$B$3), 0, VLOOKUP(Gear!$B$3, Weapon, MATCH(A332, StatHeader, 0), 0))</f>
        <v>0</v>
      </c>
      <c r="D332" s="110">
        <v>7</v>
      </c>
      <c r="E332" s="165">
        <f ca="1">(1-B326)*(1-B325)*(1-B324)*(1-B327)*(B328)*(B334) + (1-B326)*(1-B325)*(1-B324)*(B327)*(B328)*(B333)</f>
        <v>0</v>
      </c>
      <c r="F332" s="106">
        <f t="shared" ref="F332:N332" ca="1" si="113">IF($D332&gt;=F324, POWER($B323, F324) * POWER((1-$B323), $D332-F324) * COMBIN($D332,F324) * $E332, 0)</f>
        <v>0</v>
      </c>
      <c r="G332" s="106">
        <f t="shared" ca="1" si="113"/>
        <v>0</v>
      </c>
      <c r="H332" s="106">
        <f t="shared" ca="1" si="113"/>
        <v>0</v>
      </c>
      <c r="I332" s="106">
        <f t="shared" ca="1" si="113"/>
        <v>0</v>
      </c>
      <c r="J332" s="106">
        <f t="shared" ca="1" si="113"/>
        <v>0</v>
      </c>
      <c r="K332" s="106">
        <f t="shared" ca="1" si="113"/>
        <v>0</v>
      </c>
      <c r="L332" s="106">
        <f t="shared" ca="1" si="113"/>
        <v>0</v>
      </c>
      <c r="M332" s="106">
        <f t="shared" ca="1" si="113"/>
        <v>0</v>
      </c>
      <c r="N332" s="106">
        <f t="shared" si="113"/>
        <v>0</v>
      </c>
      <c r="O332" s="100"/>
    </row>
    <row r="333" spans="1:15" x14ac:dyDescent="0.2">
      <c r="A333" s="98" t="s">
        <v>357</v>
      </c>
      <c r="B333" s="101">
        <f>IF(ISBLANK(Gear!$B$3), 0, VLOOKUP(Gear!$B$3, Weapon, MATCH(A333, StatHeader, 0), 0))</f>
        <v>0</v>
      </c>
      <c r="D333" s="110">
        <v>8</v>
      </c>
      <c r="E333" s="165">
        <f ca="1">(1-B326)*(1-B325)*(1-B324)*(B328)*(B335) + (1-B326)*(1-B325)*(1-B324)*(B327)*(B328)*(B334)</f>
        <v>0</v>
      </c>
      <c r="F333" s="111">
        <f t="shared" ref="F333:N333" ca="1" si="114">IF($D333&gt;=F324, POWER($B323, F324) * POWER((1-$B323), $D333-F324) * COMBIN($D333,F324) * $E333, 0)</f>
        <v>0</v>
      </c>
      <c r="G333" s="112">
        <f t="shared" ca="1" si="114"/>
        <v>0</v>
      </c>
      <c r="H333" s="112">
        <f t="shared" ca="1" si="114"/>
        <v>0</v>
      </c>
      <c r="I333" s="112">
        <f t="shared" ca="1" si="114"/>
        <v>0</v>
      </c>
      <c r="J333" s="112">
        <f t="shared" ca="1" si="114"/>
        <v>0</v>
      </c>
      <c r="K333" s="112">
        <f t="shared" ca="1" si="114"/>
        <v>0</v>
      </c>
      <c r="L333" s="112">
        <f t="shared" ca="1" si="114"/>
        <v>0</v>
      </c>
      <c r="M333" s="112">
        <f t="shared" ca="1" si="114"/>
        <v>0</v>
      </c>
      <c r="N333" s="112">
        <f t="shared" ca="1" si="114"/>
        <v>0</v>
      </c>
      <c r="O333" s="100"/>
    </row>
    <row r="334" spans="1:15" x14ac:dyDescent="0.2">
      <c r="A334" s="98" t="s">
        <v>358</v>
      </c>
      <c r="B334" s="101">
        <f>IF(ISBLANK(Gear!$B$3), 0, VLOOKUP(Gear!$B$3, Weapon, MATCH(A334, StatHeader, 0), 0))</f>
        <v>0</v>
      </c>
      <c r="E334" s="101">
        <f ca="1">SUM(E325:E333)</f>
        <v>0.99999999999999978</v>
      </c>
      <c r="O334" s="106"/>
    </row>
    <row r="335" spans="1:15" x14ac:dyDescent="0.2">
      <c r="A335" s="98" t="s">
        <v>359</v>
      </c>
      <c r="B335" s="101">
        <f>IF(ISBLANK(Gear!$B$3), 0, VLOOKUP(Gear!$B$3, Weapon, MATCH(A335, StatHeader, 0), 0))</f>
        <v>0</v>
      </c>
      <c r="E335" s="98" t="s">
        <v>241</v>
      </c>
      <c r="F335" s="114">
        <f t="shared" ref="F335:N335" ca="1" si="115">SUM(F325:F333)</f>
        <v>2.2329302500000016E-2</v>
      </c>
      <c r="G335" s="114">
        <f t="shared" ca="1" si="115"/>
        <v>0.57506725250000001</v>
      </c>
      <c r="H335" s="114">
        <f t="shared" ca="1" si="115"/>
        <v>0.33247016999999995</v>
      </c>
      <c r="I335" s="114">
        <f t="shared" ca="1" si="115"/>
        <v>5.3843149999999992E-2</v>
      </c>
      <c r="J335" s="114">
        <f t="shared" ca="1" si="115"/>
        <v>1.6290124999999999E-2</v>
      </c>
      <c r="K335" s="114">
        <f t="shared" ca="1" si="115"/>
        <v>0</v>
      </c>
      <c r="L335" s="114">
        <f t="shared" ca="1" si="115"/>
        <v>0</v>
      </c>
      <c r="M335" s="114">
        <f t="shared" ca="1" si="115"/>
        <v>0</v>
      </c>
      <c r="N335" s="114">
        <f t="shared" ca="1" si="115"/>
        <v>0</v>
      </c>
      <c r="O335" s="106">
        <f ca="1">SUM(F335:N335)</f>
        <v>0.99999999999999989</v>
      </c>
    </row>
    <row r="336" spans="1:15" x14ac:dyDescent="0.2">
      <c r="A336" s="98" t="s">
        <v>360</v>
      </c>
      <c r="B336" s="101">
        <f>IF(ISBLANK(Gear!$B$3), 0, VLOOKUP(Gear!$B$3, Weapon, MATCH("OAx", StatHeader, 0), 0))</f>
        <v>0</v>
      </c>
      <c r="E336" s="106" t="s">
        <v>243</v>
      </c>
      <c r="F336" s="115">
        <f ca="1">F324*F335+G324*G335+H324*H335+I324*I335+J335*J324+K335*K324+L335*L324+M335*M324+N335*N324</f>
        <v>1.4666975425</v>
      </c>
      <c r="G336" s="106"/>
      <c r="H336" s="106"/>
      <c r="I336" s="106"/>
      <c r="O336" s="100"/>
    </row>
    <row r="337" spans="1:15" x14ac:dyDescent="0.2">
      <c r="A337" s="98" t="s">
        <v>353</v>
      </c>
      <c r="B337" s="101">
        <f>IF(ISBLANK(Gear!$B$3), 0, VLOOKUP(Gear!$B$3, Weapon, MATCH(A337, StatHeader, 0), 0))</f>
        <v>0</v>
      </c>
      <c r="F337"/>
      <c r="G337"/>
      <c r="H337"/>
    </row>
    <row r="338" spans="1:15" x14ac:dyDescent="0.2">
      <c r="A338" s="98" t="s">
        <v>354</v>
      </c>
      <c r="B338" s="101">
        <f>IF(ISBLANK(Gear!$B$3), 0, VLOOKUP(Gear!$B$3, Weapon, MATCH(A338, StatHeader, 0), 0))</f>
        <v>0</v>
      </c>
      <c r="F338" s="88"/>
      <c r="G338" s="63"/>
      <c r="H338" s="63"/>
    </row>
    <row r="339" spans="1:15" x14ac:dyDescent="0.2">
      <c r="A339" s="98" t="s">
        <v>355</v>
      </c>
      <c r="B339" s="101">
        <f>IF(ISBLANK(Gear!$B$3), 0, VLOOKUP(Gear!$B$3, Weapon, MATCH(A339, StatHeader, 0), 0))</f>
        <v>0</v>
      </c>
      <c r="D339" s="100" t="s">
        <v>215</v>
      </c>
      <c r="E339" s="100">
        <v>0</v>
      </c>
      <c r="F339" s="100"/>
      <c r="G339" s="100"/>
      <c r="H339" s="100"/>
      <c r="I339" s="100"/>
      <c r="J339" s="100"/>
    </row>
    <row r="340" spans="1:15" x14ac:dyDescent="0.2">
      <c r="A340" s="98" t="s">
        <v>356</v>
      </c>
      <c r="B340" s="101">
        <f>IF(ISBLANK(Gear!$B$3), 0, VLOOKUP(Gear!$B$3, Weapon, MATCH(A340, StatHeader, 0), 0))</f>
        <v>0</v>
      </c>
      <c r="D340" s="98" t="s">
        <v>216</v>
      </c>
      <c r="E340" s="98" t="s">
        <v>240</v>
      </c>
      <c r="F340" s="102">
        <v>0</v>
      </c>
      <c r="G340" s="102">
        <v>1</v>
      </c>
      <c r="H340" s="102">
        <v>2</v>
      </c>
      <c r="I340" s="103">
        <v>3</v>
      </c>
      <c r="J340" s="103">
        <v>4</v>
      </c>
      <c r="K340" s="103">
        <v>5</v>
      </c>
      <c r="L340" s="103">
        <v>6</v>
      </c>
      <c r="M340" s="103">
        <v>7</v>
      </c>
      <c r="N340" s="103">
        <v>8</v>
      </c>
      <c r="O340" s="100"/>
    </row>
    <row r="341" spans="1:15" x14ac:dyDescent="0.2">
      <c r="A341" s="98" t="s">
        <v>357</v>
      </c>
      <c r="B341" s="101">
        <f>IF(ISBLANK(Gear!$B$3), 0, VLOOKUP(Gear!$B$3, Weapon, MATCH(A341, StatHeader, 0), 0))</f>
        <v>0</v>
      </c>
      <c r="D341" s="98">
        <v>0</v>
      </c>
      <c r="E341" s="105">
        <f>IF(E339=0, 100%, 0)</f>
        <v>1</v>
      </c>
      <c r="F341" s="106">
        <f t="shared" ref="F341:N341" ca="1" si="116">IF($D341&gt;=F340, POWER($B323, F340) * POWER((1-$B323), $D341-F340) * COMBIN($D341,F340) * $E341, 0)</f>
        <v>1</v>
      </c>
      <c r="G341" s="106">
        <f t="shared" si="116"/>
        <v>0</v>
      </c>
      <c r="H341" s="106">
        <f t="shared" si="116"/>
        <v>0</v>
      </c>
      <c r="I341" s="106">
        <f t="shared" si="116"/>
        <v>0</v>
      </c>
      <c r="J341" s="106">
        <f t="shared" si="116"/>
        <v>0</v>
      </c>
      <c r="K341" s="106">
        <f t="shared" si="116"/>
        <v>0</v>
      </c>
      <c r="L341" s="106">
        <f t="shared" si="116"/>
        <v>0</v>
      </c>
      <c r="M341" s="106">
        <f t="shared" si="116"/>
        <v>0</v>
      </c>
      <c r="N341" s="106">
        <f t="shared" si="116"/>
        <v>0</v>
      </c>
      <c r="O341" s="100"/>
    </row>
    <row r="342" spans="1:15" x14ac:dyDescent="0.2">
      <c r="A342" s="98" t="s">
        <v>358</v>
      </c>
      <c r="B342" s="101">
        <f>IF(ISBLANK(Gear!$B$3), 0, VLOOKUP(Gear!$B$3, Weapon, MATCH(A342, StatHeader, 0), 0))</f>
        <v>0</v>
      </c>
      <c r="D342" s="98">
        <v>1</v>
      </c>
      <c r="E342" s="108">
        <f>IF(E339=1, (1-B326)*(1-B325)*(1-B324)*(1-B336), 0)</f>
        <v>0</v>
      </c>
      <c r="F342" s="106">
        <f t="shared" ref="F342:N342" ca="1" si="117">IF($D342&gt;=F340, POWER($B323, F340) * POWER((1-$B323), $D342-F340) * COMBIN($D342,F340) * $E342, 0)</f>
        <v>0</v>
      </c>
      <c r="G342" s="106">
        <f t="shared" ca="1" si="117"/>
        <v>0</v>
      </c>
      <c r="H342" s="106">
        <f t="shared" si="117"/>
        <v>0</v>
      </c>
      <c r="I342" s="106">
        <f t="shared" si="117"/>
        <v>0</v>
      </c>
      <c r="J342" s="106">
        <f t="shared" si="117"/>
        <v>0</v>
      </c>
      <c r="K342" s="106">
        <f t="shared" si="117"/>
        <v>0</v>
      </c>
      <c r="L342" s="106">
        <f t="shared" si="117"/>
        <v>0</v>
      </c>
      <c r="M342" s="106">
        <f t="shared" si="117"/>
        <v>0</v>
      </c>
      <c r="N342" s="106">
        <f t="shared" si="117"/>
        <v>0</v>
      </c>
      <c r="O342" s="100"/>
    </row>
    <row r="343" spans="1:15" x14ac:dyDescent="0.2">
      <c r="A343" s="98" t="s">
        <v>359</v>
      </c>
      <c r="B343" s="101">
        <f>IF(ISBLANK(Gear!$B$3), 0, VLOOKUP(Gear!$B$3, Weapon, MATCH(A343, StatHeader, 0), 0))</f>
        <v>0</v>
      </c>
      <c r="D343" s="98">
        <v>2</v>
      </c>
      <c r="E343" s="108">
        <f>IF(E339=1, (1-B326)*(1-B325)*(1-B324)*(B336)*(B337) + (1-B326)*(1-B325)*B324, 0)</f>
        <v>0</v>
      </c>
      <c r="F343" s="106">
        <f t="shared" ref="F343:N343" ca="1" si="118">IF($D343&gt;=F340, POWER($B323, F340) * POWER((1-$B323), $D343-F340) * COMBIN($D343,F340) * $E343, 0)</f>
        <v>0</v>
      </c>
      <c r="G343" s="106">
        <f t="shared" ca="1" si="118"/>
        <v>0</v>
      </c>
      <c r="H343" s="106">
        <f t="shared" ca="1" si="118"/>
        <v>0</v>
      </c>
      <c r="I343" s="106">
        <f t="shared" si="118"/>
        <v>0</v>
      </c>
      <c r="J343" s="106">
        <f t="shared" si="118"/>
        <v>0</v>
      </c>
      <c r="K343" s="106">
        <f t="shared" si="118"/>
        <v>0</v>
      </c>
      <c r="L343" s="106">
        <f t="shared" si="118"/>
        <v>0</v>
      </c>
      <c r="M343" s="106">
        <f t="shared" si="118"/>
        <v>0</v>
      </c>
      <c r="N343" s="106">
        <f t="shared" si="118"/>
        <v>0</v>
      </c>
      <c r="O343" s="100"/>
    </row>
    <row r="344" spans="1:15" x14ac:dyDescent="0.2">
      <c r="A344" t="s">
        <v>437</v>
      </c>
      <c r="B344" s="8">
        <f>IF(LEFT(Setup!$B$36,4)="Lv.3", IF(ISBLANK(Gear!$B$3), 0, VLOOKUP(Gear!$B$3, Weapon, MATCH(A344, StatHeader, 0), 0)), 0)</f>
        <v>0</v>
      </c>
      <c r="D344" s="98">
        <v>3</v>
      </c>
      <c r="E344" s="108">
        <f>IF(E339=1, (1-B326)*(1-B325)*(1-B324)*(B336)*(B338) + (1-B326)*(B325), 0)</f>
        <v>0</v>
      </c>
      <c r="F344" s="106">
        <f t="shared" ref="F344:N344" ca="1" si="119">IF($D344&gt;=F340, POWER($B323, F340) * POWER((1-$B323), $D344-F340) * COMBIN($D344,F340) * $E344, 0)</f>
        <v>0</v>
      </c>
      <c r="G344" s="106">
        <f t="shared" ca="1" si="119"/>
        <v>0</v>
      </c>
      <c r="H344" s="106">
        <f t="shared" ca="1" si="119"/>
        <v>0</v>
      </c>
      <c r="I344" s="106">
        <f t="shared" ca="1" si="119"/>
        <v>0</v>
      </c>
      <c r="J344" s="106">
        <f t="shared" si="119"/>
        <v>0</v>
      </c>
      <c r="K344" s="106">
        <f t="shared" si="119"/>
        <v>0</v>
      </c>
      <c r="L344" s="106">
        <f t="shared" si="119"/>
        <v>0</v>
      </c>
      <c r="M344" s="106">
        <f t="shared" si="119"/>
        <v>0</v>
      </c>
      <c r="N344" s="106">
        <f t="shared" si="119"/>
        <v>0</v>
      </c>
      <c r="O344" s="100"/>
    </row>
    <row r="345" spans="1:15" x14ac:dyDescent="0.2">
      <c r="A345" t="s">
        <v>438</v>
      </c>
      <c r="B345" s="8">
        <f>IF(LEFT(Setup!$B$36,4)="Lv.3", IF(ISBLANK(Gear!$B$3), 0, VLOOKUP(Gear!$B$3, Weapon, MATCH(A345, StatHeader, 0), 0)), 0)</f>
        <v>0</v>
      </c>
      <c r="D345" s="98">
        <v>4</v>
      </c>
      <c r="E345" s="108">
        <f>IF(E339=1, (1-B326)*(1-B325)*(1-B324)*(B336)*(B339) + (B326), 0)</f>
        <v>0</v>
      </c>
      <c r="F345" s="106">
        <f t="shared" ref="F345:N345" ca="1" si="120">IF($D345&gt;=F340, POWER($B323, F340) * POWER((1-$B323), $D345-F340) * COMBIN($D345,F340) * $E345, 0)</f>
        <v>0</v>
      </c>
      <c r="G345" s="106">
        <f t="shared" ca="1" si="120"/>
        <v>0</v>
      </c>
      <c r="H345" s="106">
        <f t="shared" ca="1" si="120"/>
        <v>0</v>
      </c>
      <c r="I345" s="106">
        <f t="shared" ca="1" si="120"/>
        <v>0</v>
      </c>
      <c r="J345" s="106">
        <f t="shared" ca="1" si="120"/>
        <v>0</v>
      </c>
      <c r="K345" s="106">
        <f t="shared" si="120"/>
        <v>0</v>
      </c>
      <c r="L345" s="106">
        <f t="shared" si="120"/>
        <v>0</v>
      </c>
      <c r="M345" s="106">
        <f t="shared" si="120"/>
        <v>0</v>
      </c>
      <c r="N345" s="106">
        <f t="shared" si="120"/>
        <v>0</v>
      </c>
      <c r="O345" s="100"/>
    </row>
    <row r="346" spans="1:15" x14ac:dyDescent="0.2">
      <c r="A346" t="s">
        <v>439</v>
      </c>
      <c r="B346" s="8">
        <f>IF(LEFT(Setup!$B$36,4)="Lv.3", IF(ISBLANK(Gear!$B$3), 0, VLOOKUP(Gear!$B$3, Weapon, MATCH(A346, StatHeader, 0), 0)), 0)</f>
        <v>0</v>
      </c>
      <c r="D346" s="98">
        <v>5</v>
      </c>
      <c r="E346" s="109">
        <f>IF(E339=1, (1-B326)*(1-B325)*(1-B324)*(B336)*(B340), 0)</f>
        <v>0</v>
      </c>
      <c r="F346" s="106">
        <f t="shared" ref="F346:N346" ca="1" si="121">IF($D346&gt;=F340, POWER($B323, F340) * POWER((1-$B323), $D346-F340) * COMBIN($D346,F340) * $E346, 0)</f>
        <v>0</v>
      </c>
      <c r="G346" s="106">
        <f t="shared" ca="1" si="121"/>
        <v>0</v>
      </c>
      <c r="H346" s="106">
        <f t="shared" ca="1" si="121"/>
        <v>0</v>
      </c>
      <c r="I346" s="106">
        <f t="shared" ca="1" si="121"/>
        <v>0</v>
      </c>
      <c r="J346" s="106">
        <f t="shared" ca="1" si="121"/>
        <v>0</v>
      </c>
      <c r="K346" s="106">
        <f t="shared" ca="1" si="121"/>
        <v>0</v>
      </c>
      <c r="L346" s="106">
        <f t="shared" si="121"/>
        <v>0</v>
      </c>
      <c r="M346" s="106">
        <f t="shared" si="121"/>
        <v>0</v>
      </c>
      <c r="N346" s="106">
        <f t="shared" si="121"/>
        <v>0</v>
      </c>
      <c r="O346" s="100"/>
    </row>
    <row r="347" spans="1:15" x14ac:dyDescent="0.2">
      <c r="A347" s="121" t="s">
        <v>365</v>
      </c>
      <c r="B347" s="101">
        <f ca="1">Data!L83</f>
        <v>0.25</v>
      </c>
      <c r="D347" s="117">
        <v>6</v>
      </c>
      <c r="E347" s="109">
        <f>IF(E339=1, (1-B326)*(1-B325)*(1-B324)*(B336)*(B341), 0)</f>
        <v>0</v>
      </c>
      <c r="F347" s="106">
        <f t="shared" ref="F347:N347" ca="1" si="122">IF($D347&gt;=F340, POWER($B323, F340) * POWER((1-$B323), $D347-F340) * COMBIN($D347,F340) * $E347, 0)</f>
        <v>0</v>
      </c>
      <c r="G347" s="106">
        <f t="shared" ca="1" si="122"/>
        <v>0</v>
      </c>
      <c r="H347" s="106">
        <f t="shared" ca="1" si="122"/>
        <v>0</v>
      </c>
      <c r="I347" s="106">
        <f t="shared" ca="1" si="122"/>
        <v>0</v>
      </c>
      <c r="J347" s="106">
        <f t="shared" ca="1" si="122"/>
        <v>0</v>
      </c>
      <c r="K347" s="106">
        <f t="shared" ca="1" si="122"/>
        <v>0</v>
      </c>
      <c r="L347" s="106">
        <f t="shared" ca="1" si="122"/>
        <v>0</v>
      </c>
      <c r="M347" s="106">
        <f t="shared" si="122"/>
        <v>0</v>
      </c>
      <c r="N347" s="106">
        <f t="shared" si="122"/>
        <v>0</v>
      </c>
      <c r="O347" s="100"/>
    </row>
    <row r="348" spans="1:15" x14ac:dyDescent="0.2">
      <c r="A348" s="121" t="s">
        <v>163</v>
      </c>
      <c r="B348" s="96">
        <f ca="1">Data!L99</f>
        <v>0.95</v>
      </c>
      <c r="D348" s="98">
        <v>7</v>
      </c>
      <c r="E348" s="109">
        <f>IF(E339=1, (1-B326)*(1-B325)*(1-B324)*(B336)*(B342), 0)</f>
        <v>0</v>
      </c>
      <c r="F348" s="106">
        <f t="shared" ref="F348:N348" ca="1" si="123">IF($D348&gt;=F340, POWER($B323, F340) * POWER((1-$B323), $D348-F340) * COMBIN($D348,F340) * $E348, 0)</f>
        <v>0</v>
      </c>
      <c r="G348" s="106">
        <f t="shared" ca="1" si="123"/>
        <v>0</v>
      </c>
      <c r="H348" s="106">
        <f t="shared" ca="1" si="123"/>
        <v>0</v>
      </c>
      <c r="I348" s="106">
        <f t="shared" ca="1" si="123"/>
        <v>0</v>
      </c>
      <c r="J348" s="106">
        <f t="shared" ca="1" si="123"/>
        <v>0</v>
      </c>
      <c r="K348" s="106">
        <f t="shared" ca="1" si="123"/>
        <v>0</v>
      </c>
      <c r="L348" s="106">
        <f t="shared" ca="1" si="123"/>
        <v>0</v>
      </c>
      <c r="M348" s="106">
        <f t="shared" ca="1" si="123"/>
        <v>0</v>
      </c>
      <c r="N348" s="106">
        <f t="shared" si="123"/>
        <v>0</v>
      </c>
      <c r="O348" s="100"/>
    </row>
    <row r="349" spans="1:15" x14ac:dyDescent="0.2">
      <c r="D349" s="98">
        <v>8</v>
      </c>
      <c r="E349" s="109">
        <f>IF(E339=1, (1-B326)*(1-B325)*(1-B324)*(B336)*(B343), 0)</f>
        <v>0</v>
      </c>
      <c r="F349" s="111">
        <f t="shared" ref="F349:N349" ca="1" si="124">IF($D349&gt;=F340, POWER($B323, F340) * POWER((1-$B323), $D349-F340) * COMBIN($D349,F340) * $E349, 0)</f>
        <v>0</v>
      </c>
      <c r="G349" s="112">
        <f t="shared" ca="1" si="124"/>
        <v>0</v>
      </c>
      <c r="H349" s="112">
        <f t="shared" ca="1" si="124"/>
        <v>0</v>
      </c>
      <c r="I349" s="112">
        <f t="shared" ca="1" si="124"/>
        <v>0</v>
      </c>
      <c r="J349" s="112">
        <f t="shared" ca="1" si="124"/>
        <v>0</v>
      </c>
      <c r="K349" s="112">
        <f t="shared" ca="1" si="124"/>
        <v>0</v>
      </c>
      <c r="L349" s="112">
        <f t="shared" ca="1" si="124"/>
        <v>0</v>
      </c>
      <c r="M349" s="112">
        <f t="shared" ca="1" si="124"/>
        <v>0</v>
      </c>
      <c r="N349" s="112">
        <f t="shared" ca="1" si="124"/>
        <v>0</v>
      </c>
      <c r="O349" s="100"/>
    </row>
    <row r="350" spans="1:15" x14ac:dyDescent="0.2">
      <c r="E350" s="101">
        <f>SUM(E341:E349)</f>
        <v>1</v>
      </c>
      <c r="O350" s="100"/>
    </row>
    <row r="351" spans="1:15" x14ac:dyDescent="0.2">
      <c r="E351" s="98" t="s">
        <v>241</v>
      </c>
      <c r="F351" s="114">
        <f t="shared" ref="F351:N351" ca="1" si="125">SUM(F341:F349)</f>
        <v>1</v>
      </c>
      <c r="G351" s="114">
        <f t="shared" ca="1" si="125"/>
        <v>0</v>
      </c>
      <c r="H351" s="114">
        <f t="shared" ca="1" si="125"/>
        <v>0</v>
      </c>
      <c r="I351" s="114">
        <f t="shared" ca="1" si="125"/>
        <v>0</v>
      </c>
      <c r="J351" s="114">
        <f t="shared" ca="1" si="125"/>
        <v>0</v>
      </c>
      <c r="K351" s="114">
        <f t="shared" ca="1" si="125"/>
        <v>0</v>
      </c>
      <c r="L351" s="114">
        <f t="shared" ca="1" si="125"/>
        <v>0</v>
      </c>
      <c r="M351" s="114">
        <f t="shared" ca="1" si="125"/>
        <v>0</v>
      </c>
      <c r="N351" s="114">
        <f t="shared" ca="1" si="125"/>
        <v>0</v>
      </c>
      <c r="O351" s="106">
        <f ca="1">SUM(F351:N351)</f>
        <v>1</v>
      </c>
    </row>
    <row r="352" spans="1:15" x14ac:dyDescent="0.2">
      <c r="E352" s="98" t="s">
        <v>243</v>
      </c>
      <c r="F352" s="115">
        <f ca="1">F340*F351+G340*G351+H340*H351+I340*I351+J351*J340+K351*K340+L351*L340+M351*M340+N351*N340</f>
        <v>0</v>
      </c>
      <c r="I352" s="100"/>
      <c r="J352" s="100"/>
      <c r="K352" s="106"/>
      <c r="O352" s="106"/>
    </row>
    <row r="353" spans="1:15" x14ac:dyDescent="0.2">
      <c r="K353" s="106"/>
      <c r="O353" s="100"/>
    </row>
    <row r="355" spans="1:15" x14ac:dyDescent="0.2">
      <c r="D355" s="100" t="s">
        <v>361</v>
      </c>
      <c r="E355" s="100"/>
      <c r="F355" s="106"/>
      <c r="G355" s="106"/>
      <c r="H355" s="106"/>
      <c r="I355" s="106"/>
      <c r="J355" s="106"/>
      <c r="K355" s="106"/>
      <c r="L355" s="106"/>
      <c r="M355" s="106"/>
      <c r="N355" s="106"/>
    </row>
    <row r="356" spans="1:15" x14ac:dyDescent="0.2">
      <c r="D356" s="100" t="s">
        <v>362</v>
      </c>
      <c r="E356" s="119">
        <v>0</v>
      </c>
      <c r="F356" s="100">
        <v>1</v>
      </c>
      <c r="G356" s="100">
        <v>2</v>
      </c>
      <c r="H356" s="110">
        <v>3</v>
      </c>
      <c r="I356" s="110">
        <v>4</v>
      </c>
      <c r="J356" s="110">
        <v>5</v>
      </c>
      <c r="K356" s="110">
        <v>6</v>
      </c>
      <c r="L356" s="110">
        <v>7</v>
      </c>
      <c r="M356" s="110">
        <v>8</v>
      </c>
      <c r="N356" s="98" t="s">
        <v>99</v>
      </c>
    </row>
    <row r="357" spans="1:15" x14ac:dyDescent="0.2">
      <c r="D357" s="100" t="s">
        <v>363</v>
      </c>
      <c r="E357" s="106">
        <f ca="1">F335*F351</f>
        <v>2.2329302500000016E-2</v>
      </c>
      <c r="F357" s="106">
        <f ca="1">F335*G351+G335*F351</f>
        <v>0.57506725250000001</v>
      </c>
      <c r="G357" s="106">
        <f ca="1">F335*H351+G335*G351+H335*F351</f>
        <v>0.33247016999999995</v>
      </c>
      <c r="H357" s="106">
        <f ca="1">F335*I351+G335*H351+H335*G351+I335*F351</f>
        <v>5.3843149999999992E-2</v>
      </c>
      <c r="I357" s="106">
        <f ca="1">F335*J351+G335*I351+H335*H351+I335*G351+J335*F351</f>
        <v>1.6290124999999999E-2</v>
      </c>
      <c r="J357" s="106">
        <f ca="1">F335*K351+G335*J351+H335*I351+I335*H351+J335*G351+K335*F351</f>
        <v>0</v>
      </c>
      <c r="K357" s="106">
        <f ca="1">F335*L351+G335*K351+H335*J351+I335*I351+J335*H351+K335*G351+L335*F351</f>
        <v>0</v>
      </c>
      <c r="L357" s="118">
        <f ca="1">F335*M351+G335*L351+H335*K351+I335*J351+J335*I351+K335*H351+L335*G351+M335*F351</f>
        <v>0</v>
      </c>
      <c r="M357" s="106">
        <f ca="1">F335*N351+G335*M351+H335*L351+I335*K351+J335*J351+K335*I351+L335*H351+M335*G351+N335*F351+G335*N351+H335*M351+I335*L351+J335*K351+K335*J351+L335*I351+M335*H351+N335*G351+H335*N351+I335*M351+J335*L351+K335*K351+L335*J351+M335*I351+N335*H351+I335*N351+J335*M351+K335*L351+L335*K351+M335*J351+N335*I351+J335*N351+K335*M351+L335*L351+M335*K351+N335*J351+K335*N351+L335*M351+M335*L351+N335*K351+L335*N351+M335*M351+N335*L351+M335*N351+N335*M351+N335*N351</f>
        <v>0</v>
      </c>
      <c r="N357" s="106">
        <f ca="1">SUM(E357:M357)</f>
        <v>0.99999999999999989</v>
      </c>
    </row>
    <row r="358" spans="1:15" x14ac:dyDescent="0.2">
      <c r="D358" s="110" t="s">
        <v>243</v>
      </c>
      <c r="E358" s="113">
        <f ca="1">E356*E357+F356*F357+G356*G357+H356*H357+I356*I357+J356*J357+K356*K357+L356*L357+M356*M357</f>
        <v>1.4666975425</v>
      </c>
    </row>
    <row r="359" spans="1:15" x14ac:dyDescent="0.2">
      <c r="D359" s="100"/>
      <c r="E359" s="106"/>
      <c r="F359" s="100"/>
      <c r="G359" s="100"/>
      <c r="H359" s="100"/>
    </row>
    <row r="360" spans="1:15" x14ac:dyDescent="0.2">
      <c r="D360" s="100"/>
      <c r="E360" s="100"/>
      <c r="F360" s="106"/>
      <c r="G360" s="106"/>
      <c r="H360" s="100"/>
    </row>
    <row r="361" spans="1:15" x14ac:dyDescent="0.2">
      <c r="A361" s="121" t="s">
        <v>373</v>
      </c>
    </row>
    <row r="363" spans="1:15" x14ac:dyDescent="0.2">
      <c r="A363" s="98" t="s">
        <v>239</v>
      </c>
      <c r="B363" s="99">
        <f ca="1">Data!M98</f>
        <v>0.95</v>
      </c>
      <c r="D363" s="100" t="s">
        <v>211</v>
      </c>
      <c r="E363" s="100"/>
      <c r="F363" s="100"/>
      <c r="G363" s="100"/>
      <c r="H363" s="100"/>
      <c r="I363" s="100"/>
    </row>
    <row r="364" spans="1:15" x14ac:dyDescent="0.2">
      <c r="A364" s="98" t="s">
        <v>191</v>
      </c>
      <c r="B364" s="101">
        <f ca="1">Data!M79</f>
        <v>0.39</v>
      </c>
      <c r="D364" s="98" t="s">
        <v>216</v>
      </c>
      <c r="E364" s="98" t="s">
        <v>240</v>
      </c>
      <c r="F364" s="102">
        <v>0</v>
      </c>
      <c r="G364" s="102">
        <v>1</v>
      </c>
      <c r="H364" s="102">
        <v>2</v>
      </c>
      <c r="I364" s="103">
        <v>3</v>
      </c>
      <c r="J364" s="103">
        <v>4</v>
      </c>
      <c r="K364" s="103">
        <v>5</v>
      </c>
      <c r="L364" s="103">
        <v>6</v>
      </c>
      <c r="M364" s="103">
        <v>7</v>
      </c>
      <c r="N364" s="103">
        <v>8</v>
      </c>
    </row>
    <row r="365" spans="1:15" x14ac:dyDescent="0.2">
      <c r="A365" s="98" t="s">
        <v>194</v>
      </c>
      <c r="B365" s="101">
        <f ca="1">Data!M80</f>
        <v>0.06</v>
      </c>
      <c r="D365" s="98">
        <v>0</v>
      </c>
      <c r="E365" s="105">
        <v>0</v>
      </c>
      <c r="F365" s="106">
        <f t="shared" ref="F365:N365" ca="1" si="126">IF($D365&gt;=F364, POWER($B363, F364) * POWER((1-$B363), $D365-F364) * COMBIN($D365,F364) * $E365, 0)</f>
        <v>0</v>
      </c>
      <c r="G365" s="106">
        <f t="shared" si="126"/>
        <v>0</v>
      </c>
      <c r="H365" s="106">
        <f t="shared" si="126"/>
        <v>0</v>
      </c>
      <c r="I365" s="106">
        <f t="shared" si="126"/>
        <v>0</v>
      </c>
      <c r="J365" s="106">
        <f t="shared" si="126"/>
        <v>0</v>
      </c>
      <c r="K365" s="106">
        <f t="shared" si="126"/>
        <v>0</v>
      </c>
      <c r="L365" s="106">
        <f t="shared" si="126"/>
        <v>0</v>
      </c>
      <c r="M365" s="106">
        <f t="shared" si="126"/>
        <v>0</v>
      </c>
      <c r="N365" s="106">
        <f t="shared" si="126"/>
        <v>0</v>
      </c>
    </row>
    <row r="366" spans="1:15" x14ac:dyDescent="0.2">
      <c r="A366" s="98" t="s">
        <v>196</v>
      </c>
      <c r="B366" s="101">
        <f ca="1">Data!M81</f>
        <v>0.02</v>
      </c>
      <c r="D366" s="98">
        <v>1</v>
      </c>
      <c r="E366" s="165">
        <f ca="1">(1-B366)*(1-B365)*(1-B364)*(1-B368)*(1-B367)*(1-B384)</f>
        <v>0.56193199999999988</v>
      </c>
      <c r="F366" s="106">
        <f ca="1">IF($D366&gt;=F364, POWER($B363, F364) * POWER((1-$B363), $D366-F364) * COMBIN($D366,F364) * $E366, 0) * (1 - B387*B388*(1-E379))</f>
        <v>2.1423657500000016E-2</v>
      </c>
      <c r="G366" s="106">
        <f ca="1">IF($D366&gt;=G364, POWER($B363, G364) * POWER((1-$B363), $D366-G364) * COMBIN($D366,G364) * $E366, 0) + IF($D366&gt;=F364, POWER($B363, F364) * POWER((1-$B363), $D366-F364) * COMBIN($D366,F364) * $E366, 0) * B387 * B388 * (1-E379)</f>
        <v>0.54050834249999991</v>
      </c>
      <c r="H366" s="106">
        <f t="shared" ref="H366:N366" si="127">IF($D366&gt;=H364, POWER($B363, H364) * POWER((1-$B363), $D366-H364) * COMBIN($D366,H364) * $E366, 0)</f>
        <v>0</v>
      </c>
      <c r="I366" s="106">
        <f t="shared" si="127"/>
        <v>0</v>
      </c>
      <c r="J366" s="106">
        <f t="shared" si="127"/>
        <v>0</v>
      </c>
      <c r="K366" s="106">
        <f t="shared" si="127"/>
        <v>0</v>
      </c>
      <c r="L366" s="106">
        <f t="shared" si="127"/>
        <v>0</v>
      </c>
      <c r="M366" s="106">
        <f t="shared" si="127"/>
        <v>0</v>
      </c>
      <c r="N366" s="106">
        <f t="shared" si="127"/>
        <v>0</v>
      </c>
    </row>
    <row r="367" spans="1:15" x14ac:dyDescent="0.2">
      <c r="A367" s="98" t="s">
        <v>351</v>
      </c>
      <c r="B367" s="101">
        <v>0</v>
      </c>
      <c r="D367" s="98">
        <v>2</v>
      </c>
      <c r="E367" s="165">
        <f ca="1">(1-B366)*(1-B365)*(1-B367)*(B364) + (1-B366)*(1-B365)*(1-B364)*(1-B367)*(B368)*(B369) + (1-B366)*(1-B365)*(1-B364)*(1-B367)*(1-B368)*(B384)*(B385) + (1-B366)*(1-B365)*(1-B364)*(1-B368)*(B367)</f>
        <v>0.35926799999999998</v>
      </c>
      <c r="F367" s="106">
        <f t="shared" ref="F367:N367" ca="1" si="128">IF($D367&gt;=F364, POWER($B363, F364) * POWER((1-$B363), $D367-F364) * COMBIN($D367,F364) * $E367, 0)</f>
        <v>8.9817000000000152E-4</v>
      </c>
      <c r="G367" s="106">
        <f t="shared" ca="1" si="128"/>
        <v>3.4130460000000029E-2</v>
      </c>
      <c r="H367" s="106">
        <f t="shared" ca="1" si="128"/>
        <v>0.32423936999999997</v>
      </c>
      <c r="I367" s="106">
        <f t="shared" si="128"/>
        <v>0</v>
      </c>
      <c r="J367" s="106">
        <f t="shared" si="128"/>
        <v>0</v>
      </c>
      <c r="K367" s="106">
        <f t="shared" si="128"/>
        <v>0</v>
      </c>
      <c r="L367" s="106">
        <f t="shared" si="128"/>
        <v>0</v>
      </c>
      <c r="M367" s="106">
        <f t="shared" si="128"/>
        <v>0</v>
      </c>
      <c r="N367" s="106">
        <f t="shared" si="128"/>
        <v>0</v>
      </c>
    </row>
    <row r="368" spans="1:15" x14ac:dyDescent="0.2">
      <c r="A368" s="98" t="s">
        <v>352</v>
      </c>
      <c r="B368" s="101">
        <f>IF(ISBLANK(Gear!$X$3), 0, VLOOKUP(Gear!$X$3, Weapon, MATCH("OAx", StatHeader, 0), 0))</f>
        <v>0</v>
      </c>
      <c r="D368" s="98">
        <v>3</v>
      </c>
      <c r="E368" s="165">
        <f ca="1">(1-B366)*(1-B367)*(B365) + (1-B366)*(1-B365)*(1-B364)*(1-B367)*(B368)*(B370) + (1-B366)*(1-B365)*(1-B364)*(1-B367)*(1-B368)*(B384)*(B386) + (1-B366)*(1-B365)*(B367)*(B364) + (1-B366)*(1-B365)*(1-B364)*(B367)*(B368)*(B369) + (1-B366)*(1-B365)*(1-B364)*(B367)*(B384)*(B385)</f>
        <v>5.8799999999999998E-2</v>
      </c>
      <c r="F368" s="106">
        <f t="shared" ref="F368:N368" ca="1" si="129">IF($D368&gt;=F364, POWER($B363, F364) * POWER((1-$B363), $D368-F364) * COMBIN($D368,F364) * $E368, 0)</f>
        <v>7.3500000000000194E-6</v>
      </c>
      <c r="G368" s="106">
        <f t="shared" ca="1" si="129"/>
        <v>4.1895000000000067E-4</v>
      </c>
      <c r="H368" s="106">
        <f t="shared" ca="1" si="129"/>
        <v>7.9600500000000084E-3</v>
      </c>
      <c r="I368" s="106">
        <f t="shared" ca="1" si="129"/>
        <v>5.041364999999999E-2</v>
      </c>
      <c r="J368" s="106">
        <f t="shared" si="129"/>
        <v>0</v>
      </c>
      <c r="K368" s="106">
        <f t="shared" si="129"/>
        <v>0</v>
      </c>
      <c r="L368" s="106">
        <f t="shared" si="129"/>
        <v>0</v>
      </c>
      <c r="M368" s="106">
        <f t="shared" si="129"/>
        <v>0</v>
      </c>
      <c r="N368" s="106">
        <f t="shared" si="129"/>
        <v>0</v>
      </c>
    </row>
    <row r="369" spans="1:15" x14ac:dyDescent="0.2">
      <c r="A369" s="98" t="s">
        <v>353</v>
      </c>
      <c r="B369" s="101">
        <f>IF(ISBLANK(Gear!$X$3), 0, VLOOKUP(Gear!$X$3, Weapon, MATCH(A369, StatHeader, 0), 0))</f>
        <v>0</v>
      </c>
      <c r="D369" s="98">
        <v>4</v>
      </c>
      <c r="E369" s="165">
        <f ca="1">(B366)*(1-B367) + (1-B366)*(B367)*(B365) + (1-B366)*(1-B365)*(1-B364)*(1-B367)*(B368)*(B371) + (1-B366)*(1-B365)*(1-B364)*(B367)*(B384)*(B386) + (1-B366)*(1-B365)*(1-B364)*(B367)*(B368)*(B370)</f>
        <v>0.02</v>
      </c>
      <c r="F369" s="106">
        <f t="shared" ref="F369:N369" ca="1" si="130">IF($D369&gt;=F364, POWER($B363, F364) * POWER((1-$B363), $D369-F364) * COMBIN($D369,F364) * $E369, 0)</f>
        <v>1.2500000000000044E-7</v>
      </c>
      <c r="G369" s="106">
        <f t="shared" ca="1" si="130"/>
        <v>9.5000000000000259E-6</v>
      </c>
      <c r="H369" s="106">
        <f t="shared" ca="1" si="130"/>
        <v>2.7075000000000048E-4</v>
      </c>
      <c r="I369" s="106">
        <f t="shared" ca="1" si="130"/>
        <v>3.4295000000000024E-3</v>
      </c>
      <c r="J369" s="106">
        <f t="shared" ca="1" si="130"/>
        <v>1.6290124999999999E-2</v>
      </c>
      <c r="K369" s="106">
        <f t="shared" si="130"/>
        <v>0</v>
      </c>
      <c r="L369" s="106">
        <f t="shared" si="130"/>
        <v>0</v>
      </c>
      <c r="M369" s="106">
        <f t="shared" si="130"/>
        <v>0</v>
      </c>
      <c r="N369" s="106">
        <f t="shared" si="130"/>
        <v>0</v>
      </c>
    </row>
    <row r="370" spans="1:15" x14ac:dyDescent="0.2">
      <c r="A370" s="98" t="s">
        <v>354</v>
      </c>
      <c r="B370" s="101">
        <f>IF(ISBLANK(Gear!$X$3), 0, VLOOKUP(Gear!$X$3, Weapon, MATCH(A370, StatHeader, 0), 0))</f>
        <v>0</v>
      </c>
      <c r="D370" s="98">
        <v>5</v>
      </c>
      <c r="E370" s="166">
        <f ca="1">(1-B366)*(1-B365)*(1-B364)*(1-B367)*(B368)*(B372) + (1-B366)*(1-B365)*(1-B364)*(B367)*(B368)*(B371) + (B366)*(B367)</f>
        <v>0</v>
      </c>
      <c r="F370" s="106">
        <f t="shared" ref="F370:N370" ca="1" si="131">IF($D370&gt;=F364, POWER($B363, F364) * POWER((1-$B363), $D370-F364) * COMBIN($D370,F364) * $E370, 0)</f>
        <v>0</v>
      </c>
      <c r="G370" s="106">
        <f t="shared" ca="1" si="131"/>
        <v>0</v>
      </c>
      <c r="H370" s="106">
        <f t="shared" ca="1" si="131"/>
        <v>0</v>
      </c>
      <c r="I370" s="106">
        <f t="shared" ca="1" si="131"/>
        <v>0</v>
      </c>
      <c r="J370" s="106">
        <f t="shared" ca="1" si="131"/>
        <v>0</v>
      </c>
      <c r="K370" s="106">
        <f t="shared" ca="1" si="131"/>
        <v>0</v>
      </c>
      <c r="L370" s="106">
        <f t="shared" si="131"/>
        <v>0</v>
      </c>
      <c r="M370" s="106">
        <f t="shared" si="131"/>
        <v>0</v>
      </c>
      <c r="N370" s="106">
        <f t="shared" si="131"/>
        <v>0</v>
      </c>
    </row>
    <row r="371" spans="1:15" x14ac:dyDescent="0.2">
      <c r="A371" s="98" t="s">
        <v>355</v>
      </c>
      <c r="B371" s="101">
        <f>IF(ISBLANK(Gear!$X$3), 0, VLOOKUP(Gear!$X$3, Weapon, MATCH(A371, StatHeader, 0), 0))</f>
        <v>0</v>
      </c>
      <c r="D371" s="100">
        <v>6</v>
      </c>
      <c r="E371" s="166">
        <f ca="1">(1-B366)*(1-B365)*(1-B364)*(1-B367)*(B368)*(B373) + (1-B366)*(1-B365)*(1-B364)*(B367)*(B368)*(B372)</f>
        <v>0</v>
      </c>
      <c r="F371" s="106">
        <f t="shared" ref="F371:N371" ca="1" si="132">IF($D371&gt;=F364, POWER($B363, F364) * POWER((1-$B363), $D371-F364) * COMBIN($D371,F364) * $E371, 0)</f>
        <v>0</v>
      </c>
      <c r="G371" s="106">
        <f t="shared" ca="1" si="132"/>
        <v>0</v>
      </c>
      <c r="H371" s="106">
        <f t="shared" ca="1" si="132"/>
        <v>0</v>
      </c>
      <c r="I371" s="106">
        <f t="shared" ca="1" si="132"/>
        <v>0</v>
      </c>
      <c r="J371" s="106">
        <f t="shared" ca="1" si="132"/>
        <v>0</v>
      </c>
      <c r="K371" s="106">
        <f t="shared" ca="1" si="132"/>
        <v>0</v>
      </c>
      <c r="L371" s="106">
        <f t="shared" ca="1" si="132"/>
        <v>0</v>
      </c>
      <c r="M371" s="106">
        <f t="shared" si="132"/>
        <v>0</v>
      </c>
      <c r="N371" s="106">
        <f t="shared" si="132"/>
        <v>0</v>
      </c>
    </row>
    <row r="372" spans="1:15" x14ac:dyDescent="0.2">
      <c r="A372" s="98" t="s">
        <v>356</v>
      </c>
      <c r="B372" s="101">
        <f>IF(ISBLANK(Gear!$X$3), 0, VLOOKUP(Gear!$X$3, Weapon, MATCH(A372, StatHeader, 0), 0))</f>
        <v>0</v>
      </c>
      <c r="D372" s="110">
        <v>7</v>
      </c>
      <c r="E372" s="165">
        <f ca="1">(1-B366)*(1-B365)*(1-B364)*(1-B367)*(B368)*(B374) + (1-B366)*(1-B365)*(1-B364)*(B367)*(B368)*(B373)</f>
        <v>0</v>
      </c>
      <c r="F372" s="106">
        <f t="shared" ref="F372:N372" ca="1" si="133">IF($D372&gt;=F364, POWER($B363, F364) * POWER((1-$B363), $D372-F364) * COMBIN($D372,F364) * $E372, 0)</f>
        <v>0</v>
      </c>
      <c r="G372" s="106">
        <f t="shared" ca="1" si="133"/>
        <v>0</v>
      </c>
      <c r="H372" s="106">
        <f t="shared" ca="1" si="133"/>
        <v>0</v>
      </c>
      <c r="I372" s="106">
        <f t="shared" ca="1" si="133"/>
        <v>0</v>
      </c>
      <c r="J372" s="106">
        <f t="shared" ca="1" si="133"/>
        <v>0</v>
      </c>
      <c r="K372" s="106">
        <f t="shared" ca="1" si="133"/>
        <v>0</v>
      </c>
      <c r="L372" s="106">
        <f t="shared" ca="1" si="133"/>
        <v>0</v>
      </c>
      <c r="M372" s="106">
        <f t="shared" ca="1" si="133"/>
        <v>0</v>
      </c>
      <c r="N372" s="106">
        <f t="shared" si="133"/>
        <v>0</v>
      </c>
      <c r="O372" s="100"/>
    </row>
    <row r="373" spans="1:15" x14ac:dyDescent="0.2">
      <c r="A373" s="98" t="s">
        <v>357</v>
      </c>
      <c r="B373" s="101">
        <f>IF(ISBLANK(Gear!$X$3), 0, VLOOKUP(Gear!$X$3, Weapon, MATCH(A373, StatHeader, 0), 0))</f>
        <v>0</v>
      </c>
      <c r="D373" s="110">
        <v>8</v>
      </c>
      <c r="E373" s="165">
        <f ca="1">(1-B366)*(1-B365)*(1-B364)*(B368)*(B375) + (1-B366)*(1-B365)*(1-B364)*(B367)*(B368)*(B374)</f>
        <v>0</v>
      </c>
      <c r="F373" s="111">
        <f t="shared" ref="F373:N373" ca="1" si="134">IF($D373&gt;=F364, POWER($B363, F364) * POWER((1-$B363), $D373-F364) * COMBIN($D373,F364) * $E373, 0)</f>
        <v>0</v>
      </c>
      <c r="G373" s="112">
        <f t="shared" ca="1" si="134"/>
        <v>0</v>
      </c>
      <c r="H373" s="112">
        <f t="shared" ca="1" si="134"/>
        <v>0</v>
      </c>
      <c r="I373" s="112">
        <f t="shared" ca="1" si="134"/>
        <v>0</v>
      </c>
      <c r="J373" s="112">
        <f t="shared" ca="1" si="134"/>
        <v>0</v>
      </c>
      <c r="K373" s="112">
        <f t="shared" ca="1" si="134"/>
        <v>0</v>
      </c>
      <c r="L373" s="112">
        <f t="shared" ca="1" si="134"/>
        <v>0</v>
      </c>
      <c r="M373" s="112">
        <f t="shared" ca="1" si="134"/>
        <v>0</v>
      </c>
      <c r="N373" s="112">
        <f t="shared" ca="1" si="134"/>
        <v>0</v>
      </c>
      <c r="O373" s="100"/>
    </row>
    <row r="374" spans="1:15" x14ac:dyDescent="0.2">
      <c r="A374" s="98" t="s">
        <v>358</v>
      </c>
      <c r="B374" s="101">
        <f>IF(ISBLANK(Gear!$X$3), 0, VLOOKUP(Gear!$X$3, Weapon, MATCH(A374, StatHeader, 0), 0))</f>
        <v>0</v>
      </c>
      <c r="E374" s="101">
        <f ca="1">SUM(E365:E373)</f>
        <v>0.99999999999999978</v>
      </c>
      <c r="O374" s="106"/>
    </row>
    <row r="375" spans="1:15" x14ac:dyDescent="0.2">
      <c r="A375" s="98" t="s">
        <v>359</v>
      </c>
      <c r="B375" s="101">
        <f>IF(ISBLANK(Gear!$X$3), 0, VLOOKUP(Gear!$X$3, Weapon, MATCH(A375, StatHeader, 0), 0))</f>
        <v>0</v>
      </c>
      <c r="E375" s="98" t="s">
        <v>241</v>
      </c>
      <c r="F375" s="114">
        <f t="shared" ref="F375:N375" ca="1" si="135">SUM(F365:F373)</f>
        <v>2.2329302500000016E-2</v>
      </c>
      <c r="G375" s="114">
        <f t="shared" ca="1" si="135"/>
        <v>0.57506725250000001</v>
      </c>
      <c r="H375" s="114">
        <f t="shared" ca="1" si="135"/>
        <v>0.33247016999999995</v>
      </c>
      <c r="I375" s="114">
        <f t="shared" ca="1" si="135"/>
        <v>5.3843149999999992E-2</v>
      </c>
      <c r="J375" s="114">
        <f t="shared" ca="1" si="135"/>
        <v>1.6290124999999999E-2</v>
      </c>
      <c r="K375" s="114">
        <f t="shared" ca="1" si="135"/>
        <v>0</v>
      </c>
      <c r="L375" s="114">
        <f t="shared" ca="1" si="135"/>
        <v>0</v>
      </c>
      <c r="M375" s="114">
        <f t="shared" ca="1" si="135"/>
        <v>0</v>
      </c>
      <c r="N375" s="114">
        <f t="shared" ca="1" si="135"/>
        <v>0</v>
      </c>
      <c r="O375" s="106">
        <f ca="1">SUM(F375:N375)</f>
        <v>0.99999999999999989</v>
      </c>
    </row>
    <row r="376" spans="1:15" x14ac:dyDescent="0.2">
      <c r="A376" s="98" t="s">
        <v>360</v>
      </c>
      <c r="B376" s="101">
        <f>IF(ISBLANK(Gear!$X$3), 0, VLOOKUP(Gear!$X$3, Weapon, MATCH("OAx", StatHeader, 0), 0))</f>
        <v>0</v>
      </c>
      <c r="E376" s="106" t="s">
        <v>243</v>
      </c>
      <c r="F376" s="115">
        <f ca="1">F364*F375+G364*G375+H364*H375+I364*I375+J375*J364+K375*K364+L375*L364+M375*M364+N375*N364</f>
        <v>1.4666975425</v>
      </c>
      <c r="G376" s="106"/>
      <c r="H376" s="106"/>
      <c r="I376" s="106"/>
      <c r="O376" s="100"/>
    </row>
    <row r="377" spans="1:15" x14ac:dyDescent="0.2">
      <c r="A377" s="98" t="s">
        <v>353</v>
      </c>
      <c r="B377" s="101">
        <f>IF(ISBLANK(Gear!$X$3), 0, VLOOKUP(Gear!$X$3, Weapon, MATCH(A377, StatHeader, 0), 0))</f>
        <v>0</v>
      </c>
    </row>
    <row r="378" spans="1:15" x14ac:dyDescent="0.2">
      <c r="A378" s="98" t="s">
        <v>354</v>
      </c>
      <c r="B378" s="101">
        <f>IF(ISBLANK(Gear!$X$3), 0, VLOOKUP(Gear!$X$3, Weapon, MATCH(A378, StatHeader, 0), 0))</f>
        <v>0</v>
      </c>
    </row>
    <row r="379" spans="1:15" x14ac:dyDescent="0.2">
      <c r="A379" s="98" t="s">
        <v>355</v>
      </c>
      <c r="B379" s="101">
        <f>IF(ISBLANK(Gear!$X$3), 0, VLOOKUP(Gear!$X$3, Weapon, MATCH(A379, StatHeader, 0), 0))</f>
        <v>0</v>
      </c>
      <c r="D379" s="100" t="s">
        <v>215</v>
      </c>
      <c r="E379" s="100">
        <v>0</v>
      </c>
      <c r="F379" s="100"/>
      <c r="G379" s="100"/>
      <c r="H379" s="100"/>
      <c r="I379" s="100"/>
      <c r="J379" s="100"/>
    </row>
    <row r="380" spans="1:15" x14ac:dyDescent="0.2">
      <c r="A380" s="98" t="s">
        <v>356</v>
      </c>
      <c r="B380" s="101">
        <f>IF(ISBLANK(Gear!$X$3), 0, VLOOKUP(Gear!$X$3, Weapon, MATCH(A380, StatHeader, 0), 0))</f>
        <v>0</v>
      </c>
      <c r="D380" s="98" t="s">
        <v>216</v>
      </c>
      <c r="E380" s="98" t="s">
        <v>240</v>
      </c>
      <c r="F380" s="102">
        <v>0</v>
      </c>
      <c r="G380" s="102">
        <v>1</v>
      </c>
      <c r="H380" s="102">
        <v>2</v>
      </c>
      <c r="I380" s="103">
        <v>3</v>
      </c>
      <c r="J380" s="103">
        <v>4</v>
      </c>
      <c r="K380" s="103">
        <v>5</v>
      </c>
      <c r="L380" s="103">
        <v>6</v>
      </c>
      <c r="M380" s="103">
        <v>7</v>
      </c>
      <c r="N380" s="103">
        <v>8</v>
      </c>
      <c r="O380" s="100"/>
    </row>
    <row r="381" spans="1:15" x14ac:dyDescent="0.2">
      <c r="A381" s="98" t="s">
        <v>357</v>
      </c>
      <c r="B381" s="101">
        <f>IF(ISBLANK(Gear!$X$3), 0, VLOOKUP(Gear!$X$3, Weapon, MATCH(A381, StatHeader, 0), 0))</f>
        <v>0</v>
      </c>
      <c r="D381" s="98">
        <v>0</v>
      </c>
      <c r="E381" s="105">
        <f>IF(E379=0, 100%, 0)</f>
        <v>1</v>
      </c>
      <c r="F381" s="106">
        <f t="shared" ref="F381:N381" ca="1" si="136">IF($D381&gt;=F380, POWER($B363, F380) * POWER((1-$B363), $D381-F380) * COMBIN($D381,F380) * $E381, 0)</f>
        <v>1</v>
      </c>
      <c r="G381" s="106">
        <f t="shared" si="136"/>
        <v>0</v>
      </c>
      <c r="H381" s="106">
        <f t="shared" si="136"/>
        <v>0</v>
      </c>
      <c r="I381" s="106">
        <f t="shared" si="136"/>
        <v>0</v>
      </c>
      <c r="J381" s="106">
        <f t="shared" si="136"/>
        <v>0</v>
      </c>
      <c r="K381" s="106">
        <f t="shared" si="136"/>
        <v>0</v>
      </c>
      <c r="L381" s="106">
        <f t="shared" si="136"/>
        <v>0</v>
      </c>
      <c r="M381" s="106">
        <f t="shared" si="136"/>
        <v>0</v>
      </c>
      <c r="N381" s="106">
        <f t="shared" si="136"/>
        <v>0</v>
      </c>
      <c r="O381" s="100"/>
    </row>
    <row r="382" spans="1:15" x14ac:dyDescent="0.2">
      <c r="A382" s="98" t="s">
        <v>358</v>
      </c>
      <c r="B382" s="101">
        <f>IF(ISBLANK(Gear!$X$3), 0, VLOOKUP(Gear!$X$3, Weapon, MATCH(A382, StatHeader, 0), 0))</f>
        <v>0</v>
      </c>
      <c r="D382" s="98">
        <v>1</v>
      </c>
      <c r="E382" s="108">
        <f>IF(E379=1, (1-B366)*(1-B365)*(1-B364)*(1-B376), 0)</f>
        <v>0</v>
      </c>
      <c r="F382" s="106">
        <f t="shared" ref="F382:N382" ca="1" si="137">IF($D382&gt;=F380, POWER($B363, F380) * POWER((1-$B363), $D382-F380) * COMBIN($D382,F380) * $E382, 0)</f>
        <v>0</v>
      </c>
      <c r="G382" s="106">
        <f t="shared" ca="1" si="137"/>
        <v>0</v>
      </c>
      <c r="H382" s="106">
        <f t="shared" si="137"/>
        <v>0</v>
      </c>
      <c r="I382" s="106">
        <f t="shared" si="137"/>
        <v>0</v>
      </c>
      <c r="J382" s="106">
        <f t="shared" si="137"/>
        <v>0</v>
      </c>
      <c r="K382" s="106">
        <f t="shared" si="137"/>
        <v>0</v>
      </c>
      <c r="L382" s="106">
        <f t="shared" si="137"/>
        <v>0</v>
      </c>
      <c r="M382" s="106">
        <f t="shared" si="137"/>
        <v>0</v>
      </c>
      <c r="N382" s="106">
        <f t="shared" si="137"/>
        <v>0</v>
      </c>
      <c r="O382" s="100"/>
    </row>
    <row r="383" spans="1:15" x14ac:dyDescent="0.2">
      <c r="A383" s="98" t="s">
        <v>359</v>
      </c>
      <c r="B383" s="101">
        <f>IF(ISBLANK(Gear!$X$3), 0, VLOOKUP(Gear!$X$3, Weapon, MATCH(A383, StatHeader, 0), 0))</f>
        <v>0</v>
      </c>
      <c r="D383" s="98">
        <v>2</v>
      </c>
      <c r="E383" s="108">
        <f>IF(E379=1, (1-B366)*(1-B365)*(1-B364)*(B376)*(B377) + (1-B366)*(1-B365)*B364, 0)</f>
        <v>0</v>
      </c>
      <c r="F383" s="106">
        <f t="shared" ref="F383:N383" ca="1" si="138">IF($D383&gt;=F380, POWER($B363, F380) * POWER((1-$B363), $D383-F380) * COMBIN($D383,F380) * $E383, 0)</f>
        <v>0</v>
      </c>
      <c r="G383" s="106">
        <f t="shared" ca="1" si="138"/>
        <v>0</v>
      </c>
      <c r="H383" s="106">
        <f t="shared" ca="1" si="138"/>
        <v>0</v>
      </c>
      <c r="I383" s="106">
        <f t="shared" si="138"/>
        <v>0</v>
      </c>
      <c r="J383" s="106">
        <f t="shared" si="138"/>
        <v>0</v>
      </c>
      <c r="K383" s="106">
        <f t="shared" si="138"/>
        <v>0</v>
      </c>
      <c r="L383" s="106">
        <f t="shared" si="138"/>
        <v>0</v>
      </c>
      <c r="M383" s="106">
        <f t="shared" si="138"/>
        <v>0</v>
      </c>
      <c r="N383" s="106">
        <f t="shared" si="138"/>
        <v>0</v>
      </c>
      <c r="O383" s="100"/>
    </row>
    <row r="384" spans="1:15" x14ac:dyDescent="0.2">
      <c r="A384" t="s">
        <v>437</v>
      </c>
      <c r="B384" s="8">
        <f>IF(LEFT(Setup!$C$36,4)="Lv.3", IF(ISBLANK(Gear!$X$3), 0, VLOOKUP(Gear!$X$3, Weapon, MATCH(A384, StatHeader, 0), 0)), 0)</f>
        <v>0</v>
      </c>
      <c r="D384" s="98">
        <v>3</v>
      </c>
      <c r="E384" s="108">
        <f>IF(E379=1, (1-B366)*(1-B365)*(1-B364)*(B376)*(B378) + (1-B366)*(B365), 0)</f>
        <v>0</v>
      </c>
      <c r="F384" s="106">
        <f t="shared" ref="F384:N384" ca="1" si="139">IF($D384&gt;=F380, POWER($B363, F380) * POWER((1-$B363), $D384-F380) * COMBIN($D384,F380) * $E384, 0)</f>
        <v>0</v>
      </c>
      <c r="G384" s="106">
        <f t="shared" ca="1" si="139"/>
        <v>0</v>
      </c>
      <c r="H384" s="106">
        <f t="shared" ca="1" si="139"/>
        <v>0</v>
      </c>
      <c r="I384" s="106">
        <f t="shared" ca="1" si="139"/>
        <v>0</v>
      </c>
      <c r="J384" s="106">
        <f t="shared" si="139"/>
        <v>0</v>
      </c>
      <c r="K384" s="106">
        <f t="shared" si="139"/>
        <v>0</v>
      </c>
      <c r="L384" s="106">
        <f t="shared" si="139"/>
        <v>0</v>
      </c>
      <c r="M384" s="106">
        <f t="shared" si="139"/>
        <v>0</v>
      </c>
      <c r="N384" s="106">
        <f t="shared" si="139"/>
        <v>0</v>
      </c>
      <c r="O384" s="100"/>
    </row>
    <row r="385" spans="1:15" x14ac:dyDescent="0.2">
      <c r="A385" t="s">
        <v>438</v>
      </c>
      <c r="B385" s="8">
        <f>IF(LEFT(Setup!$C$36,4)="Lv.3", IF(ISBLANK(Gear!$X$3), 0, VLOOKUP(Gear!$X$3, Weapon, MATCH(A385, StatHeader, 0), 0)), 0)</f>
        <v>0</v>
      </c>
      <c r="D385" s="98">
        <v>4</v>
      </c>
      <c r="E385" s="108">
        <f>IF(E379=1, (1-B366)*(1-B365)*(1-B364)*(B376)*(B379) + (B366), 0)</f>
        <v>0</v>
      </c>
      <c r="F385" s="106">
        <f t="shared" ref="F385:N385" ca="1" si="140">IF($D385&gt;=F380, POWER($B363, F380) * POWER((1-$B363), $D385-F380) * COMBIN($D385,F380) * $E385, 0)</f>
        <v>0</v>
      </c>
      <c r="G385" s="106">
        <f t="shared" ca="1" si="140"/>
        <v>0</v>
      </c>
      <c r="H385" s="106">
        <f t="shared" ca="1" si="140"/>
        <v>0</v>
      </c>
      <c r="I385" s="106">
        <f t="shared" ca="1" si="140"/>
        <v>0</v>
      </c>
      <c r="J385" s="106">
        <f t="shared" ca="1" si="140"/>
        <v>0</v>
      </c>
      <c r="K385" s="106">
        <f t="shared" si="140"/>
        <v>0</v>
      </c>
      <c r="L385" s="106">
        <f t="shared" si="140"/>
        <v>0</v>
      </c>
      <c r="M385" s="106">
        <f t="shared" si="140"/>
        <v>0</v>
      </c>
      <c r="N385" s="106">
        <f t="shared" si="140"/>
        <v>0</v>
      </c>
      <c r="O385" s="100"/>
    </row>
    <row r="386" spans="1:15" x14ac:dyDescent="0.2">
      <c r="A386" t="s">
        <v>439</v>
      </c>
      <c r="B386" s="8">
        <f>IF(LEFT(Setup!$C$36,4)="Lv.3", IF(ISBLANK(Gear!$X$3), 0, VLOOKUP(Gear!$X$3, Weapon, MATCH(A386, StatHeader, 0), 0)), 0)</f>
        <v>0</v>
      </c>
      <c r="D386" s="98">
        <v>5</v>
      </c>
      <c r="E386" s="109">
        <f>IF(E379=1, (1-B366)*(1-B365)*(1-B364)*(B376)*(B380), 0)</f>
        <v>0</v>
      </c>
      <c r="F386" s="106">
        <f t="shared" ref="F386:N386" ca="1" si="141">IF($D386&gt;=F380, POWER($B363, F380) * POWER((1-$B363), $D386-F380) * COMBIN($D386,F380) * $E386, 0)</f>
        <v>0</v>
      </c>
      <c r="G386" s="106">
        <f t="shared" ca="1" si="141"/>
        <v>0</v>
      </c>
      <c r="H386" s="106">
        <f t="shared" ca="1" si="141"/>
        <v>0</v>
      </c>
      <c r="I386" s="106">
        <f t="shared" ca="1" si="141"/>
        <v>0</v>
      </c>
      <c r="J386" s="106">
        <f t="shared" ca="1" si="141"/>
        <v>0</v>
      </c>
      <c r="K386" s="106">
        <f t="shared" ca="1" si="141"/>
        <v>0</v>
      </c>
      <c r="L386" s="106">
        <f t="shared" si="141"/>
        <v>0</v>
      </c>
      <c r="M386" s="106">
        <f t="shared" si="141"/>
        <v>0</v>
      </c>
      <c r="N386" s="106">
        <f t="shared" si="141"/>
        <v>0</v>
      </c>
      <c r="O386" s="100"/>
    </row>
    <row r="387" spans="1:15" x14ac:dyDescent="0.2">
      <c r="A387" s="121" t="s">
        <v>365</v>
      </c>
      <c r="B387" s="101">
        <f ca="1">Data!M83</f>
        <v>0.25</v>
      </c>
      <c r="D387" s="117">
        <v>6</v>
      </c>
      <c r="E387" s="109">
        <f>IF(E379=1, (1-B366)*(1-B365)*(1-B364)*(B376)*(B381), 0)</f>
        <v>0</v>
      </c>
      <c r="F387" s="106">
        <f t="shared" ref="F387:N387" ca="1" si="142">IF($D387&gt;=F380, POWER($B363, F380) * POWER((1-$B363), $D387-F380) * COMBIN($D387,F380) * $E387, 0)</f>
        <v>0</v>
      </c>
      <c r="G387" s="106">
        <f t="shared" ca="1" si="142"/>
        <v>0</v>
      </c>
      <c r="H387" s="106">
        <f t="shared" ca="1" si="142"/>
        <v>0</v>
      </c>
      <c r="I387" s="106">
        <f t="shared" ca="1" si="142"/>
        <v>0</v>
      </c>
      <c r="J387" s="106">
        <f t="shared" ca="1" si="142"/>
        <v>0</v>
      </c>
      <c r="K387" s="106">
        <f t="shared" ca="1" si="142"/>
        <v>0</v>
      </c>
      <c r="L387" s="106">
        <f t="shared" ca="1" si="142"/>
        <v>0</v>
      </c>
      <c r="M387" s="106">
        <f t="shared" si="142"/>
        <v>0</v>
      </c>
      <c r="N387" s="106">
        <f t="shared" si="142"/>
        <v>0</v>
      </c>
      <c r="O387" s="100"/>
    </row>
    <row r="388" spans="1:15" x14ac:dyDescent="0.2">
      <c r="A388" s="121" t="s">
        <v>163</v>
      </c>
      <c r="B388" s="96">
        <f ca="1">Data!M99</f>
        <v>0.95</v>
      </c>
      <c r="D388" s="98">
        <v>7</v>
      </c>
      <c r="E388" s="109">
        <f>IF(E379=1, (1-B366)*(1-B365)*(1-B364)*(B376)*(B382), 0)</f>
        <v>0</v>
      </c>
      <c r="F388" s="106">
        <f t="shared" ref="F388:N388" ca="1" si="143">IF($D388&gt;=F380, POWER($B363, F380) * POWER((1-$B363), $D388-F380) * COMBIN($D388,F380) * $E388, 0)</f>
        <v>0</v>
      </c>
      <c r="G388" s="106">
        <f t="shared" ca="1" si="143"/>
        <v>0</v>
      </c>
      <c r="H388" s="106">
        <f t="shared" ca="1" si="143"/>
        <v>0</v>
      </c>
      <c r="I388" s="106">
        <f t="shared" ca="1" si="143"/>
        <v>0</v>
      </c>
      <c r="J388" s="106">
        <f t="shared" ca="1" si="143"/>
        <v>0</v>
      </c>
      <c r="K388" s="106">
        <f t="shared" ca="1" si="143"/>
        <v>0</v>
      </c>
      <c r="L388" s="106">
        <f t="shared" ca="1" si="143"/>
        <v>0</v>
      </c>
      <c r="M388" s="106">
        <f t="shared" ca="1" si="143"/>
        <v>0</v>
      </c>
      <c r="N388" s="106">
        <f t="shared" si="143"/>
        <v>0</v>
      </c>
      <c r="O388" s="100"/>
    </row>
    <row r="389" spans="1:15" x14ac:dyDescent="0.2">
      <c r="D389" s="98">
        <v>8</v>
      </c>
      <c r="E389" s="109">
        <f>IF(E379=1, (1-B366)*(1-B365)*(1-B364)*(B376)*(B383), 0)</f>
        <v>0</v>
      </c>
      <c r="F389" s="111">
        <f t="shared" ref="F389:N389" ca="1" si="144">IF($D389&gt;=F380, POWER($B363, F380) * POWER((1-$B363), $D389-F380) * COMBIN($D389,F380) * $E389, 0)</f>
        <v>0</v>
      </c>
      <c r="G389" s="112">
        <f t="shared" ca="1" si="144"/>
        <v>0</v>
      </c>
      <c r="H389" s="112">
        <f t="shared" ca="1" si="144"/>
        <v>0</v>
      </c>
      <c r="I389" s="112">
        <f t="shared" ca="1" si="144"/>
        <v>0</v>
      </c>
      <c r="J389" s="112">
        <f t="shared" ca="1" si="144"/>
        <v>0</v>
      </c>
      <c r="K389" s="112">
        <f t="shared" ca="1" si="144"/>
        <v>0</v>
      </c>
      <c r="L389" s="112">
        <f t="shared" ca="1" si="144"/>
        <v>0</v>
      </c>
      <c r="M389" s="112">
        <f t="shared" ca="1" si="144"/>
        <v>0</v>
      </c>
      <c r="N389" s="112">
        <f t="shared" ca="1" si="144"/>
        <v>0</v>
      </c>
      <c r="O389" s="100"/>
    </row>
    <row r="390" spans="1:15" x14ac:dyDescent="0.2">
      <c r="E390" s="101">
        <f>SUM(E381:E389)</f>
        <v>1</v>
      </c>
      <c r="O390" s="100"/>
    </row>
    <row r="391" spans="1:15" x14ac:dyDescent="0.2">
      <c r="E391" s="98" t="s">
        <v>241</v>
      </c>
      <c r="F391" s="114">
        <f t="shared" ref="F391:N391" ca="1" si="145">SUM(F381:F389)</f>
        <v>1</v>
      </c>
      <c r="G391" s="114">
        <f t="shared" ca="1" si="145"/>
        <v>0</v>
      </c>
      <c r="H391" s="114">
        <f t="shared" ca="1" si="145"/>
        <v>0</v>
      </c>
      <c r="I391" s="114">
        <f t="shared" ca="1" si="145"/>
        <v>0</v>
      </c>
      <c r="J391" s="114">
        <f t="shared" ca="1" si="145"/>
        <v>0</v>
      </c>
      <c r="K391" s="114">
        <f t="shared" ca="1" si="145"/>
        <v>0</v>
      </c>
      <c r="L391" s="114">
        <f t="shared" ca="1" si="145"/>
        <v>0</v>
      </c>
      <c r="M391" s="114">
        <f t="shared" ca="1" si="145"/>
        <v>0</v>
      </c>
      <c r="N391" s="114">
        <f t="shared" ca="1" si="145"/>
        <v>0</v>
      </c>
      <c r="O391" s="106">
        <f ca="1">SUM(F391:N391)</f>
        <v>1</v>
      </c>
    </row>
    <row r="392" spans="1:15" x14ac:dyDescent="0.2">
      <c r="E392" s="98" t="s">
        <v>243</v>
      </c>
      <c r="F392" s="115">
        <f ca="1">F380*F391+G380*G391+H380*H391+I380*I391+J391*J380+K391*K380+L391*L380+M391*M380+N391*N380</f>
        <v>0</v>
      </c>
      <c r="I392" s="100"/>
      <c r="J392" s="100"/>
      <c r="K392" s="106"/>
      <c r="O392" s="106"/>
    </row>
    <row r="393" spans="1:15" x14ac:dyDescent="0.2">
      <c r="K393" s="106"/>
      <c r="O393" s="100"/>
    </row>
    <row r="395" spans="1:15" x14ac:dyDescent="0.2">
      <c r="D395" s="100" t="s">
        <v>361</v>
      </c>
      <c r="E395" s="100"/>
      <c r="F395" s="106"/>
      <c r="G395" s="106"/>
      <c r="H395" s="106"/>
      <c r="I395" s="106"/>
      <c r="J395" s="106"/>
      <c r="K395" s="106"/>
      <c r="L395" s="106"/>
      <c r="M395" s="106"/>
      <c r="N395" s="106"/>
    </row>
    <row r="396" spans="1:15" x14ac:dyDescent="0.2">
      <c r="D396" s="100" t="s">
        <v>362</v>
      </c>
      <c r="E396" s="119">
        <v>0</v>
      </c>
      <c r="F396" s="100">
        <v>1</v>
      </c>
      <c r="G396" s="100">
        <v>2</v>
      </c>
      <c r="H396" s="110">
        <v>3</v>
      </c>
      <c r="I396" s="110">
        <v>4</v>
      </c>
      <c r="J396" s="110">
        <v>5</v>
      </c>
      <c r="K396" s="110">
        <v>6</v>
      </c>
      <c r="L396" s="110">
        <v>7</v>
      </c>
      <c r="M396" s="110">
        <v>8</v>
      </c>
      <c r="N396" s="98" t="s">
        <v>99</v>
      </c>
    </row>
    <row r="397" spans="1:15" x14ac:dyDescent="0.2">
      <c r="D397" s="100" t="s">
        <v>363</v>
      </c>
      <c r="E397" s="106">
        <f ca="1">F375*F391</f>
        <v>2.2329302500000016E-2</v>
      </c>
      <c r="F397" s="106">
        <f ca="1">F375*G391+G375*F391</f>
        <v>0.57506725250000001</v>
      </c>
      <c r="G397" s="106">
        <f ca="1">F375*H391+G375*G391+H375*F391</f>
        <v>0.33247016999999995</v>
      </c>
      <c r="H397" s="106">
        <f ca="1">F375*I391+G375*H391+H375*G391+I375*F391</f>
        <v>5.3843149999999992E-2</v>
      </c>
      <c r="I397" s="106">
        <f ca="1">F375*J391+G375*I391+H375*H391+I375*G391+J375*F391</f>
        <v>1.6290124999999999E-2</v>
      </c>
      <c r="J397" s="106">
        <f ca="1">F375*K391+G375*J391+H375*I391+I375*H391+J375*G391+K375*F391</f>
        <v>0</v>
      </c>
      <c r="K397" s="106">
        <f ca="1">F375*L391+G375*K391+H375*J391+I375*I391+J375*H391+K375*G391+L375*F391</f>
        <v>0</v>
      </c>
      <c r="L397" s="118">
        <f ca="1">F375*M391+G375*L391+H375*K391+I375*J391+J375*I391+K375*H391+L375*G391+M375*F391</f>
        <v>0</v>
      </c>
      <c r="M397" s="106">
        <f ca="1">F375*N391+G375*M391+H375*L391+I375*K391+J375*J391+K375*I391+L375*H391+M375*G391+N375*F391+G375*N391+H375*M391+I375*L391+J375*K391+K375*J391+L375*I391+M375*H391+N375*G391+H375*N391+I375*M391+J375*L391+K375*K391+L375*J391+M375*I391+N375*H391+I375*N391+J375*M391+K375*L391+L375*K391+M375*J391+N375*I391+J375*N391+K375*M391+L375*L391+M375*K391+N375*J391+K375*N391+L375*M391+M375*L391+N375*K391+L375*N391+M375*M391+N375*L391+M375*N391+N375*M391+N375*N391</f>
        <v>0</v>
      </c>
      <c r="N397" s="106">
        <f ca="1">SUM(E397:M397)</f>
        <v>0.99999999999999989</v>
      </c>
    </row>
    <row r="398" spans="1:15" x14ac:dyDescent="0.2">
      <c r="D398" s="110" t="s">
        <v>243</v>
      </c>
      <c r="E398" s="113">
        <f ca="1">E396*E397+F396*F397+G396*G397+H396*H397+I396*I397+J396*J397+K396*K397+L396*L397+M396*M397</f>
        <v>1.4666975425</v>
      </c>
    </row>
    <row r="399" spans="1:15" x14ac:dyDescent="0.2">
      <c r="D399" s="100"/>
      <c r="E399" s="106"/>
      <c r="F399" s="106"/>
      <c r="G399" s="106"/>
      <c r="H399" s="106"/>
      <c r="I399" s="106"/>
      <c r="J399" s="106"/>
      <c r="K399" s="106"/>
      <c r="L399" s="106"/>
      <c r="M399" s="106"/>
      <c r="N399" s="100"/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232</vt:i4>
      </vt:variant>
    </vt:vector>
  </HeadingPairs>
  <TitlesOfParts>
    <vt:vector size="246" baseType="lpstr">
      <vt:lpstr>Setup</vt:lpstr>
      <vt:lpstr>Gear</vt:lpstr>
      <vt:lpstr>Jump</vt:lpstr>
      <vt:lpstr>HJump</vt:lpstr>
      <vt:lpstr>Breath</vt:lpstr>
      <vt:lpstr>Data</vt:lpstr>
      <vt:lpstr>Breath Data</vt:lpstr>
      <vt:lpstr>Weaponskill</vt:lpstr>
      <vt:lpstr>Melee</vt:lpstr>
      <vt:lpstr>Augments</vt:lpstr>
      <vt:lpstr>Gear Lists</vt:lpstr>
      <vt:lpstr>Other Lists</vt:lpstr>
      <vt:lpstr>Stats</vt:lpstr>
      <vt:lpstr>notes</vt:lpstr>
      <vt:lpstr>AM2Table</vt:lpstr>
      <vt:lpstr>Ammo</vt:lpstr>
      <vt:lpstr>AmmoList</vt:lpstr>
      <vt:lpstr>AtmaHeader</vt:lpstr>
      <vt:lpstr>AtmaList</vt:lpstr>
      <vt:lpstr>Atmas</vt:lpstr>
      <vt:lpstr>AugBack</vt:lpstr>
      <vt:lpstr>AugBackList</vt:lpstr>
      <vt:lpstr>AugBody</vt:lpstr>
      <vt:lpstr>AugBodyList</vt:lpstr>
      <vt:lpstr>AugFeet</vt:lpstr>
      <vt:lpstr>AugFeetList</vt:lpstr>
      <vt:lpstr>AugHands</vt:lpstr>
      <vt:lpstr>AugHandsList</vt:lpstr>
      <vt:lpstr>AugHead</vt:lpstr>
      <vt:lpstr>AugHeadList</vt:lpstr>
      <vt:lpstr>AugLegs</vt:lpstr>
      <vt:lpstr>AugLegsList</vt:lpstr>
      <vt:lpstr>AugStatHeader</vt:lpstr>
      <vt:lpstr>AugWeapon</vt:lpstr>
      <vt:lpstr>AugWeaponList</vt:lpstr>
      <vt:lpstr>AvgHighHitsPerRound1</vt:lpstr>
      <vt:lpstr>AvgHighHitsPerRound2</vt:lpstr>
      <vt:lpstr>AvgHitsPerRound1</vt:lpstr>
      <vt:lpstr>AvgHitsPerRound2</vt:lpstr>
      <vt:lpstr>AvgJumpHitsPerRound1</vt:lpstr>
      <vt:lpstr>AvgJumpHitsPerRound2</vt:lpstr>
      <vt:lpstr>AvgRoundsSet1</vt:lpstr>
      <vt:lpstr>AvgRoundsSet2</vt:lpstr>
      <vt:lpstr>AvgSoulHitsPerRound1</vt:lpstr>
      <vt:lpstr>AvgSoulHitsPerRound2</vt:lpstr>
      <vt:lpstr>AvgSpiritHitsPerRound1</vt:lpstr>
      <vt:lpstr>AvgSpiritHitsPerRound2</vt:lpstr>
      <vt:lpstr>Back</vt:lpstr>
      <vt:lpstr>BackList</vt:lpstr>
      <vt:lpstr>BaseAugArmor</vt:lpstr>
      <vt:lpstr>BaseAugArmorList</vt:lpstr>
      <vt:lpstr>BaseAugBackList</vt:lpstr>
      <vt:lpstr>BaseAugBodyList</vt:lpstr>
      <vt:lpstr>BaseAugFeetList</vt:lpstr>
      <vt:lpstr>BaseAugHandsList</vt:lpstr>
      <vt:lpstr>BaseAugHeadList</vt:lpstr>
      <vt:lpstr>BaseAugLegsList</vt:lpstr>
      <vt:lpstr>BaseAugWeapon</vt:lpstr>
      <vt:lpstr>BaseAugWeaponList</vt:lpstr>
      <vt:lpstr>Body</vt:lpstr>
      <vt:lpstr>BodyList</vt:lpstr>
      <vt:lpstr>Boosts</vt:lpstr>
      <vt:lpstr>BRDsongs</vt:lpstr>
      <vt:lpstr>BRDsongslist</vt:lpstr>
      <vt:lpstr>BreathToWS</vt:lpstr>
      <vt:lpstr>BreathToWSList</vt:lpstr>
      <vt:lpstr>BST</vt:lpstr>
      <vt:lpstr>Cheers</vt:lpstr>
      <vt:lpstr>CheersHeader</vt:lpstr>
      <vt:lpstr>CheersList</vt:lpstr>
      <vt:lpstr>Circles</vt:lpstr>
      <vt:lpstr>CirclesHeader</vt:lpstr>
      <vt:lpstr>CirclesList</vt:lpstr>
      <vt:lpstr>Cookie</vt:lpstr>
      <vt:lpstr>CORChaosList</vt:lpstr>
      <vt:lpstr>CORChaosNumbers</vt:lpstr>
      <vt:lpstr>CORChaosRoll</vt:lpstr>
      <vt:lpstr>CORFightersList</vt:lpstr>
      <vt:lpstr>CORFightersNumbers</vt:lpstr>
      <vt:lpstr>CORFightersRoll</vt:lpstr>
      <vt:lpstr>CORHuntersList</vt:lpstr>
      <vt:lpstr>CORHuntersNumbers</vt:lpstr>
      <vt:lpstr>CORHuntersRoll</vt:lpstr>
      <vt:lpstr>CORMisersList</vt:lpstr>
      <vt:lpstr>CORMisersNumbers</vt:lpstr>
      <vt:lpstr>CORMisersRoll</vt:lpstr>
      <vt:lpstr>CORRoguesList</vt:lpstr>
      <vt:lpstr>CORRoguesNumbers</vt:lpstr>
      <vt:lpstr>CORRoguesRoll</vt:lpstr>
      <vt:lpstr>CORRollStates</vt:lpstr>
      <vt:lpstr>CORSamuraiList</vt:lpstr>
      <vt:lpstr>CORSamuraiNumbers</vt:lpstr>
      <vt:lpstr>CORSamuraiRoll</vt:lpstr>
      <vt:lpstr>CORTacticiansList</vt:lpstr>
      <vt:lpstr>CORTacticiansNumbers</vt:lpstr>
      <vt:lpstr>CORTacticiansRoll</vt:lpstr>
      <vt:lpstr>Earring</vt:lpstr>
      <vt:lpstr>EarringList</vt:lpstr>
      <vt:lpstr>EmpyreanAM</vt:lpstr>
      <vt:lpstr>Families</vt:lpstr>
      <vt:lpstr>Feet</vt:lpstr>
      <vt:lpstr>FeetList</vt:lpstr>
      <vt:lpstr>Food</vt:lpstr>
      <vt:lpstr>FoodHeader</vt:lpstr>
      <vt:lpstr>FoodList</vt:lpstr>
      <vt:lpstr>Geomancy</vt:lpstr>
      <vt:lpstr>GeomancyHeader</vt:lpstr>
      <vt:lpstr>GeomancyList</vt:lpstr>
      <vt:lpstr>GradeRates</vt:lpstr>
      <vt:lpstr>Grades</vt:lpstr>
      <vt:lpstr>Grip</vt:lpstr>
      <vt:lpstr>GripList</vt:lpstr>
      <vt:lpstr>Hands</vt:lpstr>
      <vt:lpstr>HandsList</vt:lpstr>
      <vt:lpstr>Hastes</vt:lpstr>
      <vt:lpstr>Head</vt:lpstr>
      <vt:lpstr>HeadList</vt:lpstr>
      <vt:lpstr>HealingBreath</vt:lpstr>
      <vt:lpstr>HealingBreathList</vt:lpstr>
      <vt:lpstr>HighJumpTypes</vt:lpstr>
      <vt:lpstr>HighSet1</vt:lpstr>
      <vt:lpstr>HighSet1Gear</vt:lpstr>
      <vt:lpstr>HighSet2</vt:lpstr>
      <vt:lpstr>HighSet2Gear</vt:lpstr>
      <vt:lpstr>Ionis</vt:lpstr>
      <vt:lpstr>JumpSet1</vt:lpstr>
      <vt:lpstr>JumpSet1Gear</vt:lpstr>
      <vt:lpstr>JumpSet2</vt:lpstr>
      <vt:lpstr>JumpSet2Gear</vt:lpstr>
      <vt:lpstr>JumpTypes</vt:lpstr>
      <vt:lpstr>Legs</vt:lpstr>
      <vt:lpstr>LegsList</vt:lpstr>
      <vt:lpstr>MobHeader</vt:lpstr>
      <vt:lpstr>MobNames</vt:lpstr>
      <vt:lpstr>Mobs</vt:lpstr>
      <vt:lpstr>MythicAM</vt:lpstr>
      <vt:lpstr>Neck</vt:lpstr>
      <vt:lpstr>NeckList</vt:lpstr>
      <vt:lpstr>Override</vt:lpstr>
      <vt:lpstr>PlayerStats</vt:lpstr>
      <vt:lpstr>Races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Set1CRatio</vt:lpstr>
      <vt:lpstr>Set1CritDmg</vt:lpstr>
      <vt:lpstr>Set1CritMain</vt:lpstr>
      <vt:lpstr>Set1CritOff</vt:lpstr>
      <vt:lpstr>Set1DA</vt:lpstr>
      <vt:lpstr>Set1Fotia</vt:lpstr>
      <vt:lpstr>Set1FTP</vt:lpstr>
      <vt:lpstr>Set1MainDmg</vt:lpstr>
      <vt:lpstr>Set1MeleeTP</vt:lpstr>
      <vt:lpstr>Set1MinTP</vt:lpstr>
      <vt:lpstr>Set1OffDmg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Set1WSStoreTP</vt:lpstr>
      <vt:lpstr>Set1WSStr</vt:lpstr>
      <vt:lpstr>Set1WSTP</vt:lpstr>
      <vt:lpstr>Set1WSVit</vt:lpstr>
      <vt:lpstr>Set2AM3</vt:lpstr>
      <vt:lpstr>Set2AM32</vt:lpstr>
      <vt:lpstr>Set2AM33</vt:lpstr>
      <vt:lpstr>Set2ConserveTP</vt:lpstr>
      <vt:lpstr>Set2CRatio</vt:lpstr>
      <vt:lpstr>Set2CritDmg</vt:lpstr>
      <vt:lpstr>Set2CritMain</vt:lpstr>
      <vt:lpstr>Set2CritOff</vt:lpstr>
      <vt:lpstr>Set2DA</vt:lpstr>
      <vt:lpstr>Set2Fotia</vt:lpstr>
      <vt:lpstr>Set2FTP</vt:lpstr>
      <vt:lpstr>Set2MainDmg</vt:lpstr>
      <vt:lpstr>Set2MeleeTP</vt:lpstr>
      <vt:lpstr>Set2MinTP</vt:lpstr>
      <vt:lpstr>Set2OffDmg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Set2WSStoreTP</vt:lpstr>
      <vt:lpstr>Set2WSStr</vt:lpstr>
      <vt:lpstr>Set2WSTP</vt:lpstr>
      <vt:lpstr>Set2WSVit</vt:lpstr>
      <vt:lpstr>SetBonusLookup</vt:lpstr>
      <vt:lpstr>Slots</vt:lpstr>
      <vt:lpstr>SoulSet1</vt:lpstr>
      <vt:lpstr>SoulSet1Gear</vt:lpstr>
      <vt:lpstr>SoulSet2</vt:lpstr>
      <vt:lpstr>SoulSet2Gear</vt:lpstr>
      <vt:lpstr>SpiritSet1</vt:lpstr>
      <vt:lpstr>SpiritSet1Gear</vt:lpstr>
      <vt:lpstr>SpiritSet2</vt:lpstr>
      <vt:lpstr>SpiritSet2Gear</vt:lpstr>
      <vt:lpstr>StatHeader</vt:lpstr>
      <vt:lpstr>Stats</vt:lpstr>
      <vt:lpstr>Subjobs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</vt:lpstr>
      <vt:lpstr>WeaponList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  <vt:lpstr>WyvBack</vt:lpstr>
      <vt:lpstr>WyvBody</vt:lpstr>
      <vt:lpstr>WyvEarring</vt:lpstr>
      <vt:lpstr>WyvernEXP</vt:lpstr>
      <vt:lpstr>WyvernGear</vt:lpstr>
      <vt:lpstr>WyvernHeader</vt:lpstr>
      <vt:lpstr>WyvernLevel</vt:lpstr>
      <vt:lpstr>WyvernLevelList</vt:lpstr>
      <vt:lpstr>WyvFeet</vt:lpstr>
      <vt:lpstr>WyvHands</vt:lpstr>
      <vt:lpstr>WyvHead</vt:lpstr>
      <vt:lpstr>WyvLegs</vt:lpstr>
      <vt:lpstr>WyvNeck</vt:lpstr>
      <vt:lpstr>WyvRing</vt:lpstr>
      <vt:lpstr>WyvWaist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Erik Dettenmaier</cp:lastModifiedBy>
  <dcterms:created xsi:type="dcterms:W3CDTF">2012-03-17T03:23:33Z</dcterms:created>
  <dcterms:modified xsi:type="dcterms:W3CDTF">2020-09-11T23:36:30Z</dcterms:modified>
</cp:coreProperties>
</file>