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gram Files (x86)\Windower4\Spreadsheets\"/>
    </mc:Choice>
  </mc:AlternateContent>
  <xr:revisionPtr revIDLastSave="0" documentId="13_ncr:1_{BFCC2872-ED8E-467F-8209-44C5E08370BC}" xr6:coauthVersionLast="45" xr6:coauthVersionMax="45" xr10:uidLastSave="{00000000-0000-0000-0000-000000000000}"/>
  <bookViews>
    <workbookView xWindow="19755" yWindow="18240" windowWidth="30960" windowHeight="13590" activeTab="3" xr2:uid="{00000000-000D-0000-FFFF-FFFF00000000}"/>
  </bookViews>
  <sheets>
    <sheet name="Setup" sheetId="22" r:id="rId1"/>
    <sheet name="Gear" sheetId="12" r:id="rId2"/>
    <sheet name="Data" sheetId="23" r:id="rId3"/>
    <sheet name="Gear Lists" sheetId="13" r:id="rId4"/>
    <sheet name="Spells" sheetId="38" r:id="rId5"/>
    <sheet name="Other Lists" sheetId="14" r:id="rId6"/>
    <sheet name="Stats" sheetId="25" r:id="rId7"/>
  </sheets>
  <definedNames>
    <definedName name="_xlnm._FilterDatabase" localSheetId="5" hidden="1">'Other Lists'!$A$59:$A$74</definedName>
    <definedName name="AM2Dmg">Data!$G$154:$I$161</definedName>
    <definedName name="AM2MBDmg">Data!$D$154:$F$161</definedName>
    <definedName name="Ammo">'Gear Lists'!$A$81:$AS$93</definedName>
    <definedName name="AmmoList">'Gear Lists'!$A$82:$A$93</definedName>
    <definedName name="AtmaHeader">'Other Lists'!$A$40:$L$40</definedName>
    <definedName name="AtmaList">'Other Lists'!$A$41:$L$56</definedName>
    <definedName name="Atmas">'Other Lists'!$A$41:$A$56</definedName>
    <definedName name="AvgMP1">Data!$A$320:$I$334</definedName>
    <definedName name="AvgMP2">Data!$A$338:$I$352</definedName>
    <definedName name="Back">'Gear Lists'!$A$299:$AS$318</definedName>
    <definedName name="BackList">'Gear Lists'!$A$300:$A$318</definedName>
    <definedName name="Body">'Gear Lists'!$A$180:$AS$231</definedName>
    <definedName name="BodyList">'Gear Lists'!$A$181:$A$231</definedName>
    <definedName name="Damage1">Data!$A$238:$I$252</definedName>
    <definedName name="Damage2">Data!$A$256:$I$270</definedName>
    <definedName name="DetailTypes">'Other Lists'!$A$109:$A$113</definedName>
    <definedName name="DmgPerMP1">Data!$A$358:$I$372</definedName>
    <definedName name="DmgPerMP2">Data!$A$376:$I$390</definedName>
    <definedName name="DPSSolo1">Data!$A$516:$I$530</definedName>
    <definedName name="DPSSolo2">Data!$A$534:$I$548</definedName>
    <definedName name="DPSTier1">Data!$A$590:$I$604</definedName>
    <definedName name="DPSTier2">Data!$A$608:$I$622</definedName>
    <definedName name="Earring">'Gear Lists'!$A$160:$AS$177</definedName>
    <definedName name="EarringList">'Gear Lists'!$A$161:$A$177</definedName>
    <definedName name="ElementHeader">Data!$A$100:$I$100</definedName>
    <definedName name="ElementList">'Other Lists'!$A$101:$A$106</definedName>
    <definedName name="ElementMAB">Data!$A$154:$C$161</definedName>
    <definedName name="Feet">'Gear Lists'!$A$380:$AS$423</definedName>
    <definedName name="FeetList">'Gear Lists'!$A$381:$A$423</definedName>
    <definedName name="Food">'Other Lists'!$A$1:$L$19</definedName>
    <definedName name="FoodHeader">'Other Lists'!$A$1:$L$1</definedName>
    <definedName name="FoodList">'Other Lists'!$A$2:$A$19</definedName>
    <definedName name="GradeRates">Stats!$A$37:$J$44</definedName>
    <definedName name="Grades">Stats!$A$8:$I$34</definedName>
    <definedName name="Hands">'Gear Lists'!$A$234:$AS$270</definedName>
    <definedName name="HandsList">'Gear Lists'!$A$235:$A$270</definedName>
    <definedName name="Head">'Gear Lists'!$A$96:$AS$140</definedName>
    <definedName name="HeadList">'Gear Lists'!$A$97:$A$140</definedName>
    <definedName name="HelixDamageType">'Other Lists'!$A$36:$A$37</definedName>
    <definedName name="Ionis">'Other Lists'!$A$156:$B$159</definedName>
    <definedName name="Jobs">'Other Lists'!$A$78:$A$82</definedName>
    <definedName name="Legs">'Gear Lists'!$A$341:$AS$377</definedName>
    <definedName name="LegsList">'Gear Lists'!$A$342:$A$377</definedName>
    <definedName name="MobHeader">'Other Lists'!$A$59:$M$59</definedName>
    <definedName name="MobNames">'Other Lists'!$A$60:$A$74</definedName>
    <definedName name="Mobs">'Other Lists'!$A$60:$M$74</definedName>
    <definedName name="Neck">'Gear Lists'!$A$143:$AS$157</definedName>
    <definedName name="NeckList">'Gear Lists'!$A$144:$A$157</definedName>
    <definedName name="NewAir">Spells!$A$35:$L$49</definedName>
    <definedName name="NewDark">Spells!$A$115:$L$129</definedName>
    <definedName name="NewFire">Spells!$A$51:$L$65</definedName>
    <definedName name="NewIce">Spells!$A$67:$L$81</definedName>
    <definedName name="NewLight">Spells!$A$99:$L$113</definedName>
    <definedName name="NewStone">Spells!$A$3:$L$17</definedName>
    <definedName name="NewThunder">Spells!$A$83:$L$97</definedName>
    <definedName name="NewWater">Spells!$A$19:$L$33</definedName>
    <definedName name="OldAir">Spells!$N$35:$Y$49</definedName>
    <definedName name="OldDark">Spells!$N$115:$Y$129</definedName>
    <definedName name="OldFire">Spells!$N$51:$Y$65</definedName>
    <definedName name="OldIce">Spells!$N$67:$Y$81</definedName>
    <definedName name="OldLight">Spells!$N$99:$Y$113</definedName>
    <definedName name="OldStone">Spells!$N$3:$Y$17</definedName>
    <definedName name="OldThunder">Spells!$N$83:$Y$97</definedName>
    <definedName name="OldWater">Spells!$N$19:$Y$33</definedName>
    <definedName name="PlayerStats">Stats!$A$2:$I$3</definedName>
    <definedName name="PoleWeaponskills">'Other Lists'!$A$23:$A$23</definedName>
    <definedName name="PrecastSet1">Gear!$AH$2:$AJ$21</definedName>
    <definedName name="PrecastSet2">Gear!$AH$26:$AJ$45</definedName>
    <definedName name="Races">'Other Lists'!$A$93:$A$97</definedName>
    <definedName name="RateTiers">Stats!$A$37:$J$37</definedName>
    <definedName name="Ring">'Gear Lists'!$A$273:$AS$296</definedName>
    <definedName name="RingList">'Gear Lists'!$A$274:$A$296</definedName>
    <definedName name="Set1MinTP">Setup!#REF!</definedName>
    <definedName name="Set1OverTP">Setup!#REF!</definedName>
    <definedName name="Set1WSChr">Data!$D$34</definedName>
    <definedName name="Set2OverTP">Setup!#REF!</definedName>
    <definedName name="Set2SaveTP">Data!#REF!</definedName>
    <definedName name="Set2WSChr">Data!$E$34</definedName>
    <definedName name="SetBonusLookup">'Other Lists'!$C$117:$K$129</definedName>
    <definedName name="SkillRank">'Other Lists'!$A$140:$B$151</definedName>
    <definedName name="Skills">'Other Lists'!$A$132:$G$137</definedName>
    <definedName name="SkillsHeader">'Other Lists'!$A$132:$G$132</definedName>
    <definedName name="Slots">Gear!$A$3:$A$21</definedName>
    <definedName name="SpellClass">'Other Lists'!$A$32:$A$33</definedName>
    <definedName name="SpellHeader">Spells!$A$3:$L$3</definedName>
    <definedName name="SpellSet1">Gear!$A$2:$Q$21</definedName>
    <definedName name="SpellSet1Gear">Gear!$B$3:$B$17</definedName>
    <definedName name="SpellSet2">Gear!$A$26:$Q$45</definedName>
    <definedName name="SpellSet2Gear">Gear!$B$27:$B$41</definedName>
    <definedName name="StatHeader">'Gear Lists'!$A$1:$BA$1</definedName>
    <definedName name="Stats">Stats!$A$8:$I$8</definedName>
    <definedName name="Sub">'Gear Lists'!$A$55:$AS$78</definedName>
    <definedName name="Subjobs">'Other Lists'!$A$86:$A$90</definedName>
    <definedName name="SubList">'Gear Lists'!$A$56:$A$78</definedName>
    <definedName name="Toggle">'Other Lists'!$A$28:$A$29</definedName>
    <definedName name="TypeDescription">'Other Lists'!$A$109:$C$113</definedName>
    <definedName name="Waist">'Gear Lists'!$A$321:$AS$338</definedName>
    <definedName name="WaistList">'Gear Lists'!$A$322:$A$338</definedName>
    <definedName name="Weapon">'Gear Lists'!$A$4:$BA$52</definedName>
    <definedName name="WeaponList">'Gear Lists'!$A$5:$A$52</definedName>
    <definedName name="WeaponskillData">'Other Lists'!$A$23:$Q$23</definedName>
    <definedName name="WeaponskillDataCols">'Other Lists'!$A$22:$Q$22</definedName>
    <definedName name="Weaponskills">'Other Lists'!$A$23:$A$23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" i="12" l="1"/>
  <c r="C316" i="23" l="1"/>
  <c r="B316" i="23"/>
  <c r="R19" i="12" l="1"/>
  <c r="E42" i="12"/>
  <c r="D42" i="12"/>
  <c r="D38" i="12"/>
  <c r="D31" i="12"/>
  <c r="E29" i="12"/>
  <c r="E33" i="12"/>
  <c r="D36" i="12"/>
  <c r="E30" i="12"/>
  <c r="E40" i="12"/>
  <c r="D33" i="12"/>
  <c r="D41" i="12"/>
  <c r="E27" i="12"/>
  <c r="E34" i="12"/>
  <c r="D27" i="12"/>
  <c r="D32" i="12"/>
  <c r="E39" i="12"/>
  <c r="E35" i="12"/>
  <c r="D28" i="12"/>
  <c r="D34" i="12"/>
  <c r="E31" i="12"/>
  <c r="D35" i="12"/>
  <c r="D39" i="12"/>
  <c r="E28" i="12"/>
  <c r="D29" i="12"/>
  <c r="D30" i="12"/>
  <c r="E38" i="12"/>
  <c r="D40" i="12"/>
  <c r="E41" i="12"/>
  <c r="E36" i="12"/>
  <c r="E37" i="12"/>
  <c r="D37" i="12"/>
  <c r="E32" i="12"/>
  <c r="D45" i="12" l="1"/>
  <c r="E45" i="12"/>
  <c r="E18" i="12"/>
  <c r="D18" i="12"/>
  <c r="E6" i="12"/>
  <c r="D9" i="12"/>
  <c r="E9" i="12"/>
  <c r="E11" i="12"/>
  <c r="D17" i="12"/>
  <c r="D4" i="12"/>
  <c r="D3" i="12"/>
  <c r="E14" i="12"/>
  <c r="E4" i="12"/>
  <c r="D10" i="12"/>
  <c r="D13" i="12"/>
  <c r="D15" i="12"/>
  <c r="E16" i="12"/>
  <c r="E13" i="12"/>
  <c r="D16" i="12"/>
  <c r="E8" i="12"/>
  <c r="E10" i="12"/>
  <c r="E12" i="12"/>
  <c r="D8" i="12"/>
  <c r="D12" i="12"/>
  <c r="E3" i="12"/>
  <c r="D7" i="12"/>
  <c r="D5" i="12"/>
  <c r="D14" i="12"/>
  <c r="E17" i="12"/>
  <c r="D6" i="12"/>
  <c r="D11" i="12"/>
  <c r="E15" i="12"/>
  <c r="E7" i="12"/>
  <c r="E5" i="12"/>
  <c r="D21" i="12" l="1"/>
  <c r="E21" i="12"/>
  <c r="C20" i="22" l="1"/>
  <c r="C19" i="22"/>
  <c r="C18" i="22"/>
  <c r="H54" i="23"/>
  <c r="G54" i="23"/>
  <c r="F161" i="23" l="1"/>
  <c r="E161" i="23"/>
  <c r="F160" i="23"/>
  <c r="E160" i="23"/>
  <c r="G16" i="12"/>
  <c r="G28" i="12"/>
  <c r="G5" i="12"/>
  <c r="G30" i="12"/>
  <c r="G13" i="12"/>
  <c r="G8" i="12"/>
  <c r="G35" i="12"/>
  <c r="G34" i="12"/>
  <c r="G15" i="12"/>
  <c r="G3" i="12"/>
  <c r="G39" i="12"/>
  <c r="G4" i="12"/>
  <c r="G7" i="12"/>
  <c r="G31" i="12"/>
  <c r="G27" i="12"/>
  <c r="G10" i="12"/>
  <c r="G33" i="12"/>
  <c r="G17" i="12"/>
  <c r="G32" i="12"/>
  <c r="G40" i="12"/>
  <c r="G36" i="12"/>
  <c r="G12" i="12"/>
  <c r="G9" i="12"/>
  <c r="G38" i="12"/>
  <c r="G37" i="12"/>
  <c r="G41" i="12"/>
  <c r="G6" i="12"/>
  <c r="G11" i="12"/>
  <c r="G14" i="12"/>
  <c r="G29" i="12"/>
  <c r="H6" i="23" l="1"/>
  <c r="F6" i="23"/>
  <c r="D6" i="23"/>
  <c r="C6" i="23"/>
  <c r="N129" i="38"/>
  <c r="Y128" i="38"/>
  <c r="X128" i="38"/>
  <c r="W128" i="38"/>
  <c r="V128" i="38"/>
  <c r="U128" i="38"/>
  <c r="T128" i="38"/>
  <c r="S128" i="38"/>
  <c r="R128" i="38"/>
  <c r="Q128" i="38"/>
  <c r="P128" i="38"/>
  <c r="O128" i="38"/>
  <c r="N128" i="38"/>
  <c r="Y127" i="38"/>
  <c r="X127" i="38"/>
  <c r="W127" i="38"/>
  <c r="V127" i="38"/>
  <c r="U127" i="38"/>
  <c r="T127" i="38"/>
  <c r="S127" i="38"/>
  <c r="R127" i="38"/>
  <c r="Q127" i="38"/>
  <c r="P127" i="38"/>
  <c r="O127" i="38"/>
  <c r="N127" i="38"/>
  <c r="Y126" i="38"/>
  <c r="X126" i="38"/>
  <c r="W126" i="38"/>
  <c r="V126" i="38"/>
  <c r="U126" i="38"/>
  <c r="T126" i="38"/>
  <c r="S126" i="38"/>
  <c r="R126" i="38"/>
  <c r="Q126" i="38"/>
  <c r="P126" i="38"/>
  <c r="O126" i="38"/>
  <c r="N126" i="38"/>
  <c r="Y125" i="38"/>
  <c r="X125" i="38"/>
  <c r="W125" i="38"/>
  <c r="V125" i="38"/>
  <c r="U125" i="38"/>
  <c r="T125" i="38"/>
  <c r="S125" i="38"/>
  <c r="R125" i="38"/>
  <c r="Q125" i="38"/>
  <c r="P125" i="38"/>
  <c r="O125" i="38"/>
  <c r="N125" i="38"/>
  <c r="Y124" i="38"/>
  <c r="X124" i="38"/>
  <c r="W124" i="38"/>
  <c r="V124" i="38"/>
  <c r="U124" i="38"/>
  <c r="T124" i="38"/>
  <c r="S124" i="38"/>
  <c r="R124" i="38"/>
  <c r="Q124" i="38"/>
  <c r="P124" i="38"/>
  <c r="O124" i="38"/>
  <c r="N124" i="38"/>
  <c r="Y123" i="38"/>
  <c r="X123" i="38"/>
  <c r="W123" i="38"/>
  <c r="V123" i="38"/>
  <c r="U123" i="38"/>
  <c r="T123" i="38"/>
  <c r="S123" i="38"/>
  <c r="R123" i="38"/>
  <c r="Q123" i="38"/>
  <c r="P123" i="38"/>
  <c r="O123" i="38"/>
  <c r="N123" i="38"/>
  <c r="Y122" i="38"/>
  <c r="X122" i="38"/>
  <c r="W122" i="38"/>
  <c r="V122" i="38"/>
  <c r="U122" i="38"/>
  <c r="T122" i="38"/>
  <c r="S122" i="38"/>
  <c r="R122" i="38"/>
  <c r="Q122" i="38"/>
  <c r="P122" i="38"/>
  <c r="O122" i="38"/>
  <c r="N122" i="38"/>
  <c r="Y121" i="38"/>
  <c r="X121" i="38"/>
  <c r="W121" i="38"/>
  <c r="V121" i="38"/>
  <c r="U121" i="38"/>
  <c r="T121" i="38"/>
  <c r="S121" i="38"/>
  <c r="R121" i="38"/>
  <c r="Q121" i="38"/>
  <c r="P121" i="38"/>
  <c r="O121" i="38"/>
  <c r="N121" i="38"/>
  <c r="Y120" i="38"/>
  <c r="X120" i="38"/>
  <c r="W120" i="38"/>
  <c r="V120" i="38"/>
  <c r="U120" i="38"/>
  <c r="T120" i="38"/>
  <c r="S120" i="38"/>
  <c r="R120" i="38"/>
  <c r="Q120" i="38"/>
  <c r="P120" i="38"/>
  <c r="O120" i="38"/>
  <c r="N120" i="38"/>
  <c r="Y119" i="38"/>
  <c r="X119" i="38"/>
  <c r="W119" i="38"/>
  <c r="V119" i="38"/>
  <c r="U119" i="38"/>
  <c r="T119" i="38"/>
  <c r="S119" i="38"/>
  <c r="R119" i="38"/>
  <c r="Q119" i="38"/>
  <c r="P119" i="38"/>
  <c r="O119" i="38"/>
  <c r="N119" i="38"/>
  <c r="Y118" i="38"/>
  <c r="X118" i="38"/>
  <c r="W118" i="38"/>
  <c r="V118" i="38"/>
  <c r="U118" i="38"/>
  <c r="T118" i="38"/>
  <c r="S118" i="38"/>
  <c r="R118" i="38"/>
  <c r="Q118" i="38"/>
  <c r="P118" i="38"/>
  <c r="O118" i="38"/>
  <c r="N118" i="38"/>
  <c r="Y117" i="38"/>
  <c r="X117" i="38"/>
  <c r="W117" i="38"/>
  <c r="V117" i="38"/>
  <c r="U117" i="38"/>
  <c r="T117" i="38"/>
  <c r="S117" i="38"/>
  <c r="R117" i="38"/>
  <c r="Q117" i="38"/>
  <c r="P117" i="38"/>
  <c r="O117" i="38"/>
  <c r="N117" i="38"/>
  <c r="Y116" i="38"/>
  <c r="X116" i="38"/>
  <c r="W116" i="38"/>
  <c r="V116" i="38"/>
  <c r="U116" i="38"/>
  <c r="T116" i="38"/>
  <c r="S116" i="38"/>
  <c r="R116" i="38"/>
  <c r="Q116" i="38"/>
  <c r="P116" i="38"/>
  <c r="O116" i="38"/>
  <c r="N116" i="38"/>
  <c r="Y115" i="38"/>
  <c r="X115" i="38"/>
  <c r="W115" i="38"/>
  <c r="V115" i="38"/>
  <c r="U115" i="38"/>
  <c r="T115" i="38"/>
  <c r="S115" i="38"/>
  <c r="R115" i="38"/>
  <c r="Q115" i="38"/>
  <c r="P115" i="38"/>
  <c r="O115" i="38"/>
  <c r="N115" i="38"/>
  <c r="Y113" i="38"/>
  <c r="X113" i="38"/>
  <c r="W113" i="38"/>
  <c r="V113" i="38"/>
  <c r="U113" i="38"/>
  <c r="T113" i="38"/>
  <c r="S113" i="38"/>
  <c r="R113" i="38"/>
  <c r="Q113" i="38"/>
  <c r="P113" i="38"/>
  <c r="O113" i="38"/>
  <c r="N113" i="38"/>
  <c r="Y112" i="38"/>
  <c r="X112" i="38"/>
  <c r="W112" i="38"/>
  <c r="V112" i="38"/>
  <c r="U112" i="38"/>
  <c r="T112" i="38"/>
  <c r="S112" i="38"/>
  <c r="R112" i="38"/>
  <c r="Q112" i="38"/>
  <c r="P112" i="38"/>
  <c r="O112" i="38"/>
  <c r="N112" i="38"/>
  <c r="Y111" i="38"/>
  <c r="X111" i="38"/>
  <c r="W111" i="38"/>
  <c r="V111" i="38"/>
  <c r="U111" i="38"/>
  <c r="T111" i="38"/>
  <c r="S111" i="38"/>
  <c r="R111" i="38"/>
  <c r="Q111" i="38"/>
  <c r="P111" i="38"/>
  <c r="O111" i="38"/>
  <c r="N111" i="38"/>
  <c r="Y110" i="38"/>
  <c r="X110" i="38"/>
  <c r="W110" i="38"/>
  <c r="V110" i="38"/>
  <c r="U110" i="38"/>
  <c r="T110" i="38"/>
  <c r="S110" i="38"/>
  <c r="R110" i="38"/>
  <c r="Q110" i="38"/>
  <c r="P110" i="38"/>
  <c r="O110" i="38"/>
  <c r="N110" i="38"/>
  <c r="Y109" i="38"/>
  <c r="X109" i="38"/>
  <c r="W109" i="38"/>
  <c r="V109" i="38"/>
  <c r="U109" i="38"/>
  <c r="T109" i="38"/>
  <c r="S109" i="38"/>
  <c r="R109" i="38"/>
  <c r="Q109" i="38"/>
  <c r="P109" i="38"/>
  <c r="O109" i="38"/>
  <c r="N109" i="38"/>
  <c r="Y108" i="38"/>
  <c r="X108" i="38"/>
  <c r="W108" i="38"/>
  <c r="V108" i="38"/>
  <c r="U108" i="38"/>
  <c r="T108" i="38"/>
  <c r="S108" i="38"/>
  <c r="R108" i="38"/>
  <c r="Q108" i="38"/>
  <c r="P108" i="38"/>
  <c r="O108" i="38"/>
  <c r="N108" i="38"/>
  <c r="Y107" i="38"/>
  <c r="X107" i="38"/>
  <c r="W107" i="38"/>
  <c r="V107" i="38"/>
  <c r="U107" i="38"/>
  <c r="T107" i="38"/>
  <c r="S107" i="38"/>
  <c r="R107" i="38"/>
  <c r="Q107" i="38"/>
  <c r="P107" i="38"/>
  <c r="O107" i="38"/>
  <c r="N107" i="38"/>
  <c r="Y106" i="38"/>
  <c r="X106" i="38"/>
  <c r="W106" i="38"/>
  <c r="V106" i="38"/>
  <c r="U106" i="38"/>
  <c r="T106" i="38"/>
  <c r="S106" i="38"/>
  <c r="R106" i="38"/>
  <c r="Q106" i="38"/>
  <c r="P106" i="38"/>
  <c r="O106" i="38"/>
  <c r="N106" i="38"/>
  <c r="Y105" i="38"/>
  <c r="X105" i="38"/>
  <c r="W105" i="38"/>
  <c r="V105" i="38"/>
  <c r="U105" i="38"/>
  <c r="T105" i="38"/>
  <c r="S105" i="38"/>
  <c r="R105" i="38"/>
  <c r="Q105" i="38"/>
  <c r="P105" i="38"/>
  <c r="O105" i="38"/>
  <c r="N105" i="38"/>
  <c r="Y104" i="38"/>
  <c r="X104" i="38"/>
  <c r="W104" i="38"/>
  <c r="V104" i="38"/>
  <c r="U104" i="38"/>
  <c r="T104" i="38"/>
  <c r="S104" i="38"/>
  <c r="R104" i="38"/>
  <c r="Q104" i="38"/>
  <c r="P104" i="38"/>
  <c r="O104" i="38"/>
  <c r="N104" i="38"/>
  <c r="Y103" i="38"/>
  <c r="X103" i="38"/>
  <c r="W103" i="38"/>
  <c r="V103" i="38"/>
  <c r="U103" i="38"/>
  <c r="T103" i="38"/>
  <c r="S103" i="38"/>
  <c r="R103" i="38"/>
  <c r="Q103" i="38"/>
  <c r="P103" i="38"/>
  <c r="O103" i="38"/>
  <c r="N103" i="38"/>
  <c r="Y102" i="38"/>
  <c r="X102" i="38"/>
  <c r="W102" i="38"/>
  <c r="V102" i="38"/>
  <c r="U102" i="38"/>
  <c r="T102" i="38"/>
  <c r="S102" i="38"/>
  <c r="R102" i="38"/>
  <c r="Q102" i="38"/>
  <c r="P102" i="38"/>
  <c r="O102" i="38"/>
  <c r="N102" i="38"/>
  <c r="Y101" i="38"/>
  <c r="X101" i="38"/>
  <c r="W101" i="38"/>
  <c r="V101" i="38"/>
  <c r="U101" i="38"/>
  <c r="T101" i="38"/>
  <c r="S101" i="38"/>
  <c r="R101" i="38"/>
  <c r="Q101" i="38"/>
  <c r="P101" i="38"/>
  <c r="O101" i="38"/>
  <c r="N101" i="38"/>
  <c r="Y100" i="38"/>
  <c r="X100" i="38"/>
  <c r="W100" i="38"/>
  <c r="V100" i="38"/>
  <c r="U100" i="38"/>
  <c r="T100" i="38"/>
  <c r="S100" i="38"/>
  <c r="R100" i="38"/>
  <c r="Q100" i="38"/>
  <c r="P100" i="38"/>
  <c r="O100" i="38"/>
  <c r="N100" i="38"/>
  <c r="Y99" i="38"/>
  <c r="X99" i="38"/>
  <c r="W99" i="38"/>
  <c r="V99" i="38"/>
  <c r="U99" i="38"/>
  <c r="T99" i="38"/>
  <c r="S99" i="38"/>
  <c r="R99" i="38"/>
  <c r="Q99" i="38"/>
  <c r="P99" i="38"/>
  <c r="O99" i="38"/>
  <c r="N99" i="38"/>
  <c r="Q42" i="12" l="1"/>
  <c r="O42" i="12"/>
  <c r="N42" i="12"/>
  <c r="L42" i="12"/>
  <c r="K42" i="12"/>
  <c r="M42" i="12"/>
  <c r="J42" i="12"/>
  <c r="C42" i="12"/>
  <c r="J41" i="12"/>
  <c r="J29" i="12"/>
  <c r="J37" i="12"/>
  <c r="J33" i="12"/>
  <c r="J39" i="12"/>
  <c r="J28" i="12"/>
  <c r="J31" i="12"/>
  <c r="J36" i="12"/>
  <c r="J35" i="12"/>
  <c r="J32" i="12"/>
  <c r="J30" i="12"/>
  <c r="J40" i="12"/>
  <c r="J27" i="12"/>
  <c r="J34" i="12"/>
  <c r="J38" i="12"/>
  <c r="J45" i="12" l="1"/>
  <c r="J18" i="12"/>
  <c r="C36" i="23"/>
  <c r="J13" i="12"/>
  <c r="J5" i="12"/>
  <c r="J4" i="12"/>
  <c r="J11" i="12"/>
  <c r="J8" i="12"/>
  <c r="J7" i="12"/>
  <c r="J3" i="12"/>
  <c r="J6" i="12"/>
  <c r="J12" i="12"/>
  <c r="J17" i="12"/>
  <c r="J9" i="12"/>
  <c r="J10" i="12"/>
  <c r="J15" i="12"/>
  <c r="J16" i="12"/>
  <c r="J14" i="12"/>
  <c r="J21" i="12" l="1"/>
  <c r="AK19" i="12"/>
  <c r="AJ28" i="12"/>
  <c r="AJ29" i="12"/>
  <c r="AJ33" i="12"/>
  <c r="AJ34" i="12"/>
  <c r="AJ4" i="12"/>
  <c r="AJ9" i="12"/>
  <c r="AJ10" i="12"/>
  <c r="X22" i="12"/>
  <c r="F5" i="23"/>
  <c r="C13" i="23"/>
  <c r="C15" i="23"/>
  <c r="B137" i="23" s="1"/>
  <c r="K18" i="12"/>
  <c r="L18" i="12"/>
  <c r="O18" i="12"/>
  <c r="C18" i="23"/>
  <c r="R97" i="38"/>
  <c r="T97" i="38" s="1"/>
  <c r="R96" i="38"/>
  <c r="T96" i="38" s="1"/>
  <c r="R95" i="38"/>
  <c r="T95" i="38" s="1"/>
  <c r="R94" i="38"/>
  <c r="T94" i="38" s="1"/>
  <c r="R93" i="38"/>
  <c r="T93" i="38" s="1"/>
  <c r="R91" i="38"/>
  <c r="T91" i="38" s="1"/>
  <c r="R90" i="38"/>
  <c r="T90" i="38" s="1"/>
  <c r="R89" i="38"/>
  <c r="T89" i="38" s="1"/>
  <c r="R88" i="38"/>
  <c r="T88" i="38" s="1"/>
  <c r="R87" i="38"/>
  <c r="T87" i="38" s="1"/>
  <c r="R86" i="38"/>
  <c r="T86" i="38" s="1"/>
  <c r="R85" i="38"/>
  <c r="T85" i="38" s="1"/>
  <c r="R84" i="38"/>
  <c r="T84" i="38" s="1"/>
  <c r="R81" i="38"/>
  <c r="T81" i="38" s="1"/>
  <c r="R80" i="38"/>
  <c r="T80" i="38" s="1"/>
  <c r="R79" i="38"/>
  <c r="T79" i="38" s="1"/>
  <c r="R78" i="38"/>
  <c r="T78" i="38" s="1"/>
  <c r="R76" i="38"/>
  <c r="T76" i="38" s="1"/>
  <c r="R75" i="38"/>
  <c r="T75" i="38" s="1"/>
  <c r="R74" i="38"/>
  <c r="T74" i="38" s="1"/>
  <c r="R73" i="38"/>
  <c r="R72" i="38"/>
  <c r="T72" i="38" s="1"/>
  <c r="R71" i="38"/>
  <c r="T71" i="38" s="1"/>
  <c r="R70" i="38"/>
  <c r="T70" i="38" s="1"/>
  <c r="R69" i="38"/>
  <c r="T69" i="38" s="1"/>
  <c r="R68" i="38"/>
  <c r="T68" i="38" s="1"/>
  <c r="R65" i="38"/>
  <c r="T65" i="38" s="1"/>
  <c r="R64" i="38"/>
  <c r="T64" i="38" s="1"/>
  <c r="R63" i="38"/>
  <c r="T63" i="38" s="1"/>
  <c r="R62" i="38"/>
  <c r="R60" i="38"/>
  <c r="T60" i="38" s="1"/>
  <c r="R59" i="38"/>
  <c r="T59" i="38" s="1"/>
  <c r="R58" i="38"/>
  <c r="T58" i="38" s="1"/>
  <c r="R57" i="38"/>
  <c r="T57" i="38" s="1"/>
  <c r="R56" i="38"/>
  <c r="T56" i="38" s="1"/>
  <c r="R55" i="38"/>
  <c r="T55" i="38" s="1"/>
  <c r="R54" i="38"/>
  <c r="T54" i="38" s="1"/>
  <c r="R53" i="38"/>
  <c r="R52" i="38"/>
  <c r="T52" i="38" s="1"/>
  <c r="R49" i="38"/>
  <c r="T49" i="38" s="1"/>
  <c r="R48" i="38"/>
  <c r="T48" i="38" s="1"/>
  <c r="R47" i="38"/>
  <c r="T47" i="38" s="1"/>
  <c r="R46" i="38"/>
  <c r="T46" i="38" s="1"/>
  <c r="R44" i="38"/>
  <c r="T44" i="38" s="1"/>
  <c r="R43" i="38"/>
  <c r="T43" i="38" s="1"/>
  <c r="R42" i="38"/>
  <c r="T42" i="38" s="1"/>
  <c r="R41" i="38"/>
  <c r="T41" i="38" s="1"/>
  <c r="R40" i="38"/>
  <c r="R39" i="38"/>
  <c r="T39" i="38" s="1"/>
  <c r="R38" i="38"/>
  <c r="T38" i="38" s="1"/>
  <c r="R37" i="38"/>
  <c r="T37" i="38" s="1"/>
  <c r="R36" i="38"/>
  <c r="T36" i="38" s="1"/>
  <c r="R33" i="38"/>
  <c r="T33" i="38" s="1"/>
  <c r="R32" i="38"/>
  <c r="T32" i="38" s="1"/>
  <c r="R31" i="38"/>
  <c r="T31" i="38" s="1"/>
  <c r="R30" i="38"/>
  <c r="T30" i="38" s="1"/>
  <c r="R28" i="38"/>
  <c r="T28" i="38" s="1"/>
  <c r="R27" i="38"/>
  <c r="T27" i="38" s="1"/>
  <c r="R26" i="38"/>
  <c r="T26" i="38" s="1"/>
  <c r="R25" i="38"/>
  <c r="T25" i="38" s="1"/>
  <c r="R24" i="38"/>
  <c r="T24" i="38" s="1"/>
  <c r="R23" i="38"/>
  <c r="T23" i="38" s="1"/>
  <c r="R22" i="38"/>
  <c r="T22" i="38" s="1"/>
  <c r="R21" i="38"/>
  <c r="T21" i="38" s="1"/>
  <c r="R20" i="38"/>
  <c r="T20" i="38" s="1"/>
  <c r="R17" i="38"/>
  <c r="R16" i="38"/>
  <c r="T16" i="38" s="1"/>
  <c r="R15" i="38"/>
  <c r="T15" i="38" s="1"/>
  <c r="R14" i="38"/>
  <c r="T14" i="38" s="1"/>
  <c r="R12" i="38"/>
  <c r="T12" i="38" s="1"/>
  <c r="R11" i="38"/>
  <c r="T11" i="38" s="1"/>
  <c r="R10" i="38"/>
  <c r="T10" i="38" s="1"/>
  <c r="R9" i="38"/>
  <c r="T9" i="38" s="1"/>
  <c r="R8" i="38"/>
  <c r="T8" i="38" s="1"/>
  <c r="R7" i="38"/>
  <c r="T7" i="38" s="1"/>
  <c r="R6" i="38"/>
  <c r="T6" i="38" s="1"/>
  <c r="R5" i="38"/>
  <c r="T5" i="38" s="1"/>
  <c r="R4" i="38"/>
  <c r="T4" i="38" s="1"/>
  <c r="L1" i="23"/>
  <c r="H5" i="23"/>
  <c r="C22" i="23"/>
  <c r="T17" i="38"/>
  <c r="T62" i="38"/>
  <c r="T73" i="38"/>
  <c r="T40" i="38"/>
  <c r="T53" i="38"/>
  <c r="D13" i="23"/>
  <c r="C28" i="22"/>
  <c r="D15" i="23"/>
  <c r="C137" i="23" s="1"/>
  <c r="B136" i="23"/>
  <c r="D19" i="23"/>
  <c r="C1" i="23"/>
  <c r="B1" i="23"/>
  <c r="B1" i="25" s="1"/>
  <c r="C1" i="25" s="1"/>
  <c r="D1" i="23"/>
  <c r="H10" i="23" s="1"/>
  <c r="A1" i="23"/>
  <c r="A68" i="25" s="1"/>
  <c r="I68" i="25" s="1"/>
  <c r="C5" i="23"/>
  <c r="E1" i="23"/>
  <c r="B32" i="23"/>
  <c r="B22" i="23"/>
  <c r="B57" i="23"/>
  <c r="B58" i="23" s="1"/>
  <c r="D5" i="23"/>
  <c r="C32" i="23"/>
  <c r="C57" i="23"/>
  <c r="C58" i="23" s="1"/>
  <c r="C19" i="23"/>
  <c r="Q18" i="12"/>
  <c r="B138" i="23"/>
  <c r="B150" i="23"/>
  <c r="C136" i="23"/>
  <c r="C138" i="23"/>
  <c r="C150" i="23"/>
  <c r="C147" i="23"/>
  <c r="B147" i="23"/>
  <c r="O48" i="12"/>
  <c r="AK17" i="12"/>
  <c r="AK16" i="12"/>
  <c r="AK15" i="12"/>
  <c r="AK14" i="12"/>
  <c r="AK13" i="12"/>
  <c r="AK12" i="12"/>
  <c r="AK11" i="12"/>
  <c r="AK10" i="12"/>
  <c r="AK9" i="12"/>
  <c r="AK8" i="12"/>
  <c r="AK7" i="12"/>
  <c r="AK6" i="12"/>
  <c r="AK5" i="12"/>
  <c r="AK4" i="12"/>
  <c r="D16" i="23"/>
  <c r="N18" i="12"/>
  <c r="C16" i="23"/>
  <c r="C18" i="12"/>
  <c r="I38" i="25"/>
  <c r="J38" i="25"/>
  <c r="I39" i="25"/>
  <c r="J39" i="25"/>
  <c r="I40" i="25"/>
  <c r="J40" i="25"/>
  <c r="I41" i="25"/>
  <c r="J41" i="25"/>
  <c r="I42" i="25"/>
  <c r="J42" i="25"/>
  <c r="I43" i="25"/>
  <c r="J43" i="25"/>
  <c r="I44" i="25"/>
  <c r="J44" i="25"/>
  <c r="E23" i="14"/>
  <c r="C3" i="23"/>
  <c r="D3" i="23"/>
  <c r="F3" i="23"/>
  <c r="H3" i="23"/>
  <c r="C4" i="23"/>
  <c r="D4" i="23"/>
  <c r="F4" i="23"/>
  <c r="H4" i="23"/>
  <c r="E9" i="23"/>
  <c r="F9" i="23"/>
  <c r="E10" i="23"/>
  <c r="F10" i="23"/>
  <c r="D18" i="23"/>
  <c r="C14" i="23"/>
  <c r="D14" i="23"/>
  <c r="C17" i="23"/>
  <c r="D17" i="23"/>
  <c r="L15" i="23"/>
  <c r="M15" i="23"/>
  <c r="L16" i="23"/>
  <c r="M16" i="23"/>
  <c r="L17" i="23"/>
  <c r="M17" i="23"/>
  <c r="B30" i="23"/>
  <c r="C30" i="23"/>
  <c r="B31" i="23"/>
  <c r="C31" i="23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M18" i="12"/>
  <c r="C4" i="22"/>
  <c r="C5" i="22"/>
  <c r="C6" i="22"/>
  <c r="C7" i="22"/>
  <c r="C8" i="22"/>
  <c r="C17" i="22"/>
  <c r="G21" i="22"/>
  <c r="C29" i="22"/>
  <c r="C30" i="22"/>
  <c r="C31" i="22"/>
  <c r="C32" i="22"/>
  <c r="G26" i="22"/>
  <c r="C37" i="22"/>
  <c r="C38" i="22"/>
  <c r="C39" i="22"/>
  <c r="C40" i="22"/>
  <c r="C41" i="22"/>
  <c r="C42" i="22"/>
  <c r="AJ39" i="12"/>
  <c r="AJ15" i="12"/>
  <c r="AJ13" i="12"/>
  <c r="AJ37" i="12"/>
  <c r="AJ27" i="12"/>
  <c r="H14" i="12"/>
  <c r="H127" i="23"/>
  <c r="I36" i="12"/>
  <c r="K6" i="12"/>
  <c r="P39" i="12"/>
  <c r="O4" i="12"/>
  <c r="K128" i="14"/>
  <c r="M39" i="12"/>
  <c r="L41" i="12"/>
  <c r="M10" i="12"/>
  <c r="M38" i="12"/>
  <c r="P31" i="12"/>
  <c r="M27" i="12"/>
  <c r="N35" i="12"/>
  <c r="O41" i="12"/>
  <c r="F3" i="12"/>
  <c r="P11" i="12"/>
  <c r="I5" i="12"/>
  <c r="H29" i="12"/>
  <c r="H129" i="23"/>
  <c r="I40" i="12"/>
  <c r="I11" i="12"/>
  <c r="F35" i="12"/>
  <c r="N37" i="12"/>
  <c r="AJ3" i="12"/>
  <c r="H3" i="12"/>
  <c r="K15" i="12"/>
  <c r="I112" i="23"/>
  <c r="I9" i="12"/>
  <c r="L3" i="12"/>
  <c r="F17" i="12"/>
  <c r="Q28" i="12"/>
  <c r="K127" i="14"/>
  <c r="P41" i="12"/>
  <c r="M31" i="12"/>
  <c r="H104" i="23"/>
  <c r="Q11" i="12"/>
  <c r="H130" i="23"/>
  <c r="N27" i="12"/>
  <c r="I34" i="12"/>
  <c r="M4" i="12"/>
  <c r="H41" i="12"/>
  <c r="I103" i="23"/>
  <c r="AJ7" i="12"/>
  <c r="O36" i="12"/>
  <c r="F30" i="12"/>
  <c r="C11" i="12"/>
  <c r="L9" i="12"/>
  <c r="L29" i="12"/>
  <c r="Q39" i="12"/>
  <c r="L4" i="12"/>
  <c r="N31" i="12"/>
  <c r="L31" i="12"/>
  <c r="N36" i="12"/>
  <c r="K14" i="12"/>
  <c r="I126" i="23"/>
  <c r="P12" i="12"/>
  <c r="H7" i="12"/>
  <c r="N41" i="12"/>
  <c r="F31" i="12"/>
  <c r="F14" i="12"/>
  <c r="L13" i="12"/>
  <c r="N6" i="12"/>
  <c r="O34" i="12"/>
  <c r="P28" i="12"/>
  <c r="O28" i="12"/>
  <c r="C5" i="12"/>
  <c r="I17" i="12"/>
  <c r="H36" i="12"/>
  <c r="H31" i="12"/>
  <c r="O7" i="12"/>
  <c r="I119" i="23"/>
  <c r="H17" i="12"/>
  <c r="O3" i="12"/>
  <c r="F4" i="12"/>
  <c r="L36" i="12"/>
  <c r="P36" i="12"/>
  <c r="L33" i="12"/>
  <c r="N10" i="12"/>
  <c r="I107" i="23"/>
  <c r="J127" i="14"/>
  <c r="N33" i="12"/>
  <c r="L8" i="12"/>
  <c r="I35" i="12"/>
  <c r="M33" i="12"/>
  <c r="I8" i="12"/>
  <c r="I32" i="12"/>
  <c r="K124" i="14"/>
  <c r="L40" i="12"/>
  <c r="J121" i="14"/>
  <c r="N15" i="12"/>
  <c r="I125" i="23"/>
  <c r="I106" i="23"/>
  <c r="F38" i="12"/>
  <c r="Q27" i="12"/>
  <c r="I16" i="12"/>
  <c r="K40" i="12"/>
  <c r="Q41" i="12"/>
  <c r="H16" i="12"/>
  <c r="F33" i="12"/>
  <c r="O32" i="12"/>
  <c r="F40" i="12"/>
  <c r="L28" i="12"/>
  <c r="I120" i="23"/>
  <c r="J125" i="14"/>
  <c r="J128" i="14"/>
  <c r="Q3" i="12"/>
  <c r="I10" i="12"/>
  <c r="J120" i="14"/>
  <c r="C4" i="12"/>
  <c r="I30" i="12"/>
  <c r="Q16" i="12"/>
  <c r="M17" i="12"/>
  <c r="AJ31" i="12"/>
  <c r="F8" i="12"/>
  <c r="Q32" i="12"/>
  <c r="AJ30" i="12"/>
  <c r="O9" i="12"/>
  <c r="N38" i="12"/>
  <c r="M11" i="12"/>
  <c r="K10" i="12"/>
  <c r="M30" i="12"/>
  <c r="N13" i="12"/>
  <c r="K125" i="14"/>
  <c r="P9" i="12"/>
  <c r="C10" i="12"/>
  <c r="O8" i="12"/>
  <c r="C39" i="12"/>
  <c r="L11" i="12"/>
  <c r="K16" i="12"/>
  <c r="L35" i="12"/>
  <c r="N29" i="12"/>
  <c r="J123" i="14"/>
  <c r="AJ35" i="12"/>
  <c r="K119" i="14"/>
  <c r="I104" i="23"/>
  <c r="C9" i="12"/>
  <c r="Q37" i="12"/>
  <c r="H11" i="12"/>
  <c r="K11" i="12"/>
  <c r="P13" i="12"/>
  <c r="H9" i="12"/>
  <c r="H5" i="12"/>
  <c r="H122" i="23"/>
  <c r="L14" i="12"/>
  <c r="K118" i="14"/>
  <c r="Q15" i="12"/>
  <c r="C29" i="12"/>
  <c r="AJ38" i="12"/>
  <c r="N34" i="12"/>
  <c r="C38" i="12"/>
  <c r="H34" i="12"/>
  <c r="P38" i="12"/>
  <c r="P32" i="12"/>
  <c r="O37" i="12"/>
  <c r="H123" i="23"/>
  <c r="F10" i="12"/>
  <c r="F6" i="12"/>
  <c r="H15" i="12"/>
  <c r="I38" i="12"/>
  <c r="F11" i="12"/>
  <c r="C37" i="12"/>
  <c r="H10" i="12"/>
  <c r="M32" i="12"/>
  <c r="L5" i="12"/>
  <c r="Q9" i="12"/>
  <c r="H110" i="23"/>
  <c r="M14" i="12"/>
  <c r="L16" i="12"/>
  <c r="F37" i="12"/>
  <c r="F32" i="12"/>
  <c r="J119" i="14"/>
  <c r="N12" i="12"/>
  <c r="H112" i="23"/>
  <c r="P37" i="12"/>
  <c r="P40" i="12"/>
  <c r="C40" i="12"/>
  <c r="L30" i="12"/>
  <c r="N3" i="12"/>
  <c r="O38" i="12"/>
  <c r="Q4" i="12"/>
  <c r="P33" i="12"/>
  <c r="AJ40" i="12"/>
  <c r="O40" i="12"/>
  <c r="N30" i="12"/>
  <c r="M28" i="12"/>
  <c r="I121" i="23"/>
  <c r="N17" i="12"/>
  <c r="C28" i="12"/>
  <c r="Q8" i="12"/>
  <c r="L7" i="12"/>
  <c r="P6" i="12"/>
  <c r="L34" i="12"/>
  <c r="C6" i="12"/>
  <c r="B36" i="23"/>
  <c r="P7" i="12"/>
  <c r="K9" i="12"/>
  <c r="O13" i="12"/>
  <c r="Q35" i="12"/>
  <c r="K12" i="12"/>
  <c r="H38" i="12"/>
  <c r="C36" i="12"/>
  <c r="Q10" i="12"/>
  <c r="F7" i="12"/>
  <c r="N11" i="12"/>
  <c r="C16" i="12"/>
  <c r="I14" i="12"/>
  <c r="O30" i="12"/>
  <c r="I129" i="23"/>
  <c r="J118" i="14"/>
  <c r="C12" i="12"/>
  <c r="J129" i="14"/>
  <c r="M16" i="12"/>
  <c r="I108" i="23"/>
  <c r="P10" i="12"/>
  <c r="F41" i="12"/>
  <c r="M6" i="12"/>
  <c r="I27" i="12"/>
  <c r="I124" i="23"/>
  <c r="F28" i="12"/>
  <c r="C27" i="12"/>
  <c r="H12" i="12"/>
  <c r="K8" i="12"/>
  <c r="H126" i="23"/>
  <c r="AJ32" i="12"/>
  <c r="P14" i="12"/>
  <c r="M9" i="12"/>
  <c r="K120" i="14"/>
  <c r="Q14" i="12"/>
  <c r="N7" i="12"/>
  <c r="I29" i="12"/>
  <c r="I102" i="23"/>
  <c r="O14" i="12"/>
  <c r="C14" i="12"/>
  <c r="AJ14" i="12"/>
  <c r="Q6" i="12"/>
  <c r="H33" i="12"/>
  <c r="Q12" i="12"/>
  <c r="M36" i="12"/>
  <c r="L6" i="12"/>
  <c r="O15" i="12"/>
  <c r="M29" i="12"/>
  <c r="P29" i="12"/>
  <c r="I123" i="23"/>
  <c r="K7" i="12"/>
  <c r="I4" i="12"/>
  <c r="L32" i="12"/>
  <c r="H128" i="23"/>
  <c r="K5" i="12"/>
  <c r="P30" i="12"/>
  <c r="M34" i="12"/>
  <c r="K35" i="12"/>
  <c r="C33" i="12"/>
  <c r="C17" i="12"/>
  <c r="F12" i="12"/>
  <c r="P15" i="12"/>
  <c r="C8" i="12"/>
  <c r="L38" i="12"/>
  <c r="K123" i="14"/>
  <c r="P27" i="12"/>
  <c r="I28" i="12"/>
  <c r="I15" i="12"/>
  <c r="AJ8" i="12"/>
  <c r="H4" i="12"/>
  <c r="M41" i="12"/>
  <c r="Q30" i="12"/>
  <c r="Q34" i="12"/>
  <c r="K32" i="12"/>
  <c r="M40" i="12"/>
  <c r="J122" i="14"/>
  <c r="Q31" i="12"/>
  <c r="F16" i="12"/>
  <c r="K41" i="12"/>
  <c r="O16" i="12"/>
  <c r="P34" i="12"/>
  <c r="K31" i="12"/>
  <c r="Q33" i="12"/>
  <c r="AJ5" i="12"/>
  <c r="O31" i="12"/>
  <c r="Q36" i="12"/>
  <c r="I12" i="12"/>
  <c r="N39" i="12"/>
  <c r="I33" i="12"/>
  <c r="K17" i="12"/>
  <c r="H28" i="12"/>
  <c r="P8" i="12"/>
  <c r="C31" i="12"/>
  <c r="I13" i="12"/>
  <c r="I41" i="12"/>
  <c r="I3" i="12"/>
  <c r="Q38" i="12"/>
  <c r="P35" i="12"/>
  <c r="L12" i="12"/>
  <c r="O39" i="12"/>
  <c r="K37" i="12"/>
  <c r="N16" i="12"/>
  <c r="I31" i="12"/>
  <c r="M3" i="12"/>
  <c r="P5" i="12"/>
  <c r="C32" i="12"/>
  <c r="C35" i="12"/>
  <c r="O11" i="12"/>
  <c r="AJ17" i="12"/>
  <c r="H105" i="23"/>
  <c r="Q5" i="12"/>
  <c r="K29" i="12"/>
  <c r="M8" i="12"/>
  <c r="P4" i="12"/>
  <c r="I7" i="12"/>
  <c r="L17" i="12"/>
  <c r="C15" i="12"/>
  <c r="L37" i="12"/>
  <c r="Q13" i="12"/>
  <c r="N4" i="12"/>
  <c r="F5" i="12"/>
  <c r="F36" i="12"/>
  <c r="H27" i="12"/>
  <c r="P17" i="12"/>
  <c r="H37" i="12"/>
  <c r="H109" i="23"/>
  <c r="H30" i="12"/>
  <c r="K39" i="12"/>
  <c r="N28" i="12"/>
  <c r="N5" i="12"/>
  <c r="C7" i="12"/>
  <c r="K122" i="14"/>
  <c r="N32" i="12"/>
  <c r="L27" i="12"/>
  <c r="L10" i="12"/>
  <c r="O27" i="12"/>
  <c r="J124" i="14"/>
  <c r="K34" i="12"/>
  <c r="H40" i="12"/>
  <c r="I37" i="12"/>
  <c r="K121" i="14"/>
  <c r="O29" i="12"/>
  <c r="I39" i="12"/>
  <c r="P16" i="12"/>
  <c r="I111" i="23"/>
  <c r="H14" i="23"/>
  <c r="H32" i="12"/>
  <c r="AJ41" i="12"/>
  <c r="M35" i="12"/>
  <c r="F13" i="12"/>
  <c r="F15" i="12"/>
  <c r="Q17" i="12"/>
  <c r="L15" i="12"/>
  <c r="I122" i="23"/>
  <c r="AJ16" i="12"/>
  <c r="F9" i="12"/>
  <c r="F34" i="12"/>
  <c r="C13" i="12"/>
  <c r="F39" i="12"/>
  <c r="M37" i="12"/>
  <c r="K27" i="12"/>
  <c r="K13" i="12"/>
  <c r="AJ11" i="12"/>
  <c r="K36" i="12"/>
  <c r="G15" i="23"/>
  <c r="H39" i="12"/>
  <c r="H8" i="12"/>
  <c r="F27" i="12"/>
  <c r="P3" i="12"/>
  <c r="N9" i="12"/>
  <c r="C3" i="12"/>
  <c r="M7" i="12"/>
  <c r="K126" i="14"/>
  <c r="M5" i="12"/>
  <c r="N40" i="12"/>
  <c r="C30" i="12"/>
  <c r="C34" i="12"/>
  <c r="AJ6" i="12"/>
  <c r="L39" i="12"/>
  <c r="H15" i="23"/>
  <c r="O5" i="12"/>
  <c r="K3" i="12"/>
  <c r="O33" i="12"/>
  <c r="K4" i="12"/>
  <c r="I6" i="12"/>
  <c r="H6" i="12"/>
  <c r="N14" i="12"/>
  <c r="F29" i="12"/>
  <c r="O6" i="12"/>
  <c r="K38" i="12"/>
  <c r="K30" i="12"/>
  <c r="H111" i="23"/>
  <c r="M15" i="12"/>
  <c r="C41" i="12"/>
  <c r="I130" i="23"/>
  <c r="G14" i="23"/>
  <c r="AJ12" i="12"/>
  <c r="O12" i="12"/>
  <c r="Q29" i="12"/>
  <c r="AJ36" i="12"/>
  <c r="I105" i="23"/>
  <c r="O10" i="12"/>
  <c r="N8" i="12"/>
  <c r="J126" i="14"/>
  <c r="M13" i="12"/>
  <c r="K129" i="14"/>
  <c r="M12" i="12"/>
  <c r="I101" i="23"/>
  <c r="K28" i="12"/>
  <c r="H108" i="23"/>
  <c r="O17" i="12"/>
  <c r="Q40" i="12"/>
  <c r="H13" i="12"/>
  <c r="K33" i="12"/>
  <c r="H35" i="12"/>
  <c r="Q7" i="12"/>
  <c r="O35" i="12"/>
  <c r="G17" i="23" l="1"/>
  <c r="G21" i="23" s="1"/>
  <c r="H17" i="23"/>
  <c r="H21" i="23" s="1"/>
  <c r="G18" i="23"/>
  <c r="G22" i="23" s="1"/>
  <c r="G19" i="23"/>
  <c r="G23" i="23" s="1"/>
  <c r="H19" i="23"/>
  <c r="H23" i="23" s="1"/>
  <c r="H18" i="23"/>
  <c r="H22" i="23" s="1"/>
  <c r="B400" i="23"/>
  <c r="C400" i="23"/>
  <c r="B275" i="23"/>
  <c r="C275" i="23"/>
  <c r="G42" i="12"/>
  <c r="G45" i="12" s="1"/>
  <c r="G18" i="12"/>
  <c r="G21" i="12" s="1"/>
  <c r="E3" i="23"/>
  <c r="E6" i="23"/>
  <c r="L10" i="23"/>
  <c r="C145" i="23" s="1"/>
  <c r="L8" i="23"/>
  <c r="N10" i="22" s="1"/>
  <c r="I155" i="23"/>
  <c r="H157" i="23"/>
  <c r="I156" i="23"/>
  <c r="H154" i="23"/>
  <c r="I157" i="23"/>
  <c r="H155" i="23"/>
  <c r="H158" i="23"/>
  <c r="I158" i="23"/>
  <c r="H156" i="23"/>
  <c r="I159" i="23"/>
  <c r="H159" i="23"/>
  <c r="I154" i="23"/>
  <c r="B47" i="23"/>
  <c r="B48" i="23" s="1"/>
  <c r="C47" i="23"/>
  <c r="C48" i="23" s="1"/>
  <c r="C9" i="23"/>
  <c r="D9" i="23"/>
  <c r="C399" i="23"/>
  <c r="B19" i="23"/>
  <c r="H42" i="12"/>
  <c r="H45" i="12" s="1"/>
  <c r="F42" i="12"/>
  <c r="F45" i="12" s="1"/>
  <c r="P42" i="12"/>
  <c r="P45" i="12" s="1"/>
  <c r="I42" i="12"/>
  <c r="I45" i="12" s="1"/>
  <c r="B16" i="23"/>
  <c r="C148" i="23"/>
  <c r="B68" i="25"/>
  <c r="B71" i="25" s="1"/>
  <c r="L12" i="23"/>
  <c r="N14" i="22" s="1"/>
  <c r="D68" i="25"/>
  <c r="D70" i="25" s="1"/>
  <c r="B274" i="23"/>
  <c r="H9" i="23"/>
  <c r="B399" i="23"/>
  <c r="M45" i="12"/>
  <c r="K45" i="12"/>
  <c r="Q45" i="12"/>
  <c r="O45" i="12"/>
  <c r="L45" i="12"/>
  <c r="C45" i="12"/>
  <c r="N45" i="12"/>
  <c r="C146" i="23"/>
  <c r="A58" i="25"/>
  <c r="C274" i="23"/>
  <c r="AJ18" i="12"/>
  <c r="P18" i="12"/>
  <c r="P21" i="12" s="1"/>
  <c r="F18" i="12"/>
  <c r="N21" i="12"/>
  <c r="M21" i="12"/>
  <c r="H18" i="12"/>
  <c r="L21" i="12"/>
  <c r="O21" i="12"/>
  <c r="C21" i="12"/>
  <c r="Q21" i="12"/>
  <c r="K21" i="12"/>
  <c r="I18" i="12"/>
  <c r="I21" i="12" s="1"/>
  <c r="AJ42" i="12"/>
  <c r="AJ45" i="12" s="1"/>
  <c r="I70" i="25"/>
  <c r="I69" i="25"/>
  <c r="I71" i="25"/>
  <c r="I72" i="25"/>
  <c r="F68" i="25"/>
  <c r="C68" i="25"/>
  <c r="E68" i="25"/>
  <c r="H68" i="25"/>
  <c r="G68" i="25"/>
  <c r="L7" i="23"/>
  <c r="N9" i="22" s="1"/>
  <c r="L2" i="23"/>
  <c r="N2" i="22" s="1"/>
  <c r="L6" i="23"/>
  <c r="N8" i="22" s="1"/>
  <c r="L5" i="23"/>
  <c r="N7" i="22" s="1"/>
  <c r="L11" i="23"/>
  <c r="N13" i="22" s="1"/>
  <c r="L3" i="23"/>
  <c r="L4" i="23"/>
  <c r="L9" i="23"/>
  <c r="B9" i="23"/>
  <c r="B13" i="23"/>
  <c r="C10" i="23"/>
  <c r="E4" i="23"/>
  <c r="B10" i="23"/>
  <c r="E5" i="23"/>
  <c r="B146" i="23"/>
  <c r="B20" i="23"/>
  <c r="B148" i="23"/>
  <c r="D10" i="23"/>
  <c r="A48" i="25"/>
  <c r="B18" i="23"/>
  <c r="B291" i="23"/>
  <c r="B307" i="23"/>
  <c r="C306" i="23"/>
  <c r="F292" i="23"/>
  <c r="G289" i="23"/>
  <c r="I304" i="23"/>
  <c r="C288" i="23"/>
  <c r="F305" i="23"/>
  <c r="I280" i="23"/>
  <c r="H310" i="23"/>
  <c r="C286" i="23"/>
  <c r="G298" i="23"/>
  <c r="E301" i="23"/>
  <c r="E305" i="23"/>
  <c r="I287" i="23"/>
  <c r="H291" i="23"/>
  <c r="C141" i="23"/>
  <c r="G301" i="23"/>
  <c r="I298" i="23"/>
  <c r="B289" i="23"/>
  <c r="I306" i="23"/>
  <c r="C282" i="23"/>
  <c r="C395" i="23"/>
  <c r="F300" i="23"/>
  <c r="I300" i="23"/>
  <c r="B282" i="23"/>
  <c r="D305" i="23"/>
  <c r="F299" i="23"/>
  <c r="G308" i="23"/>
  <c r="F293" i="23"/>
  <c r="D289" i="23"/>
  <c r="I288" i="23"/>
  <c r="B28" i="23"/>
  <c r="C304" i="23"/>
  <c r="D280" i="23"/>
  <c r="H284" i="23"/>
  <c r="G293" i="23"/>
  <c r="F304" i="23"/>
  <c r="G292" i="23"/>
  <c r="G305" i="23"/>
  <c r="E282" i="23"/>
  <c r="C280" i="23"/>
  <c r="E285" i="23"/>
  <c r="B292" i="23"/>
  <c r="C35" i="23"/>
  <c r="I291" i="23"/>
  <c r="C398" i="23"/>
  <c r="G306" i="23"/>
  <c r="D284" i="23"/>
  <c r="E283" i="23"/>
  <c r="H301" i="23"/>
  <c r="H311" i="23"/>
  <c r="C291" i="23"/>
  <c r="B305" i="23"/>
  <c r="C281" i="23"/>
  <c r="D291" i="23"/>
  <c r="E284" i="23"/>
  <c r="I293" i="23"/>
  <c r="C27" i="23"/>
  <c r="G300" i="23"/>
  <c r="D290" i="23"/>
  <c r="B281" i="23"/>
  <c r="C143" i="23"/>
  <c r="H283" i="23"/>
  <c r="E303" i="23"/>
  <c r="C298" i="23"/>
  <c r="D311" i="23"/>
  <c r="H298" i="23"/>
  <c r="D282" i="23"/>
  <c r="I283" i="23"/>
  <c r="D303" i="23"/>
  <c r="I282" i="23"/>
  <c r="F311" i="23"/>
  <c r="H287" i="23"/>
  <c r="F290" i="23"/>
  <c r="E290" i="23"/>
  <c r="H286" i="23"/>
  <c r="B144" i="23"/>
  <c r="B286" i="23"/>
  <c r="D301" i="23"/>
  <c r="D293" i="23"/>
  <c r="I284" i="23"/>
  <c r="C300" i="23"/>
  <c r="F307" i="23"/>
  <c r="F310" i="23"/>
  <c r="C292" i="23"/>
  <c r="H280" i="23"/>
  <c r="C284" i="23"/>
  <c r="B283" i="23"/>
  <c r="B280" i="23"/>
  <c r="G304" i="23"/>
  <c r="I286" i="23"/>
  <c r="E307" i="23"/>
  <c r="E311" i="23"/>
  <c r="B303" i="23"/>
  <c r="H304" i="23"/>
  <c r="H309" i="23"/>
  <c r="D285" i="23"/>
  <c r="D304" i="23"/>
  <c r="I302" i="23"/>
  <c r="B141" i="23"/>
  <c r="D302" i="23"/>
  <c r="B35" i="23"/>
  <c r="D310" i="23"/>
  <c r="H305" i="23"/>
  <c r="H300" i="23"/>
  <c r="G287" i="23"/>
  <c r="F283" i="23"/>
  <c r="E280" i="23"/>
  <c r="B298" i="23"/>
  <c r="H289" i="23"/>
  <c r="I290" i="23"/>
  <c r="C310" i="23"/>
  <c r="E302" i="23"/>
  <c r="F301" i="23"/>
  <c r="C299" i="23"/>
  <c r="D292" i="23"/>
  <c r="B293" i="23"/>
  <c r="H285" i="23"/>
  <c r="I289" i="23"/>
  <c r="H299" i="23"/>
  <c r="I311" i="23"/>
  <c r="F308" i="23"/>
  <c r="F302" i="23"/>
  <c r="C308" i="23"/>
  <c r="B306" i="23"/>
  <c r="C290" i="23"/>
  <c r="I303" i="23"/>
  <c r="H292" i="23"/>
  <c r="H306" i="23"/>
  <c r="E308" i="23"/>
  <c r="E281" i="23"/>
  <c r="B284" i="23"/>
  <c r="E293" i="23"/>
  <c r="B299" i="23"/>
  <c r="H307" i="23"/>
  <c r="B143" i="23"/>
  <c r="B302" i="23"/>
  <c r="C302" i="23"/>
  <c r="B287" i="23"/>
  <c r="G288" i="23"/>
  <c r="I285" i="23"/>
  <c r="H302" i="23"/>
  <c r="H290" i="23"/>
  <c r="H308" i="23"/>
  <c r="G291" i="23"/>
  <c r="H293" i="23"/>
  <c r="G311" i="23"/>
  <c r="B398" i="23"/>
  <c r="G285" i="23"/>
  <c r="I308" i="23"/>
  <c r="D308" i="23"/>
  <c r="G286" i="23"/>
  <c r="I307" i="23"/>
  <c r="C28" i="23"/>
  <c r="E306" i="23"/>
  <c r="E291" i="23"/>
  <c r="G309" i="23"/>
  <c r="E289" i="23"/>
  <c r="G302" i="23"/>
  <c r="D300" i="23"/>
  <c r="E309" i="23"/>
  <c r="C153" i="23"/>
  <c r="D307" i="23"/>
  <c r="E310" i="23"/>
  <c r="B290" i="23"/>
  <c r="F284" i="23"/>
  <c r="C285" i="23"/>
  <c r="F288" i="23"/>
  <c r="C283" i="23"/>
  <c r="C303" i="23"/>
  <c r="H288" i="23"/>
  <c r="B153" i="23"/>
  <c r="D287" i="23"/>
  <c r="G299" i="23"/>
  <c r="F287" i="23"/>
  <c r="E292" i="23"/>
  <c r="E298" i="23"/>
  <c r="F289" i="23"/>
  <c r="E288" i="23"/>
  <c r="C29" i="23"/>
  <c r="G303" i="23"/>
  <c r="D286" i="23"/>
  <c r="B311" i="23"/>
  <c r="C293" i="23"/>
  <c r="F282" i="23"/>
  <c r="E299" i="23"/>
  <c r="D288" i="23"/>
  <c r="E286" i="23"/>
  <c r="C287" i="23"/>
  <c r="I292" i="23"/>
  <c r="F281" i="23"/>
  <c r="H303" i="23"/>
  <c r="B27" i="23"/>
  <c r="G307" i="23"/>
  <c r="F285" i="23"/>
  <c r="B301" i="23"/>
  <c r="D309" i="23"/>
  <c r="G283" i="23"/>
  <c r="B309" i="23"/>
  <c r="B139" i="23"/>
  <c r="D299" i="23"/>
  <c r="F306" i="23"/>
  <c r="C301" i="23"/>
  <c r="I309" i="23"/>
  <c r="I305" i="23"/>
  <c r="I301" i="23"/>
  <c r="F286" i="23"/>
  <c r="D281" i="23"/>
  <c r="C311" i="23"/>
  <c r="B285" i="23"/>
  <c r="G284" i="23"/>
  <c r="D298" i="23"/>
  <c r="C139" i="23"/>
  <c r="B288" i="23"/>
  <c r="E287" i="23"/>
  <c r="F298" i="23"/>
  <c r="H282" i="23"/>
  <c r="D283" i="23"/>
  <c r="G282" i="23"/>
  <c r="B29" i="23"/>
  <c r="F291" i="23"/>
  <c r="B304" i="23"/>
  <c r="F303" i="23"/>
  <c r="G280" i="23"/>
  <c r="G310" i="23"/>
  <c r="B310" i="23"/>
  <c r="I281" i="23"/>
  <c r="F280" i="23"/>
  <c r="C305" i="23"/>
  <c r="D306" i="23"/>
  <c r="C289" i="23"/>
  <c r="I310" i="23"/>
  <c r="G281" i="23"/>
  <c r="C307" i="23"/>
  <c r="F309" i="23"/>
  <c r="C309" i="23"/>
  <c r="I299" i="23"/>
  <c r="E304" i="23"/>
  <c r="E300" i="23"/>
  <c r="B300" i="23"/>
  <c r="H281" i="23"/>
  <c r="B308" i="23"/>
  <c r="C144" i="23"/>
  <c r="G290" i="23"/>
  <c r="B50" i="23" l="1"/>
  <c r="B49" i="23"/>
  <c r="C49" i="23"/>
  <c r="C50" i="23"/>
  <c r="R18" i="12"/>
  <c r="C56" i="23"/>
  <c r="B56" i="23"/>
  <c r="C54" i="23"/>
  <c r="C55" i="23" s="1"/>
  <c r="B54" i="23"/>
  <c r="B55" i="23" s="1"/>
  <c r="C53" i="23"/>
  <c r="B53" i="23"/>
  <c r="N12" i="22"/>
  <c r="F21" i="12"/>
  <c r="B145" i="23"/>
  <c r="F159" i="23"/>
  <c r="F154" i="23"/>
  <c r="F158" i="23"/>
  <c r="F157" i="23"/>
  <c r="F155" i="23"/>
  <c r="F156" i="23"/>
  <c r="C140" i="23"/>
  <c r="E159" i="23"/>
  <c r="E156" i="23"/>
  <c r="E158" i="23"/>
  <c r="E157" i="23"/>
  <c r="E155" i="23"/>
  <c r="E154" i="23"/>
  <c r="B140" i="23"/>
  <c r="D71" i="25"/>
  <c r="D69" i="25"/>
  <c r="B69" i="25"/>
  <c r="D72" i="25"/>
  <c r="B70" i="25"/>
  <c r="B72" i="25"/>
  <c r="N4" i="23"/>
  <c r="N3" i="23"/>
  <c r="B73" i="25"/>
  <c r="H21" i="12"/>
  <c r="AJ21" i="12"/>
  <c r="AK18" i="12"/>
  <c r="B58" i="25"/>
  <c r="F58" i="25"/>
  <c r="G58" i="25"/>
  <c r="D58" i="25"/>
  <c r="C58" i="25"/>
  <c r="I58" i="25"/>
  <c r="I62" i="25" s="1"/>
  <c r="E58" i="25"/>
  <c r="E62" i="25" s="1"/>
  <c r="H58" i="25"/>
  <c r="H61" i="25" s="1"/>
  <c r="G72" i="25"/>
  <c r="G70" i="25"/>
  <c r="G71" i="25"/>
  <c r="G69" i="25"/>
  <c r="C142" i="23"/>
  <c r="B142" i="23"/>
  <c r="N11" i="22"/>
  <c r="G48" i="25"/>
  <c r="H48" i="25"/>
  <c r="C48" i="25"/>
  <c r="E48" i="25"/>
  <c r="D48" i="25"/>
  <c r="F48" i="25"/>
  <c r="I48" i="25"/>
  <c r="B48" i="25"/>
  <c r="M4" i="23"/>
  <c r="N6" i="22"/>
  <c r="C69" i="25"/>
  <c r="C70" i="25"/>
  <c r="C71" i="25"/>
  <c r="C72" i="25"/>
  <c r="B77" i="25"/>
  <c r="F71" i="25"/>
  <c r="F70" i="25"/>
  <c r="F72" i="25"/>
  <c r="F69" i="25"/>
  <c r="M3" i="23"/>
  <c r="N5" i="22" s="1"/>
  <c r="N3" i="22"/>
  <c r="E71" i="25"/>
  <c r="E70" i="25"/>
  <c r="E69" i="25"/>
  <c r="E72" i="25"/>
  <c r="H72" i="25"/>
  <c r="H70" i="25"/>
  <c r="H69" i="25"/>
  <c r="H71" i="25"/>
  <c r="I74" i="25"/>
  <c r="B395" i="23"/>
  <c r="B315" i="23"/>
  <c r="C315" i="23"/>
  <c r="C161" i="23" l="1"/>
  <c r="C160" i="23"/>
  <c r="B161" i="23"/>
  <c r="B160" i="23"/>
  <c r="D74" i="25"/>
  <c r="H59" i="25"/>
  <c r="B74" i="25"/>
  <c r="E60" i="25"/>
  <c r="E59" i="25"/>
  <c r="E61" i="25"/>
  <c r="H62" i="25"/>
  <c r="I59" i="25"/>
  <c r="H60" i="25"/>
  <c r="B61" i="25"/>
  <c r="B60" i="25"/>
  <c r="B62" i="25"/>
  <c r="B63" i="25"/>
  <c r="B59" i="25"/>
  <c r="G59" i="25"/>
  <c r="G61" i="25"/>
  <c r="G60" i="25"/>
  <c r="G62" i="25"/>
  <c r="D60" i="25"/>
  <c r="D59" i="25"/>
  <c r="D61" i="25"/>
  <c r="D62" i="25"/>
  <c r="C62" i="25"/>
  <c r="C59" i="25"/>
  <c r="C60" i="25"/>
  <c r="C61" i="25"/>
  <c r="I60" i="25"/>
  <c r="I61" i="25"/>
  <c r="F61" i="25"/>
  <c r="F62" i="25"/>
  <c r="F59" i="25"/>
  <c r="F60" i="25"/>
  <c r="C155" i="23"/>
  <c r="C158" i="23"/>
  <c r="C156" i="23"/>
  <c r="C159" i="23"/>
  <c r="C157" i="23"/>
  <c r="C154" i="23"/>
  <c r="B157" i="23"/>
  <c r="B158" i="23"/>
  <c r="B159" i="23"/>
  <c r="B155" i="23"/>
  <c r="B156" i="23"/>
  <c r="B154" i="23"/>
  <c r="C149" i="23"/>
  <c r="B149" i="23"/>
  <c r="H49" i="25"/>
  <c r="H51" i="25"/>
  <c r="H50" i="25"/>
  <c r="H52" i="25"/>
  <c r="H74" i="25"/>
  <c r="B52" i="25"/>
  <c r="B51" i="25"/>
  <c r="B49" i="25"/>
  <c r="B53" i="25"/>
  <c r="B50" i="25"/>
  <c r="D50" i="25"/>
  <c r="D49" i="25"/>
  <c r="D51" i="25"/>
  <c r="D52" i="25"/>
  <c r="G74" i="25"/>
  <c r="G51" i="25"/>
  <c r="G52" i="25"/>
  <c r="G50" i="25"/>
  <c r="G49" i="25"/>
  <c r="F52" i="25"/>
  <c r="F51" i="25"/>
  <c r="F49" i="25"/>
  <c r="F50" i="25"/>
  <c r="C74" i="25"/>
  <c r="C52" i="25"/>
  <c r="C50" i="25"/>
  <c r="C49" i="25"/>
  <c r="C51" i="25"/>
  <c r="E52" i="25"/>
  <c r="E49" i="25"/>
  <c r="E50" i="25"/>
  <c r="E51" i="25"/>
  <c r="I51" i="25"/>
  <c r="I50" i="25"/>
  <c r="I52" i="25"/>
  <c r="I49" i="25"/>
  <c r="E74" i="25"/>
  <c r="F74" i="25"/>
  <c r="C396" i="23"/>
  <c r="G429" i="23"/>
  <c r="B397" i="23"/>
  <c r="C397" i="23"/>
  <c r="B396" i="23"/>
  <c r="H230" i="23" l="1"/>
  <c r="H229" i="23"/>
  <c r="H231" i="23"/>
  <c r="H232" i="23"/>
  <c r="H228" i="23"/>
  <c r="H225" i="23"/>
  <c r="H224" i="23"/>
  <c r="I226" i="23"/>
  <c r="I223" i="23"/>
  <c r="I227" i="23"/>
  <c r="I222" i="23"/>
  <c r="I224" i="23"/>
  <c r="I225" i="23"/>
  <c r="I228" i="23"/>
  <c r="I221" i="23"/>
  <c r="I232" i="23"/>
  <c r="I231" i="23"/>
  <c r="H210" i="23"/>
  <c r="H206" i="23"/>
  <c r="H212" i="23"/>
  <c r="H214" i="23"/>
  <c r="H207" i="23"/>
  <c r="H211" i="23"/>
  <c r="H213" i="23"/>
  <c r="I207" i="23"/>
  <c r="I209" i="23"/>
  <c r="I204" i="23"/>
  <c r="I210" i="23"/>
  <c r="I206" i="23"/>
  <c r="I213" i="23"/>
  <c r="I208" i="23"/>
  <c r="I205" i="23"/>
  <c r="I214" i="23"/>
  <c r="I203" i="23"/>
  <c r="I185" i="23"/>
  <c r="I187" i="23"/>
  <c r="I188" i="23"/>
  <c r="I191" i="23"/>
  <c r="I194" i="23"/>
  <c r="I349" i="23" s="1"/>
  <c r="I186" i="23"/>
  <c r="I341" i="23" s="1"/>
  <c r="I195" i="23"/>
  <c r="I189" i="23"/>
  <c r="I190" i="23"/>
  <c r="I345" i="23" s="1"/>
  <c r="H187" i="23"/>
  <c r="H194" i="23"/>
  <c r="H349" i="23" s="1"/>
  <c r="H195" i="23"/>
  <c r="H350" i="23" s="1"/>
  <c r="H193" i="23"/>
  <c r="H348" i="23" s="1"/>
  <c r="H192" i="23"/>
  <c r="H347" i="23" s="1"/>
  <c r="H191" i="23"/>
  <c r="H188" i="23"/>
  <c r="I171" i="23"/>
  <c r="I177" i="23"/>
  <c r="I332" i="23" s="1"/>
  <c r="I176" i="23"/>
  <c r="I331" i="23" s="1"/>
  <c r="I168" i="23"/>
  <c r="I167" i="23"/>
  <c r="I170" i="23"/>
  <c r="I325" i="23" s="1"/>
  <c r="I166" i="23"/>
  <c r="I169" i="23"/>
  <c r="I173" i="23"/>
  <c r="I328" i="23" s="1"/>
  <c r="I172" i="23"/>
  <c r="I327" i="23" s="1"/>
  <c r="H169" i="23"/>
  <c r="H174" i="23"/>
  <c r="H170" i="23"/>
  <c r="H325" i="23" s="1"/>
  <c r="H173" i="23"/>
  <c r="H328" i="23" s="1"/>
  <c r="H176" i="23"/>
  <c r="H177" i="23"/>
  <c r="H175" i="23"/>
  <c r="H330" i="23" s="1"/>
  <c r="H64" i="25"/>
  <c r="E64" i="25"/>
  <c r="I64" i="25"/>
  <c r="G64" i="25"/>
  <c r="D64" i="25"/>
  <c r="B64" i="25"/>
  <c r="F64" i="25"/>
  <c r="C64" i="25"/>
  <c r="G54" i="25"/>
  <c r="C54" i="25"/>
  <c r="F54" i="25"/>
  <c r="E54" i="25"/>
  <c r="B54" i="25"/>
  <c r="I54" i="25"/>
  <c r="H54" i="25"/>
  <c r="D54" i="25"/>
  <c r="F445" i="23"/>
  <c r="B435" i="23"/>
  <c r="C452" i="23"/>
  <c r="B427" i="23"/>
  <c r="D408" i="23"/>
  <c r="D416" i="23"/>
  <c r="E461" i="23"/>
  <c r="I414" i="23"/>
  <c r="F468" i="23"/>
  <c r="B466" i="23"/>
  <c r="I424" i="23"/>
  <c r="C430" i="23"/>
  <c r="H445" i="23"/>
  <c r="I454" i="23"/>
  <c r="G469" i="23"/>
  <c r="E470" i="23"/>
  <c r="H416" i="23"/>
  <c r="H473" i="23"/>
  <c r="I429" i="23"/>
  <c r="I452" i="23"/>
  <c r="F425" i="23"/>
  <c r="I426" i="23"/>
  <c r="E472" i="23"/>
  <c r="C409" i="23"/>
  <c r="E445" i="23"/>
  <c r="C415" i="23"/>
  <c r="B436" i="23"/>
  <c r="C463" i="23"/>
  <c r="F455" i="23"/>
  <c r="C456" i="23"/>
  <c r="G413" i="23"/>
  <c r="B471" i="23"/>
  <c r="H433" i="23"/>
  <c r="B463" i="23"/>
  <c r="D449" i="23"/>
  <c r="I473" i="23"/>
  <c r="H413" i="23"/>
  <c r="D454" i="23"/>
  <c r="F415" i="23"/>
  <c r="D406" i="23"/>
  <c r="G436" i="23"/>
  <c r="D411" i="23"/>
  <c r="H463" i="23"/>
  <c r="H455" i="23"/>
  <c r="I425" i="23"/>
  <c r="E436" i="23"/>
  <c r="H437" i="23"/>
  <c r="I470" i="23"/>
  <c r="B465" i="23"/>
  <c r="B407" i="23"/>
  <c r="B428" i="23"/>
  <c r="E419" i="23"/>
  <c r="H414" i="23"/>
  <c r="G450" i="23"/>
  <c r="H430" i="23"/>
  <c r="E430" i="23"/>
  <c r="G415" i="23"/>
  <c r="H443" i="23"/>
  <c r="H426" i="23"/>
  <c r="F444" i="23"/>
  <c r="E417" i="23"/>
  <c r="I467" i="23"/>
  <c r="H452" i="23"/>
  <c r="C412" i="23"/>
  <c r="F472" i="23"/>
  <c r="I410" i="23"/>
  <c r="I471" i="23"/>
  <c r="H454" i="23"/>
  <c r="C418" i="23"/>
  <c r="I462" i="23"/>
  <c r="F429" i="23"/>
  <c r="B446" i="23"/>
  <c r="B461" i="23"/>
  <c r="G462" i="23"/>
  <c r="B433" i="23"/>
  <c r="B443" i="23"/>
  <c r="G412" i="23"/>
  <c r="E409" i="23"/>
  <c r="I445" i="23"/>
  <c r="F436" i="23"/>
  <c r="C448" i="23"/>
  <c r="H410" i="23"/>
  <c r="H474" i="23"/>
  <c r="F467" i="23"/>
  <c r="E471" i="23"/>
  <c r="D445" i="23"/>
  <c r="B454" i="23"/>
  <c r="B418" i="23"/>
  <c r="E431" i="23"/>
  <c r="F412" i="23"/>
  <c r="D451" i="23"/>
  <c r="F454" i="23"/>
  <c r="F461" i="23"/>
  <c r="F433" i="23"/>
  <c r="I435" i="23"/>
  <c r="I449" i="23"/>
  <c r="C429" i="23"/>
  <c r="I453" i="23"/>
  <c r="I433" i="23"/>
  <c r="E468" i="23"/>
  <c r="F426" i="23"/>
  <c r="C416" i="23"/>
  <c r="I464" i="23"/>
  <c r="C428" i="23"/>
  <c r="D455" i="23"/>
  <c r="B417" i="23"/>
  <c r="C465" i="23"/>
  <c r="F469" i="23"/>
  <c r="B451" i="23"/>
  <c r="F424" i="23"/>
  <c r="H467" i="23"/>
  <c r="C414" i="23"/>
  <c r="E447" i="23"/>
  <c r="I408" i="23"/>
  <c r="D461" i="23"/>
  <c r="E414" i="23"/>
  <c r="B409" i="23"/>
  <c r="C450" i="23"/>
  <c r="F463" i="23"/>
  <c r="E452" i="23"/>
  <c r="H408" i="23"/>
  <c r="D428" i="23"/>
  <c r="H444" i="23"/>
  <c r="E456" i="23"/>
  <c r="E407" i="23"/>
  <c r="G443" i="23"/>
  <c r="H446" i="23"/>
  <c r="G474" i="23"/>
  <c r="C424" i="23"/>
  <c r="B453" i="23"/>
  <c r="B432" i="23"/>
  <c r="H447" i="23"/>
  <c r="E434" i="23"/>
  <c r="G419" i="23"/>
  <c r="B447" i="23"/>
  <c r="D432" i="23"/>
  <c r="F419" i="23"/>
  <c r="D419" i="23"/>
  <c r="G454" i="23"/>
  <c r="I416" i="23"/>
  <c r="C427" i="23"/>
  <c r="G467" i="23"/>
  <c r="H429" i="23"/>
  <c r="B434" i="23"/>
  <c r="F427" i="23"/>
  <c r="C436" i="23"/>
  <c r="E429" i="23"/>
  <c r="D412" i="23"/>
  <c r="C449" i="23"/>
  <c r="F464" i="23"/>
  <c r="F414" i="23"/>
  <c r="F417" i="23"/>
  <c r="G451" i="23"/>
  <c r="C444" i="23"/>
  <c r="F413" i="23"/>
  <c r="I437" i="23"/>
  <c r="D427" i="23"/>
  <c r="F416" i="23"/>
  <c r="F471" i="23"/>
  <c r="D435" i="23"/>
  <c r="B408" i="23"/>
  <c r="C425" i="23"/>
  <c r="G456" i="23"/>
  <c r="D474" i="23"/>
  <c r="H451" i="23"/>
  <c r="I456" i="23"/>
  <c r="C431" i="23"/>
  <c r="I465" i="23"/>
  <c r="F435" i="23"/>
  <c r="H450" i="23"/>
  <c r="I463" i="23"/>
  <c r="B472" i="23"/>
  <c r="C468" i="23"/>
  <c r="D418" i="23"/>
  <c r="F443" i="23"/>
  <c r="C464" i="23"/>
  <c r="C443" i="23"/>
  <c r="E462" i="23"/>
  <c r="B416" i="23"/>
  <c r="E408" i="23"/>
  <c r="D414" i="23"/>
  <c r="D453" i="23"/>
  <c r="C411" i="23"/>
  <c r="G417" i="23"/>
  <c r="G464" i="23"/>
  <c r="B424" i="23"/>
  <c r="I469" i="23"/>
  <c r="I428" i="23"/>
  <c r="I450" i="23"/>
  <c r="G408" i="23"/>
  <c r="I411" i="23"/>
  <c r="C454" i="23"/>
  <c r="C417" i="23"/>
  <c r="F448" i="23"/>
  <c r="B410" i="23"/>
  <c r="E467" i="23"/>
  <c r="G453" i="23"/>
  <c r="B455" i="23"/>
  <c r="C413" i="23"/>
  <c r="I443" i="23"/>
  <c r="I413" i="23"/>
  <c r="E464" i="23"/>
  <c r="H472" i="23"/>
  <c r="G446" i="23"/>
  <c r="B473" i="23"/>
  <c r="B414" i="23"/>
  <c r="F446" i="23"/>
  <c r="E435" i="23"/>
  <c r="B429" i="23"/>
  <c r="B419" i="23"/>
  <c r="D473" i="23"/>
  <c r="I434" i="23"/>
  <c r="B415" i="23"/>
  <c r="E415" i="23"/>
  <c r="D444" i="23"/>
  <c r="D463" i="23"/>
  <c r="H456" i="23"/>
  <c r="D434" i="23"/>
  <c r="E465" i="23"/>
  <c r="E451" i="23"/>
  <c r="F434" i="23"/>
  <c r="G416" i="23"/>
  <c r="C433" i="23"/>
  <c r="C472" i="23"/>
  <c r="D429" i="23"/>
  <c r="F466" i="23"/>
  <c r="C453" i="23"/>
  <c r="I461" i="23"/>
  <c r="D433" i="23"/>
  <c r="D469" i="23"/>
  <c r="F408" i="23"/>
  <c r="C471" i="23"/>
  <c r="H418" i="23"/>
  <c r="E418" i="23"/>
  <c r="H432" i="23"/>
  <c r="F431" i="23"/>
  <c r="E469" i="23"/>
  <c r="B474" i="23"/>
  <c r="C455" i="23"/>
  <c r="G468" i="23"/>
  <c r="G472" i="23"/>
  <c r="H407" i="23"/>
  <c r="B411" i="23"/>
  <c r="G435" i="23"/>
  <c r="B469" i="23"/>
  <c r="E454" i="23"/>
  <c r="C437" i="23"/>
  <c r="C466" i="23"/>
  <c r="H406" i="23"/>
  <c r="D409" i="23"/>
  <c r="E411" i="23"/>
  <c r="I417" i="23"/>
  <c r="D472" i="23"/>
  <c r="I415" i="23"/>
  <c r="G444" i="23"/>
  <c r="G428" i="23"/>
  <c r="D452" i="23"/>
  <c r="G414" i="23"/>
  <c r="G407" i="23"/>
  <c r="F453" i="23"/>
  <c r="H417" i="23"/>
  <c r="G471" i="23"/>
  <c r="E443" i="23"/>
  <c r="I406" i="23"/>
  <c r="B464" i="23"/>
  <c r="D426" i="23"/>
  <c r="C446" i="23"/>
  <c r="C432" i="23"/>
  <c r="H424" i="23"/>
  <c r="G470" i="23"/>
  <c r="F437" i="23"/>
  <c r="C410" i="23"/>
  <c r="G425" i="23"/>
  <c r="E413" i="23"/>
  <c r="E427" i="23"/>
  <c r="D443" i="23"/>
  <c r="D431" i="23"/>
  <c r="D448" i="23"/>
  <c r="G445" i="23"/>
  <c r="G437" i="23"/>
  <c r="G452" i="23"/>
  <c r="E416" i="23"/>
  <c r="H465" i="23"/>
  <c r="I432" i="23"/>
  <c r="D450" i="23"/>
  <c r="H412" i="23"/>
  <c r="C474" i="23"/>
  <c r="H469" i="23"/>
  <c r="D456" i="23"/>
  <c r="F409" i="23"/>
  <c r="F462" i="23"/>
  <c r="C434" i="23"/>
  <c r="F428" i="23"/>
  <c r="H436" i="23"/>
  <c r="B425" i="23"/>
  <c r="I444" i="23"/>
  <c r="B444" i="23"/>
  <c r="E406" i="23"/>
  <c r="G409" i="23"/>
  <c r="E453" i="23"/>
  <c r="I419" i="23"/>
  <c r="E425" i="23"/>
  <c r="H449" i="23"/>
  <c r="H471" i="23"/>
  <c r="B445" i="23"/>
  <c r="H470" i="23"/>
  <c r="B450" i="23"/>
  <c r="C445" i="23"/>
  <c r="B413" i="23"/>
  <c r="I455" i="23"/>
  <c r="I409" i="23"/>
  <c r="F410" i="23"/>
  <c r="C407" i="23"/>
  <c r="G426" i="23"/>
  <c r="H411" i="23"/>
  <c r="F474" i="23"/>
  <c r="H466" i="23"/>
  <c r="G411" i="23"/>
  <c r="G449" i="23"/>
  <c r="G430" i="23"/>
  <c r="F430" i="23"/>
  <c r="D415" i="23"/>
  <c r="G465" i="23"/>
  <c r="H415" i="23"/>
  <c r="D425" i="23"/>
  <c r="H453" i="23"/>
  <c r="E432" i="23"/>
  <c r="C419" i="23"/>
  <c r="I407" i="23"/>
  <c r="F473" i="23"/>
  <c r="D466" i="23"/>
  <c r="B406" i="23"/>
  <c r="C469" i="23"/>
  <c r="B426" i="23"/>
  <c r="B462" i="23"/>
  <c r="G406" i="23"/>
  <c r="D446" i="23"/>
  <c r="E473" i="23"/>
  <c r="E448" i="23"/>
  <c r="G410" i="23"/>
  <c r="E433" i="23"/>
  <c r="D447" i="23"/>
  <c r="C426" i="23"/>
  <c r="F418" i="23"/>
  <c r="H419" i="23"/>
  <c r="D407" i="23"/>
  <c r="B437" i="23"/>
  <c r="C473" i="23"/>
  <c r="E455" i="23"/>
  <c r="F406" i="23"/>
  <c r="D410" i="23"/>
  <c r="I430" i="23"/>
  <c r="I418" i="23"/>
  <c r="B468" i="23"/>
  <c r="I474" i="23"/>
  <c r="C461" i="23"/>
  <c r="G455" i="23"/>
  <c r="F470" i="23"/>
  <c r="G466" i="23"/>
  <c r="H431" i="23"/>
  <c r="B412" i="23"/>
  <c r="I472" i="23"/>
  <c r="H427" i="23"/>
  <c r="C408" i="23"/>
  <c r="H425" i="23"/>
  <c r="I468" i="23"/>
  <c r="D430" i="23"/>
  <c r="F449" i="23"/>
  <c r="E466" i="23"/>
  <c r="C447" i="23"/>
  <c r="F432" i="23"/>
  <c r="C435" i="23"/>
  <c r="F450" i="23"/>
  <c r="D468" i="23"/>
  <c r="E424" i="23"/>
  <c r="H461" i="23"/>
  <c r="I427" i="23"/>
  <c r="C470" i="23"/>
  <c r="I412" i="23"/>
  <c r="H434" i="23"/>
  <c r="E450" i="23"/>
  <c r="B467" i="23"/>
  <c r="G447" i="23"/>
  <c r="E449" i="23"/>
  <c r="D470" i="23"/>
  <c r="B456" i="23"/>
  <c r="C462" i="23"/>
  <c r="D437" i="23"/>
  <c r="G433" i="23"/>
  <c r="D417" i="23"/>
  <c r="I446" i="23"/>
  <c r="G427" i="23"/>
  <c r="B449" i="23"/>
  <c r="E412" i="23"/>
  <c r="F411" i="23"/>
  <c r="H428" i="23"/>
  <c r="E426" i="23"/>
  <c r="G418" i="23"/>
  <c r="I447" i="23"/>
  <c r="C451" i="23"/>
  <c r="G473" i="23"/>
  <c r="G461" i="23"/>
  <c r="E444" i="23"/>
  <c r="I466" i="23"/>
  <c r="E463" i="23"/>
  <c r="E474" i="23"/>
  <c r="H435" i="23"/>
  <c r="H468" i="23"/>
  <c r="B430" i="23"/>
  <c r="F465" i="23"/>
  <c r="H462" i="23"/>
  <c r="I451" i="23"/>
  <c r="G424" i="23"/>
  <c r="G432" i="23"/>
  <c r="D467" i="23"/>
  <c r="B470" i="23"/>
  <c r="H409" i="23"/>
  <c r="C406" i="23"/>
  <c r="F451" i="23"/>
  <c r="F452" i="23"/>
  <c r="B431" i="23"/>
  <c r="B452" i="23"/>
  <c r="D436" i="23"/>
  <c r="D465" i="23"/>
  <c r="F456" i="23"/>
  <c r="B448" i="23"/>
  <c r="I431" i="23"/>
  <c r="E437" i="23"/>
  <c r="H464" i="23"/>
  <c r="D424" i="23"/>
  <c r="D464" i="23"/>
  <c r="E446" i="23"/>
  <c r="G463" i="23"/>
  <c r="D413" i="23"/>
  <c r="C467" i="23"/>
  <c r="H448" i="23"/>
  <c r="F447" i="23"/>
  <c r="I448" i="23"/>
  <c r="G448" i="23"/>
  <c r="D471" i="23"/>
  <c r="G431" i="23"/>
  <c r="F407" i="23"/>
  <c r="G434" i="23"/>
  <c r="I436" i="23"/>
  <c r="E410" i="23"/>
  <c r="D462" i="23"/>
  <c r="E428" i="23"/>
  <c r="G503" i="23" l="1"/>
  <c r="B503" i="23"/>
  <c r="F499" i="23"/>
  <c r="F502" i="23"/>
  <c r="I500" i="23"/>
  <c r="C498" i="23"/>
  <c r="H511" i="23"/>
  <c r="C510" i="23"/>
  <c r="E499" i="23"/>
  <c r="B500" i="23"/>
  <c r="B509" i="23"/>
  <c r="D500" i="23"/>
  <c r="F500" i="23"/>
  <c r="E511" i="23"/>
  <c r="I503" i="23"/>
  <c r="F505" i="23"/>
  <c r="C511" i="23"/>
  <c r="G507" i="23"/>
  <c r="E508" i="23"/>
  <c r="D499" i="23"/>
  <c r="G508" i="23"/>
  <c r="H498" i="23"/>
  <c r="C508" i="23"/>
  <c r="D508" i="23"/>
  <c r="E502" i="23"/>
  <c r="B506" i="23"/>
  <c r="E509" i="23"/>
  <c r="F503" i="23"/>
  <c r="I501" i="23"/>
  <c r="I511" i="23"/>
  <c r="B501" i="23"/>
  <c r="H503" i="23"/>
  <c r="E500" i="23"/>
  <c r="B505" i="23"/>
  <c r="H510" i="23"/>
  <c r="C502" i="23"/>
  <c r="G499" i="23"/>
  <c r="D507" i="23"/>
  <c r="C504" i="23"/>
  <c r="F498" i="23"/>
  <c r="E510" i="23"/>
  <c r="E504" i="23"/>
  <c r="B507" i="23"/>
  <c r="D503" i="23"/>
  <c r="I504" i="23"/>
  <c r="C506" i="23"/>
  <c r="G504" i="23"/>
  <c r="F504" i="23"/>
  <c r="B502" i="23"/>
  <c r="H507" i="23"/>
  <c r="F510" i="23"/>
  <c r="D505" i="23"/>
  <c r="E506" i="23"/>
  <c r="D498" i="23"/>
  <c r="D509" i="23"/>
  <c r="H504" i="23"/>
  <c r="H499" i="23"/>
  <c r="I509" i="23"/>
  <c r="G502" i="23"/>
  <c r="I502" i="23"/>
  <c r="F506" i="23"/>
  <c r="G505" i="23"/>
  <c r="C505" i="23"/>
  <c r="G510" i="23"/>
  <c r="I507" i="23"/>
  <c r="G509" i="23"/>
  <c r="F511" i="23"/>
  <c r="F508" i="23"/>
  <c r="B508" i="23"/>
  <c r="H508" i="23"/>
  <c r="H505" i="23"/>
  <c r="D501" i="23"/>
  <c r="B511" i="23"/>
  <c r="I498" i="23"/>
  <c r="D511" i="23"/>
  <c r="C509" i="23"/>
  <c r="G500" i="23"/>
  <c r="E505" i="23"/>
  <c r="G498" i="23"/>
  <c r="E503" i="23"/>
  <c r="F507" i="23"/>
  <c r="B504" i="23"/>
  <c r="H506" i="23"/>
  <c r="H509" i="23"/>
  <c r="I508" i="23"/>
  <c r="G506" i="23"/>
  <c r="D504" i="23"/>
  <c r="C501" i="23"/>
  <c r="D502" i="23"/>
  <c r="C503" i="23"/>
  <c r="C500" i="23"/>
  <c r="I510" i="23"/>
  <c r="B510" i="23"/>
  <c r="H500" i="23"/>
  <c r="I505" i="23"/>
  <c r="C507" i="23"/>
  <c r="E498" i="23"/>
  <c r="G501" i="23"/>
  <c r="E507" i="23"/>
  <c r="H502" i="23"/>
  <c r="B499" i="23"/>
  <c r="F509" i="23"/>
  <c r="I506" i="23"/>
  <c r="I499" i="23"/>
  <c r="D506" i="23"/>
  <c r="E501" i="23"/>
  <c r="H501" i="23"/>
  <c r="C499" i="23"/>
  <c r="F501" i="23"/>
  <c r="D510" i="23"/>
  <c r="G511" i="23"/>
  <c r="B498" i="23"/>
  <c r="G493" i="23"/>
  <c r="E486" i="23"/>
  <c r="H481" i="23"/>
  <c r="F483" i="23"/>
  <c r="I482" i="23"/>
  <c r="I484" i="23"/>
  <c r="D485" i="23"/>
  <c r="H488" i="23"/>
  <c r="H487" i="23"/>
  <c r="B491" i="23"/>
  <c r="I492" i="23"/>
  <c r="E493" i="23"/>
  <c r="D482" i="23"/>
  <c r="F488" i="23"/>
  <c r="G480" i="23"/>
  <c r="C481" i="23"/>
  <c r="I489" i="23"/>
  <c r="E491" i="23"/>
  <c r="E482" i="23"/>
  <c r="C492" i="23"/>
  <c r="G483" i="23"/>
  <c r="G485" i="23"/>
  <c r="I490" i="23"/>
  <c r="D491" i="23"/>
  <c r="E490" i="23"/>
  <c r="E485" i="23"/>
  <c r="B490" i="23"/>
  <c r="H484" i="23"/>
  <c r="C486" i="23"/>
  <c r="D481" i="23"/>
  <c r="E481" i="23"/>
  <c r="F492" i="23"/>
  <c r="D480" i="23"/>
  <c r="H493" i="23"/>
  <c r="C480" i="23"/>
  <c r="F486" i="23"/>
  <c r="D484" i="23"/>
  <c r="C485" i="23"/>
  <c r="B482" i="23"/>
  <c r="B485" i="23"/>
  <c r="H485" i="23"/>
  <c r="E489" i="23"/>
  <c r="F480" i="23"/>
  <c r="B483" i="23"/>
  <c r="F481" i="23"/>
  <c r="C482" i="23"/>
  <c r="I493" i="23"/>
  <c r="I487" i="23"/>
  <c r="F482" i="23"/>
  <c r="F485" i="23"/>
  <c r="B484" i="23"/>
  <c r="C491" i="23"/>
  <c r="H492" i="23"/>
  <c r="D486" i="23"/>
  <c r="D489" i="23"/>
  <c r="H491" i="23"/>
  <c r="I488" i="23"/>
  <c r="F493" i="23"/>
  <c r="E488" i="23"/>
  <c r="C483" i="23"/>
  <c r="I491" i="23"/>
  <c r="B487" i="23"/>
  <c r="I486" i="23"/>
  <c r="G489" i="23"/>
  <c r="F484" i="23"/>
  <c r="I483" i="23"/>
  <c r="H483" i="23"/>
  <c r="D488" i="23"/>
  <c r="G487" i="23"/>
  <c r="C489" i="23"/>
  <c r="G486" i="23"/>
  <c r="G490" i="23"/>
  <c r="C488" i="23"/>
  <c r="H480" i="23"/>
  <c r="E487" i="23"/>
  <c r="G488" i="23"/>
  <c r="C490" i="23"/>
  <c r="I485" i="23"/>
  <c r="C484" i="23"/>
  <c r="G484" i="23"/>
  <c r="H482" i="23"/>
  <c r="E480" i="23"/>
  <c r="H486" i="23"/>
  <c r="I480" i="23"/>
  <c r="B481" i="23"/>
  <c r="B486" i="23"/>
  <c r="E492" i="23"/>
  <c r="D493" i="23"/>
  <c r="E484" i="23"/>
  <c r="G481" i="23"/>
  <c r="H489" i="23"/>
  <c r="E483" i="23"/>
  <c r="D483" i="23"/>
  <c r="F491" i="23"/>
  <c r="D487" i="23"/>
  <c r="H490" i="23"/>
  <c r="G491" i="23"/>
  <c r="B489" i="23"/>
  <c r="B493" i="23"/>
  <c r="I481" i="23"/>
  <c r="D490" i="23"/>
  <c r="B488" i="23"/>
  <c r="G482" i="23"/>
  <c r="F487" i="23"/>
  <c r="B492" i="23"/>
  <c r="F490" i="23"/>
  <c r="F489" i="23"/>
  <c r="C487" i="23"/>
  <c r="C493" i="23"/>
  <c r="G492" i="23"/>
  <c r="D492" i="23"/>
  <c r="B480" i="23"/>
  <c r="I260" i="23"/>
  <c r="I342" i="23"/>
  <c r="H264" i="23"/>
  <c r="H346" i="23"/>
  <c r="I268" i="23"/>
  <c r="I350" i="23"/>
  <c r="I261" i="23"/>
  <c r="I343" i="23"/>
  <c r="H261" i="23"/>
  <c r="H343" i="23"/>
  <c r="I258" i="23"/>
  <c r="I340" i="23"/>
  <c r="H260" i="23"/>
  <c r="H342" i="23"/>
  <c r="I264" i="23"/>
  <c r="I346" i="23"/>
  <c r="I262" i="23"/>
  <c r="I344" i="23"/>
  <c r="H249" i="23"/>
  <c r="H331" i="23"/>
  <c r="I239" i="23"/>
  <c r="I321" i="23"/>
  <c r="I242" i="23"/>
  <c r="I324" i="23"/>
  <c r="H242" i="23"/>
  <c r="H324" i="23"/>
  <c r="H267" i="23"/>
  <c r="H250" i="23"/>
  <c r="H332" i="23"/>
  <c r="I244" i="23"/>
  <c r="I326" i="23"/>
  <c r="H247" i="23"/>
  <c r="H329" i="23"/>
  <c r="I240" i="23"/>
  <c r="I322" i="23"/>
  <c r="I241" i="23"/>
  <c r="I323" i="23"/>
  <c r="I249" i="23"/>
  <c r="I245" i="23"/>
  <c r="I263" i="23"/>
  <c r="H268" i="23"/>
  <c r="H243" i="23"/>
  <c r="H266" i="23"/>
  <c r="I267" i="23"/>
  <c r="H265" i="23"/>
  <c r="I259" i="23"/>
  <c r="H248" i="23"/>
  <c r="I246" i="23"/>
  <c r="I524" i="23" s="1"/>
  <c r="I250" i="23"/>
  <c r="H246" i="23"/>
  <c r="I243" i="23"/>
  <c r="F581" i="23"/>
  <c r="B581" i="23"/>
  <c r="G581" i="23"/>
  <c r="E581" i="23"/>
  <c r="D581" i="23"/>
  <c r="C581" i="23"/>
  <c r="D563" i="23"/>
  <c r="F563" i="23"/>
  <c r="B563" i="23"/>
  <c r="E563" i="23"/>
  <c r="G563" i="23"/>
  <c r="C563" i="23"/>
  <c r="H3" i="25"/>
  <c r="B6" i="23" s="1"/>
  <c r="E3" i="25"/>
  <c r="B3" i="25"/>
  <c r="I3" i="25"/>
  <c r="G3" i="25"/>
  <c r="B5" i="23" s="1"/>
  <c r="I5" i="23" s="1"/>
  <c r="C3" i="25"/>
  <c r="B3" i="23" s="1"/>
  <c r="G3" i="23" s="1"/>
  <c r="D3" i="25"/>
  <c r="B4" i="23" s="1"/>
  <c r="G4" i="23" s="1"/>
  <c r="F3" i="25"/>
  <c r="G585" i="23"/>
  <c r="C585" i="23"/>
  <c r="D585" i="23"/>
  <c r="E585" i="23"/>
  <c r="B585" i="23"/>
  <c r="F585" i="23"/>
  <c r="G580" i="23"/>
  <c r="F580" i="23"/>
  <c r="E580" i="23"/>
  <c r="D580" i="23"/>
  <c r="C580" i="23"/>
  <c r="B580" i="23"/>
  <c r="G575" i="23"/>
  <c r="B575" i="23"/>
  <c r="C575" i="23"/>
  <c r="F575" i="23"/>
  <c r="D575" i="23"/>
  <c r="E575" i="23"/>
  <c r="F556" i="23"/>
  <c r="B556" i="23"/>
  <c r="C556" i="23"/>
  <c r="D556" i="23"/>
  <c r="E556" i="23"/>
  <c r="G556" i="23"/>
  <c r="G583" i="23"/>
  <c r="F583" i="23"/>
  <c r="E583" i="23"/>
  <c r="D583" i="23"/>
  <c r="C583" i="23"/>
  <c r="B583" i="23"/>
  <c r="E559" i="23"/>
  <c r="B559" i="23"/>
  <c r="G559" i="23"/>
  <c r="F559" i="23"/>
  <c r="D559" i="23"/>
  <c r="C559" i="23"/>
  <c r="B567" i="23"/>
  <c r="D567" i="23"/>
  <c r="C567" i="23"/>
  <c r="F567" i="23"/>
  <c r="E567" i="23"/>
  <c r="G567" i="23"/>
  <c r="G576" i="23"/>
  <c r="F576" i="23"/>
  <c r="E576" i="23"/>
  <c r="D576" i="23"/>
  <c r="C576" i="23"/>
  <c r="B576" i="23"/>
  <c r="B574" i="23"/>
  <c r="C574" i="23"/>
  <c r="E574" i="23"/>
  <c r="G574" i="23"/>
  <c r="D574" i="23"/>
  <c r="F574" i="23"/>
  <c r="C558" i="23"/>
  <c r="B558" i="23"/>
  <c r="F558" i="23"/>
  <c r="D558" i="23"/>
  <c r="G558" i="23"/>
  <c r="E558" i="23"/>
  <c r="C582" i="23"/>
  <c r="B582" i="23"/>
  <c r="F582" i="23"/>
  <c r="G582" i="23"/>
  <c r="D582" i="23"/>
  <c r="E582" i="23"/>
  <c r="D579" i="23"/>
  <c r="B579" i="23"/>
  <c r="C579" i="23"/>
  <c r="E579" i="23"/>
  <c r="G579" i="23"/>
  <c r="F579" i="23"/>
  <c r="G565" i="23"/>
  <c r="E565" i="23"/>
  <c r="D565" i="23"/>
  <c r="C565" i="23"/>
  <c r="B565" i="23"/>
  <c r="F565" i="23"/>
  <c r="D557" i="23"/>
  <c r="C557" i="23"/>
  <c r="F557" i="23"/>
  <c r="B557" i="23"/>
  <c r="G557" i="23"/>
  <c r="E557" i="23"/>
  <c r="C577" i="23"/>
  <c r="G577" i="23"/>
  <c r="F577" i="23"/>
  <c r="B577" i="23"/>
  <c r="D577" i="23"/>
  <c r="E577" i="23"/>
  <c r="B560" i="23"/>
  <c r="G560" i="23"/>
  <c r="E560" i="23"/>
  <c r="C560" i="23"/>
  <c r="D560" i="23"/>
  <c r="F560" i="23"/>
  <c r="B555" i="23"/>
  <c r="D555" i="23"/>
  <c r="F555" i="23"/>
  <c r="C555" i="23"/>
  <c r="E555" i="23"/>
  <c r="G555" i="23"/>
  <c r="E562" i="23"/>
  <c r="D562" i="23"/>
  <c r="B562" i="23"/>
  <c r="C562" i="23"/>
  <c r="F562" i="23"/>
  <c r="G562" i="23"/>
  <c r="G578" i="23"/>
  <c r="F578" i="23"/>
  <c r="E578" i="23"/>
  <c r="D578" i="23"/>
  <c r="C578" i="23"/>
  <c r="B578" i="23"/>
  <c r="D554" i="23"/>
  <c r="E554" i="23"/>
  <c r="C554" i="23"/>
  <c r="B554" i="23"/>
  <c r="G554" i="23"/>
  <c r="F554" i="23"/>
  <c r="G573" i="23"/>
  <c r="C573" i="23"/>
  <c r="B573" i="23"/>
  <c r="D573" i="23"/>
  <c r="F573" i="23"/>
  <c r="E573" i="23"/>
  <c r="B584" i="23"/>
  <c r="D584" i="23"/>
  <c r="G584" i="23"/>
  <c r="F584" i="23"/>
  <c r="E584" i="23"/>
  <c r="C584" i="23"/>
  <c r="C561" i="23"/>
  <c r="B561" i="23"/>
  <c r="F561" i="23"/>
  <c r="D561" i="23"/>
  <c r="E561" i="23"/>
  <c r="G561" i="23"/>
  <c r="B572" i="23"/>
  <c r="F572" i="23"/>
  <c r="C572" i="23"/>
  <c r="D572" i="23"/>
  <c r="E572" i="23"/>
  <c r="G572" i="23"/>
  <c r="G564" i="23"/>
  <c r="D564" i="23"/>
  <c r="C564" i="23"/>
  <c r="E564" i="23"/>
  <c r="F564" i="23"/>
  <c r="B564" i="23"/>
  <c r="C566" i="23"/>
  <c r="E566" i="23"/>
  <c r="B566" i="23"/>
  <c r="D566" i="23"/>
  <c r="F566" i="23"/>
  <c r="G566" i="23"/>
  <c r="C33" i="23"/>
  <c r="H525" i="23" l="1"/>
  <c r="H527" i="23"/>
  <c r="I541" i="23"/>
  <c r="I527" i="23"/>
  <c r="I520" i="23"/>
  <c r="H542" i="23"/>
  <c r="I528" i="23"/>
  <c r="I523" i="23"/>
  <c r="I519" i="23"/>
  <c r="I522" i="23"/>
  <c r="H544" i="23"/>
  <c r="I542" i="23"/>
  <c r="H543" i="23"/>
  <c r="I538" i="23"/>
  <c r="I545" i="23"/>
  <c r="H545" i="23"/>
  <c r="I539" i="23"/>
  <c r="H546" i="23"/>
  <c r="H539" i="23"/>
  <c r="I536" i="23"/>
  <c r="I546" i="23"/>
  <c r="I537" i="23"/>
  <c r="H538" i="23"/>
  <c r="I540" i="23"/>
  <c r="H521" i="23"/>
  <c r="I518" i="23"/>
  <c r="I521" i="23"/>
  <c r="H520" i="23"/>
  <c r="I517" i="23"/>
  <c r="H526" i="23"/>
  <c r="H524" i="23"/>
  <c r="H528" i="23"/>
  <c r="C52" i="23"/>
  <c r="I90" i="23" s="1"/>
  <c r="H388" i="23"/>
  <c r="I380" i="23"/>
  <c r="H386" i="23"/>
  <c r="H387" i="23"/>
  <c r="I378" i="23"/>
  <c r="H384" i="23"/>
  <c r="I382" i="23"/>
  <c r="H385" i="23"/>
  <c r="H380" i="23"/>
  <c r="I388" i="23"/>
  <c r="H381" i="23"/>
  <c r="I387" i="23"/>
  <c r="I379" i="23"/>
  <c r="I384" i="23"/>
  <c r="I381" i="23"/>
  <c r="I383" i="23"/>
  <c r="H366" i="23"/>
  <c r="H363" i="23"/>
  <c r="I360" i="23"/>
  <c r="I363" i="23"/>
  <c r="H369" i="23"/>
  <c r="I370" i="23"/>
  <c r="H362" i="23"/>
  <c r="I359" i="23"/>
  <c r="I369" i="23"/>
  <c r="I364" i="23"/>
  <c r="H370" i="23"/>
  <c r="H368" i="23"/>
  <c r="I365" i="23"/>
  <c r="I362" i="23"/>
  <c r="I361" i="23"/>
  <c r="I366" i="23"/>
  <c r="H367" i="23"/>
  <c r="I6" i="23"/>
  <c r="G6" i="23"/>
  <c r="G5" i="23"/>
  <c r="I3" i="23"/>
  <c r="I4" i="23"/>
  <c r="C38" i="23"/>
  <c r="AD7" i="12"/>
  <c r="AD29" i="12"/>
  <c r="B34" i="23"/>
  <c r="AC36" i="12"/>
  <c r="AD4" i="12"/>
  <c r="AD13" i="12"/>
  <c r="AC12" i="12"/>
  <c r="B33" i="23"/>
  <c r="AC10" i="12"/>
  <c r="AD32" i="12"/>
  <c r="AC30" i="12"/>
  <c r="AD28" i="12"/>
  <c r="AC11" i="12"/>
  <c r="AC37" i="12"/>
  <c r="AD9" i="12"/>
  <c r="AD30" i="12"/>
  <c r="AD34" i="12"/>
  <c r="AC6" i="12"/>
  <c r="AC7" i="12"/>
  <c r="C34" i="23"/>
  <c r="AC14" i="12"/>
  <c r="AC34" i="12"/>
  <c r="AC35" i="12"/>
  <c r="AD38" i="12"/>
  <c r="AD5" i="12"/>
  <c r="AD14" i="12"/>
  <c r="AC31" i="12"/>
  <c r="AD8" i="12"/>
  <c r="AD37" i="12"/>
  <c r="AD6" i="12"/>
  <c r="AD10" i="12"/>
  <c r="AD3" i="12"/>
  <c r="AD33" i="12"/>
  <c r="AC38" i="12"/>
  <c r="AD31" i="12"/>
  <c r="AC13" i="12"/>
  <c r="AD59" i="12" l="1"/>
  <c r="AC58" i="12"/>
  <c r="AD58" i="12"/>
  <c r="AD65" i="12"/>
  <c r="AC63" i="12"/>
  <c r="AD57" i="12"/>
  <c r="AD66" i="12"/>
  <c r="AD61" i="12"/>
  <c r="AC65" i="12"/>
  <c r="AC59" i="12"/>
  <c r="AD62" i="12"/>
  <c r="AD56" i="12"/>
  <c r="AC62" i="12"/>
  <c r="AD60" i="12"/>
  <c r="AC64" i="12"/>
  <c r="AC66" i="12"/>
  <c r="C39" i="23"/>
  <c r="I91" i="23"/>
  <c r="B52" i="23"/>
  <c r="I72" i="23" s="1"/>
  <c r="I184" i="23"/>
  <c r="B40" i="23"/>
  <c r="C40" i="23"/>
  <c r="C42" i="23"/>
  <c r="C45" i="23" s="1"/>
  <c r="B38" i="23"/>
  <c r="I73" i="23" s="1"/>
  <c r="B46" i="12"/>
  <c r="I127" i="23"/>
  <c r="I128" i="23"/>
  <c r="C92" i="23"/>
  <c r="I192" i="23" l="1"/>
  <c r="I347" i="23" s="1"/>
  <c r="I229" i="23"/>
  <c r="I193" i="23"/>
  <c r="I348" i="23" s="1"/>
  <c r="I230" i="23"/>
  <c r="C41" i="23"/>
  <c r="B47" i="12"/>
  <c r="B41" i="23"/>
  <c r="I257" i="23"/>
  <c r="I535" i="23" s="1"/>
  <c r="I339" i="23"/>
  <c r="B42" i="23"/>
  <c r="B45" i="23" s="1"/>
  <c r="B39" i="23"/>
  <c r="C44" i="23"/>
  <c r="C43" i="23"/>
  <c r="C46" i="23" s="1"/>
  <c r="B22" i="12"/>
  <c r="F123" i="23"/>
  <c r="E85" i="23"/>
  <c r="B131" i="23"/>
  <c r="B85" i="23"/>
  <c r="I86" i="23"/>
  <c r="B121" i="23"/>
  <c r="D131" i="23"/>
  <c r="D85" i="23"/>
  <c r="I82" i="23"/>
  <c r="E90" i="23"/>
  <c r="C123" i="23"/>
  <c r="C129" i="23"/>
  <c r="B125" i="23"/>
  <c r="G83" i="23"/>
  <c r="B87" i="23"/>
  <c r="F89" i="23"/>
  <c r="G85" i="23"/>
  <c r="F126" i="23"/>
  <c r="G89" i="23"/>
  <c r="E93" i="23"/>
  <c r="I88" i="23"/>
  <c r="G86" i="23"/>
  <c r="B130" i="23"/>
  <c r="G88" i="23"/>
  <c r="I95" i="23"/>
  <c r="G119" i="23"/>
  <c r="C82" i="23"/>
  <c r="D82" i="23"/>
  <c r="E132" i="23"/>
  <c r="F121" i="23"/>
  <c r="I84" i="23"/>
  <c r="D119" i="23"/>
  <c r="C122" i="23"/>
  <c r="E130" i="23"/>
  <c r="C131" i="23"/>
  <c r="D120" i="23"/>
  <c r="E87" i="23"/>
  <c r="E86" i="23"/>
  <c r="G87" i="23"/>
  <c r="G94" i="23"/>
  <c r="E92" i="23"/>
  <c r="F127" i="23"/>
  <c r="F129" i="23"/>
  <c r="G132" i="23"/>
  <c r="B88" i="23"/>
  <c r="C130" i="23"/>
  <c r="B94" i="23"/>
  <c r="F85" i="23"/>
  <c r="C132" i="23"/>
  <c r="I93" i="23"/>
  <c r="C126" i="23"/>
  <c r="E94" i="23"/>
  <c r="B127" i="23"/>
  <c r="C93" i="23"/>
  <c r="E125" i="23"/>
  <c r="D129" i="23"/>
  <c r="G130" i="23"/>
  <c r="B90" i="23"/>
  <c r="I92" i="23"/>
  <c r="C95" i="23"/>
  <c r="F90" i="23"/>
  <c r="E122" i="23"/>
  <c r="E123" i="23"/>
  <c r="E101" i="23"/>
  <c r="F130" i="23"/>
  <c r="F132" i="23"/>
  <c r="F86" i="23"/>
  <c r="E121" i="23"/>
  <c r="D94" i="23"/>
  <c r="D92" i="23"/>
  <c r="D90" i="23"/>
  <c r="E131" i="23"/>
  <c r="G129" i="23"/>
  <c r="E95" i="23"/>
  <c r="F120" i="23"/>
  <c r="G122" i="23"/>
  <c r="C87" i="23"/>
  <c r="B122" i="23"/>
  <c r="C125" i="23"/>
  <c r="G127" i="23"/>
  <c r="I87" i="23"/>
  <c r="G120" i="23"/>
  <c r="B93" i="23"/>
  <c r="B86" i="23"/>
  <c r="F125" i="23"/>
  <c r="F83" i="23"/>
  <c r="G123" i="23"/>
  <c r="F88" i="23"/>
  <c r="F87" i="23"/>
  <c r="G126" i="23"/>
  <c r="G84" i="23"/>
  <c r="B89" i="23"/>
  <c r="I94" i="23"/>
  <c r="H64" i="23"/>
  <c r="C90" i="23"/>
  <c r="G93" i="23"/>
  <c r="F84" i="23"/>
  <c r="G125" i="23"/>
  <c r="B84" i="23"/>
  <c r="D89" i="23"/>
  <c r="D84" i="23"/>
  <c r="D121" i="23"/>
  <c r="G95" i="23"/>
  <c r="I85" i="23"/>
  <c r="F93" i="23"/>
  <c r="C85" i="23"/>
  <c r="D86" i="23"/>
  <c r="C124" i="23"/>
  <c r="D87" i="23"/>
  <c r="C121" i="23"/>
  <c r="C127" i="23"/>
  <c r="E129" i="23"/>
  <c r="D88" i="23"/>
  <c r="C119" i="23"/>
  <c r="E89" i="23"/>
  <c r="C120" i="23"/>
  <c r="G124" i="23"/>
  <c r="C86" i="23"/>
  <c r="D127" i="23"/>
  <c r="H93" i="23"/>
  <c r="D132" i="23"/>
  <c r="B92" i="23"/>
  <c r="B124" i="23"/>
  <c r="E83" i="23"/>
  <c r="F124" i="23"/>
  <c r="B120" i="23"/>
  <c r="G90" i="23"/>
  <c r="F122" i="23"/>
  <c r="B119" i="23"/>
  <c r="F131" i="23"/>
  <c r="E88" i="23"/>
  <c r="B123" i="23"/>
  <c r="D83" i="23"/>
  <c r="D126" i="23"/>
  <c r="C88" i="23"/>
  <c r="I89" i="23"/>
  <c r="B82" i="23"/>
  <c r="E124" i="23"/>
  <c r="I83" i="23"/>
  <c r="G121" i="23"/>
  <c r="F82" i="23"/>
  <c r="F92" i="23"/>
  <c r="F95" i="23"/>
  <c r="B95" i="23"/>
  <c r="D122" i="23"/>
  <c r="E126" i="23"/>
  <c r="D124" i="23"/>
  <c r="B126" i="23"/>
  <c r="D93" i="23"/>
  <c r="E82" i="23"/>
  <c r="G131" i="23"/>
  <c r="E127" i="23"/>
  <c r="D125" i="23"/>
  <c r="C94" i="23"/>
  <c r="C83" i="23"/>
  <c r="G82" i="23"/>
  <c r="D130" i="23"/>
  <c r="E120" i="23"/>
  <c r="D95" i="23"/>
  <c r="G92" i="23"/>
  <c r="B129" i="23"/>
  <c r="D123" i="23"/>
  <c r="B132" i="23"/>
  <c r="C89" i="23"/>
  <c r="E119" i="23"/>
  <c r="F94" i="23"/>
  <c r="C84" i="23"/>
  <c r="F119" i="23"/>
  <c r="B83" i="23"/>
  <c r="E84" i="23"/>
  <c r="D186" i="23" l="1"/>
  <c r="D341" i="23" s="1"/>
  <c r="D223" i="23"/>
  <c r="G185" i="23"/>
  <c r="G222" i="23"/>
  <c r="B185" i="23"/>
  <c r="B222" i="23"/>
  <c r="F234" i="23"/>
  <c r="F197" i="23"/>
  <c r="F352" i="23" s="1"/>
  <c r="D222" i="23"/>
  <c r="D185" i="23"/>
  <c r="D340" i="23" s="1"/>
  <c r="E184" i="23"/>
  <c r="E221" i="23"/>
  <c r="D191" i="23"/>
  <c r="D346" i="23" s="1"/>
  <c r="D228" i="23"/>
  <c r="E185" i="23"/>
  <c r="E340" i="23" s="1"/>
  <c r="E222" i="23"/>
  <c r="F231" i="23"/>
  <c r="F194" i="23"/>
  <c r="F349" i="23" s="1"/>
  <c r="D225" i="23"/>
  <c r="D188" i="23"/>
  <c r="D343" i="23" s="1"/>
  <c r="B189" i="23"/>
  <c r="B344" i="23" s="1"/>
  <c r="B226" i="23"/>
  <c r="D221" i="23"/>
  <c r="D184" i="23"/>
  <c r="D339" i="23" s="1"/>
  <c r="C186" i="23"/>
  <c r="C341" i="23" s="1"/>
  <c r="C223" i="23"/>
  <c r="D232" i="23"/>
  <c r="D195" i="23"/>
  <c r="D350" i="23" s="1"/>
  <c r="C221" i="23"/>
  <c r="C184" i="23"/>
  <c r="C339" i="23" s="1"/>
  <c r="C224" i="23"/>
  <c r="C187" i="23"/>
  <c r="C342" i="23" s="1"/>
  <c r="D196" i="23"/>
  <c r="D351" i="23" s="1"/>
  <c r="D233" i="23"/>
  <c r="B232" i="23"/>
  <c r="B195" i="23"/>
  <c r="F221" i="23"/>
  <c r="F184" i="23"/>
  <c r="B229" i="23"/>
  <c r="B192" i="23"/>
  <c r="E192" i="23"/>
  <c r="E347" i="23" s="1"/>
  <c r="E229" i="23"/>
  <c r="E226" i="23"/>
  <c r="E189" i="23"/>
  <c r="E344" i="23" s="1"/>
  <c r="B234" i="23"/>
  <c r="B197" i="23"/>
  <c r="B352" i="23" s="1"/>
  <c r="E194" i="23"/>
  <c r="E349" i="23" s="1"/>
  <c r="E231" i="23"/>
  <c r="E196" i="23"/>
  <c r="E233" i="23"/>
  <c r="C233" i="23"/>
  <c r="C196" i="23"/>
  <c r="C351" i="23" s="1"/>
  <c r="B196" i="23"/>
  <c r="B351" i="23" s="1"/>
  <c r="B233" i="23"/>
  <c r="F224" i="23"/>
  <c r="F187" i="23"/>
  <c r="F188" i="23"/>
  <c r="F343" i="23" s="1"/>
  <c r="F225" i="23"/>
  <c r="C227" i="23"/>
  <c r="C190" i="23"/>
  <c r="G196" i="23"/>
  <c r="G351" i="23" s="1"/>
  <c r="G233" i="23"/>
  <c r="D224" i="23"/>
  <c r="D187" i="23"/>
  <c r="D342" i="23" s="1"/>
  <c r="G224" i="23"/>
  <c r="G187" i="23"/>
  <c r="G342" i="23" s="1"/>
  <c r="E186" i="23"/>
  <c r="E341" i="23" s="1"/>
  <c r="E223" i="23"/>
  <c r="D229" i="23"/>
  <c r="D192" i="23"/>
  <c r="D347" i="23" s="1"/>
  <c r="B194" i="23"/>
  <c r="B231" i="23"/>
  <c r="B186" i="23"/>
  <c r="B223" i="23"/>
  <c r="F196" i="23"/>
  <c r="F351" i="23" s="1"/>
  <c r="F233" i="23"/>
  <c r="G232" i="23"/>
  <c r="G195" i="23"/>
  <c r="F186" i="23"/>
  <c r="F223" i="23"/>
  <c r="D227" i="23"/>
  <c r="D190" i="23"/>
  <c r="D345" i="23" s="1"/>
  <c r="G227" i="23"/>
  <c r="G190" i="23"/>
  <c r="G345" i="23" s="1"/>
  <c r="D197" i="23"/>
  <c r="D352" i="23" s="1"/>
  <c r="D234" i="23"/>
  <c r="B221" i="23"/>
  <c r="B184" i="23"/>
  <c r="B339" i="23" s="1"/>
  <c r="C231" i="23"/>
  <c r="C194" i="23"/>
  <c r="C349" i="23" s="1"/>
  <c r="F192" i="23"/>
  <c r="F347" i="23" s="1"/>
  <c r="F229" i="23"/>
  <c r="G189" i="23"/>
  <c r="G344" i="23" s="1"/>
  <c r="G226" i="23"/>
  <c r="C188" i="23"/>
  <c r="C343" i="23" s="1"/>
  <c r="C225" i="23"/>
  <c r="C229" i="23"/>
  <c r="C192" i="23"/>
  <c r="E197" i="23"/>
  <c r="E234" i="23"/>
  <c r="C226" i="23"/>
  <c r="C189" i="23"/>
  <c r="C344" i="23" s="1"/>
  <c r="E227" i="23"/>
  <c r="E190" i="23"/>
  <c r="E345" i="23" s="1"/>
  <c r="B224" i="23"/>
  <c r="B187" i="23"/>
  <c r="B342" i="23" s="1"/>
  <c r="C222" i="23"/>
  <c r="C185" i="23"/>
  <c r="C340" i="23" s="1"/>
  <c r="E224" i="23"/>
  <c r="E187" i="23"/>
  <c r="G231" i="23"/>
  <c r="G194" i="23"/>
  <c r="G349" i="23" s="1"/>
  <c r="G188" i="23"/>
  <c r="G343" i="23" s="1"/>
  <c r="G225" i="23"/>
  <c r="F185" i="23"/>
  <c r="F340" i="23" s="1"/>
  <c r="F222" i="23"/>
  <c r="G234" i="23"/>
  <c r="G197" i="23"/>
  <c r="G191" i="23"/>
  <c r="G228" i="23"/>
  <c r="E188" i="23"/>
  <c r="E343" i="23" s="1"/>
  <c r="E225" i="23"/>
  <c r="G229" i="23"/>
  <c r="G192" i="23"/>
  <c r="G347" i="23" s="1"/>
  <c r="F189" i="23"/>
  <c r="F344" i="23" s="1"/>
  <c r="F226" i="23"/>
  <c r="G221" i="23"/>
  <c r="G184" i="23"/>
  <c r="G339" i="23" s="1"/>
  <c r="E195" i="23"/>
  <c r="E350" i="23" s="1"/>
  <c r="E232" i="23"/>
  <c r="E191" i="23"/>
  <c r="E346" i="23" s="1"/>
  <c r="E228" i="23"/>
  <c r="C228" i="23"/>
  <c r="C191" i="23"/>
  <c r="C346" i="23" s="1"/>
  <c r="B228" i="23"/>
  <c r="B191" i="23"/>
  <c r="B346" i="23" s="1"/>
  <c r="D189" i="23"/>
  <c r="D344" i="23" s="1"/>
  <c r="D226" i="23"/>
  <c r="B190" i="23"/>
  <c r="B345" i="23" s="1"/>
  <c r="B227" i="23"/>
  <c r="F190" i="23"/>
  <c r="F345" i="23" s="1"/>
  <c r="F227" i="23"/>
  <c r="D194" i="23"/>
  <c r="D349" i="23" s="1"/>
  <c r="D231" i="23"/>
  <c r="F232" i="23"/>
  <c r="F195" i="23"/>
  <c r="F350" i="23" s="1"/>
  <c r="G223" i="23"/>
  <c r="G186" i="23"/>
  <c r="G341" i="23" s="1"/>
  <c r="B188" i="23"/>
  <c r="B343" i="23" s="1"/>
  <c r="B225" i="23"/>
  <c r="C197" i="23"/>
  <c r="C352" i="23" s="1"/>
  <c r="C234" i="23"/>
  <c r="C195" i="23"/>
  <c r="C232" i="23"/>
  <c r="F191" i="23"/>
  <c r="F346" i="23" s="1"/>
  <c r="F228" i="23"/>
  <c r="I266" i="23"/>
  <c r="I265" i="23"/>
  <c r="B91" i="23"/>
  <c r="D91" i="23"/>
  <c r="E91" i="23"/>
  <c r="F91" i="23"/>
  <c r="G91" i="23"/>
  <c r="C91" i="23"/>
  <c r="B128" i="23"/>
  <c r="B193" i="23" s="1"/>
  <c r="C128" i="23"/>
  <c r="C193" i="23" s="1"/>
  <c r="F128" i="23"/>
  <c r="F193" i="23" s="1"/>
  <c r="D128" i="23"/>
  <c r="D193" i="23" s="1"/>
  <c r="E128" i="23"/>
  <c r="E193" i="23" s="1"/>
  <c r="G128" i="23"/>
  <c r="G193" i="23" s="1"/>
  <c r="I377" i="23"/>
  <c r="B44" i="23"/>
  <c r="B43" i="23"/>
  <c r="B46" i="23" s="1"/>
  <c r="E166" i="23"/>
  <c r="E203" i="23"/>
  <c r="E74" i="23"/>
  <c r="F72" i="23"/>
  <c r="I74" i="23"/>
  <c r="E113" i="23"/>
  <c r="G114" i="23"/>
  <c r="H84" i="23"/>
  <c r="B72" i="23"/>
  <c r="H71" i="23"/>
  <c r="G68" i="23"/>
  <c r="F74" i="23"/>
  <c r="E108" i="23"/>
  <c r="G77" i="23"/>
  <c r="B107" i="23"/>
  <c r="F68" i="23"/>
  <c r="G74" i="23"/>
  <c r="E112" i="23"/>
  <c r="G103" i="23"/>
  <c r="B68" i="23"/>
  <c r="F113" i="23"/>
  <c r="F67" i="23"/>
  <c r="H72" i="23"/>
  <c r="B111" i="23"/>
  <c r="E111" i="23"/>
  <c r="D72" i="23"/>
  <c r="G101" i="23"/>
  <c r="F112" i="23"/>
  <c r="G104" i="23"/>
  <c r="G72" i="23"/>
  <c r="G113" i="23"/>
  <c r="D75" i="23"/>
  <c r="C64" i="23"/>
  <c r="I65" i="23"/>
  <c r="F108" i="23"/>
  <c r="C102" i="23"/>
  <c r="H85" i="23"/>
  <c r="G112" i="23"/>
  <c r="F75" i="23"/>
  <c r="B75" i="23"/>
  <c r="G111" i="23"/>
  <c r="D108" i="23"/>
  <c r="B101" i="23"/>
  <c r="H95" i="23"/>
  <c r="H82" i="23"/>
  <c r="I77" i="23"/>
  <c r="I64" i="23"/>
  <c r="F114" i="23"/>
  <c r="B108" i="23"/>
  <c r="B104" i="23"/>
  <c r="B64" i="23"/>
  <c r="G75" i="23"/>
  <c r="H69" i="23"/>
  <c r="B65" i="23"/>
  <c r="C101" i="23"/>
  <c r="C76" i="23"/>
  <c r="I131" i="23"/>
  <c r="E105" i="23"/>
  <c r="B74" i="23"/>
  <c r="B70" i="23"/>
  <c r="H83" i="23"/>
  <c r="H90" i="23"/>
  <c r="B67" i="23"/>
  <c r="G69" i="23"/>
  <c r="F101" i="23"/>
  <c r="I110" i="23"/>
  <c r="F66" i="23"/>
  <c r="F65" i="23"/>
  <c r="D64" i="23"/>
  <c r="E109" i="23"/>
  <c r="F71" i="23"/>
  <c r="G66" i="23"/>
  <c r="C113" i="23"/>
  <c r="I76" i="23"/>
  <c r="E69" i="23"/>
  <c r="G109" i="23"/>
  <c r="I67" i="23"/>
  <c r="D114" i="23"/>
  <c r="D67" i="23"/>
  <c r="C77" i="23"/>
  <c r="F69" i="23"/>
  <c r="E70" i="23"/>
  <c r="C68" i="23"/>
  <c r="B105" i="23"/>
  <c r="E114" i="23"/>
  <c r="D102" i="23"/>
  <c r="H91" i="23"/>
  <c r="H66" i="23"/>
  <c r="C65" i="23"/>
  <c r="F109" i="23"/>
  <c r="D109" i="23"/>
  <c r="H65" i="23"/>
  <c r="B112" i="23"/>
  <c r="H74" i="23"/>
  <c r="H92" i="23"/>
  <c r="C109" i="23"/>
  <c r="H70" i="23"/>
  <c r="B66" i="23"/>
  <c r="D74" i="23"/>
  <c r="E67" i="23"/>
  <c r="D101" i="23"/>
  <c r="C66" i="23"/>
  <c r="E68" i="23"/>
  <c r="E107" i="23"/>
  <c r="H89" i="23"/>
  <c r="C103" i="23"/>
  <c r="H94" i="23"/>
  <c r="H68" i="23"/>
  <c r="D77" i="23"/>
  <c r="I109" i="23"/>
  <c r="B69" i="23"/>
  <c r="D70" i="23"/>
  <c r="G71" i="23"/>
  <c r="F111" i="23"/>
  <c r="B113" i="23"/>
  <c r="C74" i="23"/>
  <c r="I132" i="23"/>
  <c r="C70" i="23"/>
  <c r="D65" i="23"/>
  <c r="B106" i="23"/>
  <c r="C114" i="23"/>
  <c r="E76" i="23"/>
  <c r="E72" i="23"/>
  <c r="C71" i="23"/>
  <c r="G105" i="23"/>
  <c r="G64" i="23"/>
  <c r="B71" i="23"/>
  <c r="E103" i="23"/>
  <c r="G107" i="23"/>
  <c r="G67" i="23"/>
  <c r="E102" i="23"/>
  <c r="D106" i="23"/>
  <c r="AD27" i="12"/>
  <c r="H77" i="23"/>
  <c r="E66" i="23"/>
  <c r="H101" i="23"/>
  <c r="D103" i="23"/>
  <c r="G106" i="23"/>
  <c r="H86" i="23"/>
  <c r="I70" i="23"/>
  <c r="C72" i="23"/>
  <c r="D113" i="23"/>
  <c r="G102" i="23"/>
  <c r="H67" i="23"/>
  <c r="C107" i="23"/>
  <c r="E106" i="23"/>
  <c r="H73" i="23"/>
  <c r="C112" i="23"/>
  <c r="D104" i="23"/>
  <c r="F70" i="23"/>
  <c r="B77" i="23"/>
  <c r="G65" i="23"/>
  <c r="E64" i="23"/>
  <c r="C75" i="23"/>
  <c r="F106" i="23"/>
  <c r="I71" i="23"/>
  <c r="G76" i="23"/>
  <c r="I69" i="23"/>
  <c r="H88" i="23"/>
  <c r="E75" i="23"/>
  <c r="F76" i="23"/>
  <c r="H87" i="23"/>
  <c r="C69" i="23"/>
  <c r="H76" i="23"/>
  <c r="B103" i="23"/>
  <c r="D69" i="23"/>
  <c r="F102" i="23"/>
  <c r="I75" i="23"/>
  <c r="C105" i="23"/>
  <c r="E104" i="23"/>
  <c r="C111" i="23"/>
  <c r="D71" i="23"/>
  <c r="F64" i="23"/>
  <c r="C106" i="23"/>
  <c r="F105" i="23"/>
  <c r="E77" i="23"/>
  <c r="F77" i="23"/>
  <c r="D76" i="23"/>
  <c r="D66" i="23"/>
  <c r="C104" i="23"/>
  <c r="F103" i="23"/>
  <c r="B102" i="23"/>
  <c r="I68" i="23"/>
  <c r="D68" i="23"/>
  <c r="F104" i="23"/>
  <c r="C108" i="23"/>
  <c r="F107" i="23"/>
  <c r="D105" i="23"/>
  <c r="C67" i="23"/>
  <c r="B109" i="23"/>
  <c r="E71" i="23"/>
  <c r="I66" i="23"/>
  <c r="B114" i="23"/>
  <c r="D107" i="23"/>
  <c r="D111" i="23"/>
  <c r="G70" i="23"/>
  <c r="B76" i="23"/>
  <c r="G108" i="23"/>
  <c r="H75" i="23"/>
  <c r="E65" i="23"/>
  <c r="D112" i="23"/>
  <c r="AD55" i="12" l="1"/>
  <c r="I543" i="23"/>
  <c r="I386" i="23"/>
  <c r="G178" i="23"/>
  <c r="G215" i="23"/>
  <c r="D166" i="23"/>
  <c r="D321" i="23" s="1"/>
  <c r="D203" i="23"/>
  <c r="D177" i="23"/>
  <c r="D214" i="23"/>
  <c r="C176" i="23"/>
  <c r="C331" i="23" s="1"/>
  <c r="C213" i="23"/>
  <c r="C211" i="23"/>
  <c r="C174" i="23"/>
  <c r="C329" i="23" s="1"/>
  <c r="C173" i="23"/>
  <c r="C328" i="23" s="1"/>
  <c r="C210" i="23"/>
  <c r="E211" i="23"/>
  <c r="E174" i="23"/>
  <c r="E329" i="23" s="1"/>
  <c r="E170" i="23"/>
  <c r="E325" i="23" s="1"/>
  <c r="E207" i="23"/>
  <c r="F167" i="23"/>
  <c r="F322" i="23" s="1"/>
  <c r="F204" i="23"/>
  <c r="B209" i="23"/>
  <c r="B172" i="23"/>
  <c r="B327" i="23" s="1"/>
  <c r="B173" i="23"/>
  <c r="B328" i="23" s="1"/>
  <c r="B210" i="23"/>
  <c r="B206" i="23"/>
  <c r="B169" i="23"/>
  <c r="B324" i="23" s="1"/>
  <c r="C170" i="23"/>
  <c r="C325" i="23" s="1"/>
  <c r="C207" i="23"/>
  <c r="C169" i="23"/>
  <c r="C324" i="23" s="1"/>
  <c r="C206" i="23"/>
  <c r="B213" i="23"/>
  <c r="B176" i="23"/>
  <c r="B331" i="23" s="1"/>
  <c r="F215" i="23"/>
  <c r="F178" i="23"/>
  <c r="F333" i="23" s="1"/>
  <c r="G205" i="23"/>
  <c r="G168" i="23"/>
  <c r="G323" i="23" s="1"/>
  <c r="F211" i="23"/>
  <c r="F174" i="23"/>
  <c r="F329" i="23" s="1"/>
  <c r="E204" i="23"/>
  <c r="E167" i="23"/>
  <c r="E322" i="23" s="1"/>
  <c r="C216" i="23"/>
  <c r="C179" i="23"/>
  <c r="C334" i="23" s="1"/>
  <c r="D176" i="23"/>
  <c r="D331" i="23" s="1"/>
  <c r="D213" i="23"/>
  <c r="D174" i="23"/>
  <c r="D329" i="23" s="1"/>
  <c r="D211" i="23"/>
  <c r="E213" i="23"/>
  <c r="E176" i="23"/>
  <c r="E331" i="23" s="1"/>
  <c r="E214" i="23"/>
  <c r="E177" i="23"/>
  <c r="E332" i="23" s="1"/>
  <c r="F214" i="23"/>
  <c r="F177" i="23"/>
  <c r="F332" i="23" s="1"/>
  <c r="F170" i="23"/>
  <c r="F325" i="23" s="1"/>
  <c r="F207" i="23"/>
  <c r="D170" i="23"/>
  <c r="D325" i="23" s="1"/>
  <c r="D207" i="23"/>
  <c r="G172" i="23"/>
  <c r="G327" i="23" s="1"/>
  <c r="G209" i="23"/>
  <c r="F166" i="23"/>
  <c r="F203" i="23"/>
  <c r="B205" i="23"/>
  <c r="B168" i="23"/>
  <c r="B323" i="23" s="1"/>
  <c r="C203" i="23"/>
  <c r="C166" i="23"/>
  <c r="C321" i="23" s="1"/>
  <c r="G171" i="23"/>
  <c r="G326" i="23" s="1"/>
  <c r="G208" i="23"/>
  <c r="D173" i="23"/>
  <c r="D328" i="23" s="1"/>
  <c r="D210" i="23"/>
  <c r="G177" i="23"/>
  <c r="G332" i="23" s="1"/>
  <c r="G214" i="23"/>
  <c r="E171" i="23"/>
  <c r="E326" i="23" s="1"/>
  <c r="E208" i="23"/>
  <c r="D169" i="23"/>
  <c r="D324" i="23" s="1"/>
  <c r="D206" i="23"/>
  <c r="G204" i="23"/>
  <c r="G167" i="23"/>
  <c r="G322" i="23" s="1"/>
  <c r="F171" i="23"/>
  <c r="F326" i="23" s="1"/>
  <c r="F208" i="23"/>
  <c r="B216" i="23"/>
  <c r="B179" i="23"/>
  <c r="B334" i="23" s="1"/>
  <c r="B258" i="23"/>
  <c r="B536" i="23" s="1"/>
  <c r="G258" i="23"/>
  <c r="G536" i="23" s="1"/>
  <c r="D268" i="23"/>
  <c r="I197" i="23"/>
  <c r="I352" i="23" s="1"/>
  <c r="I234" i="23"/>
  <c r="I196" i="23"/>
  <c r="I351" i="23" s="1"/>
  <c r="I233" i="23"/>
  <c r="B340" i="23"/>
  <c r="F269" i="23"/>
  <c r="B267" i="23"/>
  <c r="F260" i="23"/>
  <c r="F538" i="23" s="1"/>
  <c r="E260" i="23"/>
  <c r="E538" i="23" s="1"/>
  <c r="F264" i="23"/>
  <c r="D263" i="23"/>
  <c r="B262" i="23"/>
  <c r="B257" i="23"/>
  <c r="B535" i="23" s="1"/>
  <c r="I174" i="23"/>
  <c r="I329" i="23" s="1"/>
  <c r="I544" i="23"/>
  <c r="I385" i="23"/>
  <c r="E178" i="23"/>
  <c r="E333" i="23" s="1"/>
  <c r="E215" i="23"/>
  <c r="G169" i="23"/>
  <c r="G324" i="23" s="1"/>
  <c r="G206" i="23"/>
  <c r="D168" i="23"/>
  <c r="D323" i="23" s="1"/>
  <c r="D205" i="23"/>
  <c r="G203" i="23"/>
  <c r="G166" i="23"/>
  <c r="G321" i="23" s="1"/>
  <c r="D178" i="23"/>
  <c r="D333" i="23" s="1"/>
  <c r="D215" i="23"/>
  <c r="G173" i="23"/>
  <c r="G328" i="23" s="1"/>
  <c r="G210" i="23"/>
  <c r="B178" i="23"/>
  <c r="B333" i="23" s="1"/>
  <c r="B215" i="23"/>
  <c r="I175" i="23"/>
  <c r="I330" i="23" s="1"/>
  <c r="I212" i="23"/>
  <c r="D171" i="23"/>
  <c r="D326" i="23" s="1"/>
  <c r="D208" i="23"/>
  <c r="B166" i="23"/>
  <c r="B321" i="23" s="1"/>
  <c r="B203" i="23"/>
  <c r="C171" i="23"/>
  <c r="C326" i="23" s="1"/>
  <c r="C208" i="23"/>
  <c r="D209" i="23"/>
  <c r="D172" i="23"/>
  <c r="D327" i="23" s="1"/>
  <c r="F213" i="23"/>
  <c r="F176" i="23"/>
  <c r="F331" i="23" s="1"/>
  <c r="E210" i="23"/>
  <c r="E173" i="23"/>
  <c r="E328" i="23" s="1"/>
  <c r="G179" i="23"/>
  <c r="G334" i="23" s="1"/>
  <c r="G216" i="23"/>
  <c r="E172" i="23"/>
  <c r="E327" i="23" s="1"/>
  <c r="E209" i="23"/>
  <c r="G176" i="23"/>
  <c r="G331" i="23" s="1"/>
  <c r="G213" i="23"/>
  <c r="I211" i="23"/>
  <c r="F172" i="23"/>
  <c r="F327" i="23" s="1"/>
  <c r="F209" i="23"/>
  <c r="B207" i="23"/>
  <c r="B170" i="23"/>
  <c r="B325" i="23" s="1"/>
  <c r="B171" i="23"/>
  <c r="B208" i="23"/>
  <c r="E168" i="23"/>
  <c r="E323" i="23" s="1"/>
  <c r="E205" i="23"/>
  <c r="F169" i="23"/>
  <c r="F324" i="23" s="1"/>
  <c r="F206" i="23"/>
  <c r="C209" i="23"/>
  <c r="C172" i="23"/>
  <c r="C327" i="23" s="1"/>
  <c r="F173" i="23"/>
  <c r="F210" i="23"/>
  <c r="B174" i="23"/>
  <c r="B329" i="23" s="1"/>
  <c r="B211" i="23"/>
  <c r="D216" i="23"/>
  <c r="D179" i="23"/>
  <c r="D334" i="23" s="1"/>
  <c r="G174" i="23"/>
  <c r="G329" i="23" s="1"/>
  <c r="G211" i="23"/>
  <c r="F168" i="23"/>
  <c r="F323" i="23" s="1"/>
  <c r="F205" i="23"/>
  <c r="E216" i="23"/>
  <c r="E179" i="23"/>
  <c r="E334" i="23" s="1"/>
  <c r="F179" i="23"/>
  <c r="F334" i="23" s="1"/>
  <c r="F216" i="23"/>
  <c r="B204" i="23"/>
  <c r="B167" i="23"/>
  <c r="B322" i="23" s="1"/>
  <c r="G207" i="23"/>
  <c r="G170" i="23"/>
  <c r="G325" i="23" s="1"/>
  <c r="H166" i="23"/>
  <c r="H321" i="23" s="1"/>
  <c r="H203" i="23"/>
  <c r="C205" i="23"/>
  <c r="C168" i="23"/>
  <c r="C323" i="23" s="1"/>
  <c r="C177" i="23"/>
  <c r="C332" i="23" s="1"/>
  <c r="C214" i="23"/>
  <c r="C167" i="23"/>
  <c r="C322" i="23" s="1"/>
  <c r="C204" i="23"/>
  <c r="D167" i="23"/>
  <c r="D204" i="23"/>
  <c r="B177" i="23"/>
  <c r="B332" i="23" s="1"/>
  <c r="B214" i="23"/>
  <c r="C215" i="23"/>
  <c r="C178" i="23"/>
  <c r="C333" i="23" s="1"/>
  <c r="E169" i="23"/>
  <c r="E324" i="23" s="1"/>
  <c r="E206" i="23"/>
  <c r="B73" i="23"/>
  <c r="E73" i="23"/>
  <c r="G73" i="23"/>
  <c r="C73" i="23"/>
  <c r="D73" i="23"/>
  <c r="F73" i="23"/>
  <c r="B110" i="23"/>
  <c r="B175" i="23" s="1"/>
  <c r="B330" i="23" s="1"/>
  <c r="D110" i="23"/>
  <c r="D175" i="23" s="1"/>
  <c r="D330" i="23" s="1"/>
  <c r="E110" i="23"/>
  <c r="E175" i="23" s="1"/>
  <c r="E330" i="23" s="1"/>
  <c r="G110" i="23"/>
  <c r="G175" i="23" s="1"/>
  <c r="G330" i="23" s="1"/>
  <c r="C110" i="23"/>
  <c r="C212" i="23" s="1"/>
  <c r="F110" i="23"/>
  <c r="F175" i="23" s="1"/>
  <c r="F330" i="23" s="1"/>
  <c r="B230" i="23"/>
  <c r="B348" i="23"/>
  <c r="F230" i="23"/>
  <c r="E230" i="23"/>
  <c r="G230" i="23"/>
  <c r="G348" i="23"/>
  <c r="D230" i="23"/>
  <c r="C348" i="23"/>
  <c r="C230" i="23"/>
  <c r="F259" i="23"/>
  <c r="F537" i="23" s="1"/>
  <c r="D258" i="23"/>
  <c r="D536" i="23" s="1"/>
  <c r="F341" i="23"/>
  <c r="F342" i="23"/>
  <c r="D259" i="23"/>
  <c r="D537" i="23" s="1"/>
  <c r="B349" i="23"/>
  <c r="G270" i="23"/>
  <c r="C263" i="23"/>
  <c r="B265" i="23"/>
  <c r="E270" i="23"/>
  <c r="F257" i="23"/>
  <c r="F535" i="23" s="1"/>
  <c r="G263" i="23"/>
  <c r="E261" i="23"/>
  <c r="E269" i="23"/>
  <c r="C265" i="23"/>
  <c r="G264" i="23"/>
  <c r="C345" i="23"/>
  <c r="C260" i="23"/>
  <c r="C538" i="23" s="1"/>
  <c r="F339" i="23"/>
  <c r="B268" i="23"/>
  <c r="G257" i="23"/>
  <c r="G535" i="23" s="1"/>
  <c r="B347" i="23"/>
  <c r="E352" i="23"/>
  <c r="D270" i="23"/>
  <c r="C270" i="23"/>
  <c r="E262" i="23"/>
  <c r="C261" i="23"/>
  <c r="F270" i="23"/>
  <c r="G340" i="23"/>
  <c r="D257" i="23"/>
  <c r="D535" i="23" s="1"/>
  <c r="D269" i="23"/>
  <c r="E258" i="23"/>
  <c r="E536" i="23" s="1"/>
  <c r="G260" i="23"/>
  <c r="C262" i="23"/>
  <c r="G267" i="23"/>
  <c r="B259" i="23"/>
  <c r="B537" i="23" s="1"/>
  <c r="G268" i="23"/>
  <c r="E257" i="23"/>
  <c r="E535" i="23" s="1"/>
  <c r="C268" i="23"/>
  <c r="B263" i="23"/>
  <c r="G265" i="23"/>
  <c r="C257" i="23"/>
  <c r="C535" i="23" s="1"/>
  <c r="F258" i="23"/>
  <c r="F536" i="23" s="1"/>
  <c r="E259" i="23"/>
  <c r="E537" i="23" s="1"/>
  <c r="C258" i="23"/>
  <c r="C536" i="23" s="1"/>
  <c r="G259" i="23"/>
  <c r="G537" i="23" s="1"/>
  <c r="E268" i="23"/>
  <c r="B264" i="23"/>
  <c r="F267" i="23"/>
  <c r="D267" i="23"/>
  <c r="D265" i="23"/>
  <c r="G350" i="23"/>
  <c r="G352" i="23"/>
  <c r="E265" i="23"/>
  <c r="F268" i="23"/>
  <c r="F263" i="23"/>
  <c r="G269" i="23"/>
  <c r="C259" i="23"/>
  <c r="C537" i="23" s="1"/>
  <c r="E263" i="23"/>
  <c r="F265" i="23"/>
  <c r="D261" i="23"/>
  <c r="E339" i="23"/>
  <c r="F262" i="23"/>
  <c r="C269" i="23"/>
  <c r="G261" i="23"/>
  <c r="B260" i="23"/>
  <c r="E267" i="23"/>
  <c r="G262" i="23"/>
  <c r="G346" i="23"/>
  <c r="D264" i="23"/>
  <c r="E351" i="23"/>
  <c r="E264" i="23"/>
  <c r="C350" i="23"/>
  <c r="D260" i="23"/>
  <c r="D538" i="23" s="1"/>
  <c r="B270" i="23"/>
  <c r="B261" i="23"/>
  <c r="F261" i="23"/>
  <c r="B269" i="23"/>
  <c r="D262" i="23"/>
  <c r="E342" i="23"/>
  <c r="C264" i="23"/>
  <c r="C267" i="23"/>
  <c r="B350" i="23"/>
  <c r="B341" i="23"/>
  <c r="C347" i="23"/>
  <c r="E321" i="23"/>
  <c r="H125" i="23"/>
  <c r="H124" i="23"/>
  <c r="H132" i="23"/>
  <c r="H131" i="23"/>
  <c r="I114" i="23"/>
  <c r="H107" i="23"/>
  <c r="I113" i="23"/>
  <c r="AD36" i="12"/>
  <c r="H113" i="23"/>
  <c r="H106" i="23"/>
  <c r="H121" i="23"/>
  <c r="H119" i="23"/>
  <c r="H120" i="23"/>
  <c r="H103" i="23"/>
  <c r="H114" i="23"/>
  <c r="H102" i="23"/>
  <c r="AD35" i="12"/>
  <c r="F545" i="23" l="1"/>
  <c r="C548" i="23"/>
  <c r="B545" i="23"/>
  <c r="C545" i="23"/>
  <c r="D545" i="23"/>
  <c r="E541" i="23"/>
  <c r="F548" i="23"/>
  <c r="F542" i="23"/>
  <c r="F546" i="23"/>
  <c r="C546" i="23"/>
  <c r="D547" i="23"/>
  <c r="C543" i="23"/>
  <c r="E542" i="23"/>
  <c r="C547" i="23"/>
  <c r="F541" i="23"/>
  <c r="B541" i="23"/>
  <c r="D548" i="23"/>
  <c r="G542" i="23"/>
  <c r="C541" i="23"/>
  <c r="F547" i="23"/>
  <c r="G539" i="23"/>
  <c r="C540" i="23"/>
  <c r="E548" i="23"/>
  <c r="D543" i="23"/>
  <c r="F543" i="23"/>
  <c r="F539" i="23"/>
  <c r="G546" i="23"/>
  <c r="E539" i="23"/>
  <c r="D541" i="23"/>
  <c r="G547" i="23"/>
  <c r="B543" i="23"/>
  <c r="E540" i="23"/>
  <c r="E545" i="23"/>
  <c r="G540" i="23"/>
  <c r="G541" i="23"/>
  <c r="B547" i="23"/>
  <c r="D542" i="23"/>
  <c r="E543" i="23"/>
  <c r="E547" i="23"/>
  <c r="B540" i="23"/>
  <c r="C542" i="23"/>
  <c r="G543" i="23"/>
  <c r="D546" i="23"/>
  <c r="B548" i="23"/>
  <c r="C539" i="23"/>
  <c r="B546" i="23"/>
  <c r="D540" i="23"/>
  <c r="F540" i="23"/>
  <c r="E546" i="23"/>
  <c r="G548" i="23"/>
  <c r="G251" i="23"/>
  <c r="G529" i="23" s="1"/>
  <c r="D239" i="23"/>
  <c r="D517" i="23" s="1"/>
  <c r="F240" i="23"/>
  <c r="F518" i="23" s="1"/>
  <c r="I178" i="23"/>
  <c r="I333" i="23" s="1"/>
  <c r="I215" i="23"/>
  <c r="B242" i="23"/>
  <c r="B520" i="23" s="1"/>
  <c r="B252" i="23"/>
  <c r="B372" i="23" s="1"/>
  <c r="D249" i="23"/>
  <c r="D527" i="23" s="1"/>
  <c r="D243" i="23"/>
  <c r="D521" i="23" s="1"/>
  <c r="D247" i="23"/>
  <c r="D525" i="23" s="1"/>
  <c r="F250" i="23"/>
  <c r="F528" i="23" s="1"/>
  <c r="F244" i="23"/>
  <c r="F522" i="23" s="1"/>
  <c r="E250" i="23"/>
  <c r="E528" i="23" s="1"/>
  <c r="H223" i="23"/>
  <c r="H186" i="23"/>
  <c r="H341" i="23" s="1"/>
  <c r="D388" i="23"/>
  <c r="B378" i="23"/>
  <c r="G378" i="23"/>
  <c r="I269" i="23"/>
  <c r="D383" i="23"/>
  <c r="H209" i="23"/>
  <c r="H172" i="23"/>
  <c r="H327" i="23" s="1"/>
  <c r="H171" i="23"/>
  <c r="H326" i="23" s="1"/>
  <c r="H208" i="23"/>
  <c r="H179" i="23"/>
  <c r="H334" i="23" s="1"/>
  <c r="H216" i="23"/>
  <c r="I270" i="23"/>
  <c r="F389" i="23"/>
  <c r="E380" i="23"/>
  <c r="B387" i="23"/>
  <c r="F380" i="23"/>
  <c r="F384" i="23"/>
  <c r="B382" i="23"/>
  <c r="B377" i="23"/>
  <c r="D240" i="23"/>
  <c r="D518" i="23" s="1"/>
  <c r="B243" i="23"/>
  <c r="B521" i="23" s="1"/>
  <c r="G246" i="23"/>
  <c r="G524" i="23" s="1"/>
  <c r="D252" i="23"/>
  <c r="D530" i="23" s="1"/>
  <c r="I247" i="23"/>
  <c r="I525" i="23" s="1"/>
  <c r="B251" i="23"/>
  <c r="B529" i="23" s="1"/>
  <c r="E241" i="23"/>
  <c r="E519" i="23" s="1"/>
  <c r="B247" i="23"/>
  <c r="B525" i="23" s="1"/>
  <c r="B240" i="23"/>
  <c r="B518" i="23" s="1"/>
  <c r="F245" i="23"/>
  <c r="F523" i="23" s="1"/>
  <c r="D322" i="23"/>
  <c r="H239" i="23"/>
  <c r="H517" i="23" s="1"/>
  <c r="G242" i="23"/>
  <c r="G520" i="23" s="1"/>
  <c r="I248" i="23"/>
  <c r="I526" i="23" s="1"/>
  <c r="D244" i="23"/>
  <c r="D522" i="23" s="1"/>
  <c r="C240" i="23"/>
  <c r="C518" i="23" s="1"/>
  <c r="F241" i="23"/>
  <c r="F519" i="23" s="1"/>
  <c r="H233" i="23"/>
  <c r="H196" i="23"/>
  <c r="H168" i="23"/>
  <c r="H205" i="23"/>
  <c r="I216" i="23"/>
  <c r="I179" i="23"/>
  <c r="H222" i="23"/>
  <c r="H185" i="23"/>
  <c r="H190" i="23"/>
  <c r="H227" i="23"/>
  <c r="H234" i="23"/>
  <c r="H197" i="23"/>
  <c r="H189" i="23"/>
  <c r="H226" i="23"/>
  <c r="H215" i="23"/>
  <c r="H178" i="23"/>
  <c r="H221" i="23"/>
  <c r="H184" i="23"/>
  <c r="H204" i="23"/>
  <c r="H167" i="23"/>
  <c r="F252" i="23"/>
  <c r="F530" i="23" s="1"/>
  <c r="E245" i="23"/>
  <c r="E523" i="23" s="1"/>
  <c r="F249" i="23"/>
  <c r="F527" i="23" s="1"/>
  <c r="B384" i="23"/>
  <c r="B542" i="23"/>
  <c r="G380" i="23"/>
  <c r="G538" i="23"/>
  <c r="G387" i="23"/>
  <c r="G545" i="23"/>
  <c r="B381" i="23"/>
  <c r="B539" i="23"/>
  <c r="B380" i="23"/>
  <c r="B538" i="23"/>
  <c r="D381" i="23"/>
  <c r="D539" i="23"/>
  <c r="B379" i="23"/>
  <c r="C378" i="23"/>
  <c r="D377" i="23"/>
  <c r="B389" i="23"/>
  <c r="D384" i="23"/>
  <c r="E385" i="23"/>
  <c r="E377" i="23"/>
  <c r="D389" i="23"/>
  <c r="D390" i="23"/>
  <c r="C384" i="23"/>
  <c r="F382" i="23"/>
  <c r="C388" i="23"/>
  <c r="C380" i="23"/>
  <c r="E384" i="23"/>
  <c r="B385" i="23"/>
  <c r="F387" i="23"/>
  <c r="C382" i="23"/>
  <c r="E382" i="23"/>
  <c r="B388" i="23"/>
  <c r="E390" i="23"/>
  <c r="E379" i="23"/>
  <c r="F381" i="23"/>
  <c r="E388" i="23"/>
  <c r="E378" i="23"/>
  <c r="C383" i="23"/>
  <c r="C387" i="23"/>
  <c r="C389" i="23"/>
  <c r="B383" i="23"/>
  <c r="D380" i="23"/>
  <c r="C379" i="23"/>
  <c r="D387" i="23"/>
  <c r="C377" i="23"/>
  <c r="C381" i="23"/>
  <c r="E389" i="23"/>
  <c r="F377" i="23"/>
  <c r="D379" i="23"/>
  <c r="F379" i="23"/>
  <c r="F385" i="23"/>
  <c r="D382" i="23"/>
  <c r="F388" i="23"/>
  <c r="C390" i="23"/>
  <c r="F383" i="23"/>
  <c r="E381" i="23"/>
  <c r="B390" i="23"/>
  <c r="E387" i="23"/>
  <c r="E383" i="23"/>
  <c r="D385" i="23"/>
  <c r="F378" i="23"/>
  <c r="F390" i="23"/>
  <c r="C385" i="23"/>
  <c r="D378" i="23"/>
  <c r="G383" i="23"/>
  <c r="G382" i="23"/>
  <c r="G384" i="23"/>
  <c r="G390" i="23"/>
  <c r="G388" i="23"/>
  <c r="G379" i="23"/>
  <c r="G381" i="23"/>
  <c r="G389" i="23"/>
  <c r="G385" i="23"/>
  <c r="G377" i="23"/>
  <c r="E212" i="23"/>
  <c r="E248" i="23" s="1"/>
  <c r="E526" i="23" s="1"/>
  <c r="D212" i="23"/>
  <c r="D248" i="23" s="1"/>
  <c r="B212" i="23"/>
  <c r="B248" i="23" s="1"/>
  <c r="B526" i="23" s="1"/>
  <c r="G212" i="23"/>
  <c r="G248" i="23" s="1"/>
  <c r="G526" i="23" s="1"/>
  <c r="C175" i="23"/>
  <c r="C330" i="23" s="1"/>
  <c r="F212" i="23"/>
  <c r="F248" i="23" s="1"/>
  <c r="G266" i="23"/>
  <c r="F348" i="23"/>
  <c r="F266" i="23"/>
  <c r="E348" i="23"/>
  <c r="E266" i="23"/>
  <c r="D266" i="23"/>
  <c r="D348" i="23"/>
  <c r="B266" i="23"/>
  <c r="C266" i="23"/>
  <c r="B246" i="23"/>
  <c r="C249" i="23"/>
  <c r="C244" i="23"/>
  <c r="G333" i="23"/>
  <c r="G610" i="23"/>
  <c r="B615" i="23"/>
  <c r="F612" i="23"/>
  <c r="C610" i="23"/>
  <c r="E620" i="23"/>
  <c r="D609" i="23"/>
  <c r="G609" i="23"/>
  <c r="E610" i="23"/>
  <c r="F609" i="23"/>
  <c r="C615" i="23"/>
  <c r="C609" i="23"/>
  <c r="E619" i="23"/>
  <c r="B610" i="23"/>
  <c r="C619" i="23"/>
  <c r="F617" i="23"/>
  <c r="F610" i="23"/>
  <c r="D610" i="23"/>
  <c r="E609" i="23"/>
  <c r="B609" i="23"/>
  <c r="C617" i="23"/>
  <c r="B611" i="23"/>
  <c r="D611" i="23"/>
  <c r="F613" i="23"/>
  <c r="F611" i="23"/>
  <c r="C620" i="23"/>
  <c r="G617" i="23"/>
  <c r="C612" i="23"/>
  <c r="F615" i="23"/>
  <c r="F620" i="23"/>
  <c r="D615" i="23"/>
  <c r="D617" i="23"/>
  <c r="G615" i="23"/>
  <c r="D620" i="23"/>
  <c r="G620" i="23"/>
  <c r="E617" i="23"/>
  <c r="B617" i="23"/>
  <c r="B620" i="23"/>
  <c r="C611" i="23"/>
  <c r="B621" i="23"/>
  <c r="G611" i="23"/>
  <c r="E611" i="23"/>
  <c r="E615" i="23"/>
  <c r="E612" i="23"/>
  <c r="D613" i="23"/>
  <c r="G612" i="23"/>
  <c r="E622" i="23"/>
  <c r="B619" i="23"/>
  <c r="F622" i="23"/>
  <c r="B612" i="23"/>
  <c r="F614" i="23"/>
  <c r="D612" i="23"/>
  <c r="E613" i="23"/>
  <c r="E614" i="23"/>
  <c r="C622" i="23"/>
  <c r="G613" i="23"/>
  <c r="D622" i="23"/>
  <c r="B613" i="23"/>
  <c r="C613" i="23"/>
  <c r="B622" i="23"/>
  <c r="G622" i="23"/>
  <c r="E621" i="23"/>
  <c r="G621" i="23"/>
  <c r="G614" i="23"/>
  <c r="C614" i="23"/>
  <c r="B614" i="23"/>
  <c r="D621" i="23"/>
  <c r="F621" i="23"/>
  <c r="D614" i="23"/>
  <c r="C621" i="23"/>
  <c r="C616" i="23"/>
  <c r="G619" i="23"/>
  <c r="F619" i="23"/>
  <c r="F616" i="23"/>
  <c r="E616" i="23"/>
  <c r="B616" i="23"/>
  <c r="D619" i="23"/>
  <c r="C250" i="23"/>
  <c r="C246" i="23"/>
  <c r="D616" i="23"/>
  <c r="G616" i="23"/>
  <c r="F242" i="23"/>
  <c r="E252" i="23"/>
  <c r="C241" i="23"/>
  <c r="E243" i="23"/>
  <c r="E251" i="23"/>
  <c r="D245" i="23"/>
  <c r="E246" i="23"/>
  <c r="F251" i="23"/>
  <c r="B250" i="23"/>
  <c r="D241" i="23"/>
  <c r="G252" i="23"/>
  <c r="B241" i="23"/>
  <c r="C251" i="23"/>
  <c r="B244" i="23"/>
  <c r="B522" i="23" s="1"/>
  <c r="D251" i="23"/>
  <c r="F246" i="23"/>
  <c r="F524" i="23" s="1"/>
  <c r="C239" i="23"/>
  <c r="C243" i="23"/>
  <c r="D242" i="23"/>
  <c r="E239" i="23"/>
  <c r="F328" i="23"/>
  <c r="G239" i="23"/>
  <c r="C245" i="23"/>
  <c r="F239" i="23"/>
  <c r="F517" i="23" s="1"/>
  <c r="D250" i="23"/>
  <c r="D528" i="23" s="1"/>
  <c r="G247" i="23"/>
  <c r="F243" i="23"/>
  <c r="B326" i="23"/>
  <c r="E242" i="23"/>
  <c r="G244" i="23"/>
  <c r="G240" i="23"/>
  <c r="G245" i="23"/>
  <c r="E249" i="23"/>
  <c r="C252" i="23"/>
  <c r="D332" i="23"/>
  <c r="G249" i="23"/>
  <c r="C247" i="23"/>
  <c r="D246" i="23"/>
  <c r="D524" i="23" s="1"/>
  <c r="F247" i="23"/>
  <c r="F321" i="23"/>
  <c r="E240" i="23"/>
  <c r="G250" i="23"/>
  <c r="B249" i="23"/>
  <c r="E247" i="23"/>
  <c r="G243" i="23"/>
  <c r="C242" i="23"/>
  <c r="B245" i="23"/>
  <c r="E244" i="23"/>
  <c r="G241" i="23"/>
  <c r="B239" i="23"/>
  <c r="AB40" i="12"/>
  <c r="Z40" i="12"/>
  <c r="Y34" i="12"/>
  <c r="AA40" i="12"/>
  <c r="X34" i="12"/>
  <c r="AB33" i="12"/>
  <c r="W33" i="12"/>
  <c r="AA35" i="12"/>
  <c r="X39" i="12"/>
  <c r="AA28" i="12"/>
  <c r="AB31" i="12"/>
  <c r="X35" i="12"/>
  <c r="W30" i="12"/>
  <c r="AA34" i="12"/>
  <c r="AA29" i="12"/>
  <c r="X31" i="12"/>
  <c r="Y40" i="12"/>
  <c r="W40" i="12"/>
  <c r="Z35" i="12"/>
  <c r="W27" i="12"/>
  <c r="W29" i="12"/>
  <c r="W39" i="12"/>
  <c r="X29" i="12"/>
  <c r="AB35" i="12"/>
  <c r="Z28" i="12"/>
  <c r="W32" i="12"/>
  <c r="AB37" i="12"/>
  <c r="AA30" i="12"/>
  <c r="AA31" i="12"/>
  <c r="AA38" i="12"/>
  <c r="Z32" i="12"/>
  <c r="AA33" i="12"/>
  <c r="Y35" i="12"/>
  <c r="AB32" i="12"/>
  <c r="Z37" i="12"/>
  <c r="AB39" i="12"/>
  <c r="W31" i="12"/>
  <c r="Z34" i="12"/>
  <c r="X33" i="12"/>
  <c r="X37" i="12"/>
  <c r="Z33" i="12"/>
  <c r="Y27" i="12"/>
  <c r="Y38" i="12"/>
  <c r="W38" i="12"/>
  <c r="Z39" i="12"/>
  <c r="X38" i="12"/>
  <c r="X30" i="12"/>
  <c r="W34" i="12"/>
  <c r="Y29" i="12"/>
  <c r="X40" i="12"/>
  <c r="Y30" i="12"/>
  <c r="Z27" i="12"/>
  <c r="W37" i="12"/>
  <c r="Y39" i="12"/>
  <c r="Y32" i="12"/>
  <c r="W35" i="12"/>
  <c r="AA37" i="12"/>
  <c r="AB28" i="12"/>
  <c r="X28" i="12"/>
  <c r="Z30" i="12"/>
  <c r="AA39" i="12"/>
  <c r="AA27" i="12"/>
  <c r="Z31" i="12"/>
  <c r="AB34" i="12"/>
  <c r="AB38" i="12"/>
  <c r="AA32" i="12"/>
  <c r="Y33" i="12"/>
  <c r="X27" i="12"/>
  <c r="Y31" i="12"/>
  <c r="AB29" i="12"/>
  <c r="X32" i="12"/>
  <c r="AB27" i="12"/>
  <c r="W28" i="12"/>
  <c r="Z29" i="12"/>
  <c r="AB30" i="12"/>
  <c r="Z38" i="12"/>
  <c r="Y37" i="12"/>
  <c r="Y28" i="12"/>
  <c r="D544" i="23" l="1"/>
  <c r="B544" i="23"/>
  <c r="G544" i="23"/>
  <c r="F544" i="23"/>
  <c r="C544" i="23"/>
  <c r="I548" i="23"/>
  <c r="I547" i="23"/>
  <c r="E544" i="23"/>
  <c r="G371" i="23"/>
  <c r="D359" i="23"/>
  <c r="F360" i="23"/>
  <c r="I251" i="23"/>
  <c r="B362" i="23"/>
  <c r="B530" i="23"/>
  <c r="F364" i="23"/>
  <c r="D369" i="23"/>
  <c r="D363" i="23"/>
  <c r="F370" i="23"/>
  <c r="D367" i="23"/>
  <c r="E370" i="23"/>
  <c r="H259" i="23"/>
  <c r="B371" i="23"/>
  <c r="H244" i="23"/>
  <c r="H364" i="23" s="1"/>
  <c r="I389" i="23"/>
  <c r="H252" i="23"/>
  <c r="I390" i="23"/>
  <c r="H245" i="23"/>
  <c r="G362" i="23"/>
  <c r="B363" i="23"/>
  <c r="D360" i="23"/>
  <c r="G366" i="23"/>
  <c r="D372" i="23"/>
  <c r="I367" i="23"/>
  <c r="I368" i="23"/>
  <c r="E361" i="23"/>
  <c r="F361" i="23"/>
  <c r="B360" i="23"/>
  <c r="C360" i="23"/>
  <c r="E365" i="23"/>
  <c r="D364" i="23"/>
  <c r="B367" i="23"/>
  <c r="F369" i="23"/>
  <c r="F365" i="23"/>
  <c r="H359" i="23"/>
  <c r="H339" i="23"/>
  <c r="H257" i="23"/>
  <c r="H351" i="23"/>
  <c r="H269" i="23"/>
  <c r="H323" i="23"/>
  <c r="H241" i="23"/>
  <c r="H345" i="23"/>
  <c r="H263" i="23"/>
  <c r="I334" i="23"/>
  <c r="I252" i="23"/>
  <c r="H352" i="23"/>
  <c r="H270" i="23"/>
  <c r="H344" i="23"/>
  <c r="H262" i="23"/>
  <c r="H322" i="23"/>
  <c r="H240" i="23"/>
  <c r="H333" i="23"/>
  <c r="H251" i="23"/>
  <c r="H340" i="23"/>
  <c r="H258" i="23"/>
  <c r="F372" i="23"/>
  <c r="E360" i="23"/>
  <c r="E518" i="23"/>
  <c r="B370" i="23"/>
  <c r="B528" i="23"/>
  <c r="C364" i="23"/>
  <c r="C522" i="23"/>
  <c r="G370" i="23"/>
  <c r="G528" i="23"/>
  <c r="C372" i="23"/>
  <c r="C530" i="23"/>
  <c r="G367" i="23"/>
  <c r="G525" i="23"/>
  <c r="C363" i="23"/>
  <c r="C521" i="23"/>
  <c r="D361" i="23"/>
  <c r="D519" i="23"/>
  <c r="E372" i="23"/>
  <c r="E530" i="23"/>
  <c r="B369" i="23"/>
  <c r="B527" i="23"/>
  <c r="F363" i="23"/>
  <c r="F521" i="23"/>
  <c r="D362" i="23"/>
  <c r="D520" i="23"/>
  <c r="G372" i="23"/>
  <c r="G530" i="23"/>
  <c r="C361" i="23"/>
  <c r="C519" i="23"/>
  <c r="D386" i="23"/>
  <c r="G361" i="23"/>
  <c r="G519" i="23"/>
  <c r="E369" i="23"/>
  <c r="E527" i="23"/>
  <c r="C359" i="23"/>
  <c r="C517" i="23"/>
  <c r="F362" i="23"/>
  <c r="F520" i="23"/>
  <c r="D368" i="23"/>
  <c r="D526" i="23"/>
  <c r="B359" i="23"/>
  <c r="B517" i="23"/>
  <c r="E367" i="23"/>
  <c r="E525" i="23"/>
  <c r="G369" i="23"/>
  <c r="G527" i="23"/>
  <c r="E359" i="23"/>
  <c r="E517" i="23"/>
  <c r="B361" i="23"/>
  <c r="B519" i="23"/>
  <c r="E363" i="23"/>
  <c r="E521" i="23"/>
  <c r="G363" i="23"/>
  <c r="G521" i="23"/>
  <c r="C367" i="23"/>
  <c r="C525" i="23"/>
  <c r="E362" i="23"/>
  <c r="E520" i="23"/>
  <c r="C371" i="23"/>
  <c r="C529" i="23"/>
  <c r="E371" i="23"/>
  <c r="E529" i="23"/>
  <c r="C370" i="23"/>
  <c r="C528" i="23"/>
  <c r="F368" i="23"/>
  <c r="F526" i="23"/>
  <c r="C362" i="23"/>
  <c r="C520" i="23"/>
  <c r="G364" i="23"/>
  <c r="G522" i="23"/>
  <c r="D365" i="23"/>
  <c r="D523" i="23"/>
  <c r="C366" i="23"/>
  <c r="C524" i="23"/>
  <c r="B365" i="23"/>
  <c r="B523" i="23"/>
  <c r="F367" i="23"/>
  <c r="F525" i="23"/>
  <c r="G360" i="23"/>
  <c r="G518" i="23"/>
  <c r="C365" i="23"/>
  <c r="C523" i="23"/>
  <c r="D371" i="23"/>
  <c r="D529" i="23"/>
  <c r="E366" i="23"/>
  <c r="E524" i="23"/>
  <c r="B366" i="23"/>
  <c r="B524" i="23"/>
  <c r="E364" i="23"/>
  <c r="E522" i="23"/>
  <c r="G365" i="23"/>
  <c r="G523" i="23"/>
  <c r="F371" i="23"/>
  <c r="F529" i="23"/>
  <c r="C369" i="23"/>
  <c r="C527" i="23"/>
  <c r="F386" i="23"/>
  <c r="G359" i="23"/>
  <c r="G517" i="23"/>
  <c r="D370" i="23"/>
  <c r="E386" i="23"/>
  <c r="B386" i="23"/>
  <c r="C386" i="23"/>
  <c r="G386" i="23"/>
  <c r="F359" i="23"/>
  <c r="D366" i="23"/>
  <c r="F366" i="23"/>
  <c r="B368" i="23"/>
  <c r="G368" i="23"/>
  <c r="B364" i="23"/>
  <c r="E368" i="23"/>
  <c r="C248" i="23"/>
  <c r="C526" i="23" s="1"/>
  <c r="B618" i="23"/>
  <c r="G618" i="23"/>
  <c r="F618" i="23"/>
  <c r="D618" i="23"/>
  <c r="C618" i="23"/>
  <c r="E618" i="23"/>
  <c r="B596" i="23"/>
  <c r="D596" i="23"/>
  <c r="D597" i="23"/>
  <c r="F595" i="23"/>
  <c r="G603" i="23"/>
  <c r="E597" i="23"/>
  <c r="C603" i="23"/>
  <c r="C594" i="23"/>
  <c r="C598" i="23"/>
  <c r="C596" i="23"/>
  <c r="B598" i="23"/>
  <c r="B595" i="23"/>
  <c r="B603" i="23"/>
  <c r="C597" i="23"/>
  <c r="E598" i="23"/>
  <c r="C599" i="23"/>
  <c r="F596" i="23"/>
  <c r="D595" i="23"/>
  <c r="C595" i="23"/>
  <c r="F598" i="23"/>
  <c r="D594" i="23"/>
  <c r="E596" i="23"/>
  <c r="D598" i="23"/>
  <c r="G599" i="23"/>
  <c r="F603" i="23"/>
  <c r="D603" i="23"/>
  <c r="G598" i="23"/>
  <c r="E603" i="23"/>
  <c r="E593" i="23"/>
  <c r="D602" i="23"/>
  <c r="F604" i="23"/>
  <c r="C591" i="23"/>
  <c r="C604" i="23"/>
  <c r="G597" i="23"/>
  <c r="B599" i="23"/>
  <c r="B597" i="23"/>
  <c r="F601" i="23"/>
  <c r="F594" i="23"/>
  <c r="F597" i="23"/>
  <c r="C602" i="23"/>
  <c r="G602" i="23"/>
  <c r="E594" i="23"/>
  <c r="G594" i="23"/>
  <c r="B594" i="23"/>
  <c r="B602" i="23"/>
  <c r="G592" i="23"/>
  <c r="G593" i="23"/>
  <c r="B593" i="23"/>
  <c r="E599" i="23"/>
  <c r="C592" i="23"/>
  <c r="B601" i="23"/>
  <c r="G604" i="23"/>
  <c r="G595" i="23"/>
  <c r="D601" i="23"/>
  <c r="D604" i="23"/>
  <c r="C593" i="23"/>
  <c r="B592" i="23"/>
  <c r="E604" i="23"/>
  <c r="B604" i="23"/>
  <c r="F593" i="23"/>
  <c r="D592" i="23"/>
  <c r="E595" i="23"/>
  <c r="E601" i="23"/>
  <c r="E602" i="23"/>
  <c r="F592" i="23"/>
  <c r="C601" i="23"/>
  <c r="G596" i="23"/>
  <c r="D593" i="23"/>
  <c r="F602" i="23"/>
  <c r="D599" i="23"/>
  <c r="F599" i="23"/>
  <c r="E592" i="23"/>
  <c r="G601" i="23"/>
  <c r="F591" i="23"/>
  <c r="B591" i="23"/>
  <c r="E591" i="23"/>
  <c r="D591" i="23"/>
  <c r="G591" i="23"/>
  <c r="Z4" i="12"/>
  <c r="AB5" i="12"/>
  <c r="Z8" i="12"/>
  <c r="Y8" i="12"/>
  <c r="Y6" i="12"/>
  <c r="AB11" i="12"/>
  <c r="Z5" i="12"/>
  <c r="Z11" i="12"/>
  <c r="X15" i="12"/>
  <c r="Y14" i="12"/>
  <c r="AA7" i="12"/>
  <c r="AA14" i="12"/>
  <c r="X7" i="12"/>
  <c r="AB7" i="12"/>
  <c r="W13" i="12"/>
  <c r="X4" i="12"/>
  <c r="AA15" i="12"/>
  <c r="AB9" i="12"/>
  <c r="AC3" i="12"/>
  <c r="Y36" i="12"/>
  <c r="W10" i="12"/>
  <c r="Z6" i="12"/>
  <c r="AA4" i="12"/>
  <c r="Z10" i="12"/>
  <c r="Y9" i="12"/>
  <c r="AB10" i="12"/>
  <c r="W16" i="12"/>
  <c r="AA8" i="12"/>
  <c r="Z36" i="12"/>
  <c r="Y12" i="12"/>
  <c r="AA16" i="12"/>
  <c r="X14" i="12"/>
  <c r="Z3" i="12"/>
  <c r="AA11" i="12"/>
  <c r="AD11" i="12"/>
  <c r="AB12" i="12"/>
  <c r="W6" i="12"/>
  <c r="X13" i="12"/>
  <c r="X8" i="12"/>
  <c r="Y16" i="12"/>
  <c r="AA3" i="12"/>
  <c r="AA6" i="12"/>
  <c r="AB8" i="12"/>
  <c r="AB36" i="12"/>
  <c r="X16" i="12"/>
  <c r="Z7" i="12"/>
  <c r="Y5" i="12"/>
  <c r="Y3" i="12"/>
  <c r="AA12" i="12"/>
  <c r="AD39" i="12"/>
  <c r="Z16" i="12"/>
  <c r="W5" i="12"/>
  <c r="X5" i="12"/>
  <c r="Y13" i="12"/>
  <c r="X6" i="12"/>
  <c r="Z15" i="12"/>
  <c r="Z9" i="12"/>
  <c r="Z14" i="12"/>
  <c r="X11" i="12"/>
  <c r="AB3" i="12"/>
  <c r="AB6" i="12"/>
  <c r="AB13" i="12"/>
  <c r="AA13" i="12"/>
  <c r="AA10" i="12"/>
  <c r="W36" i="12"/>
  <c r="AB4" i="12"/>
  <c r="X10" i="12"/>
  <c r="Z12" i="12"/>
  <c r="X36" i="12"/>
  <c r="Y15" i="12"/>
  <c r="AA9" i="12"/>
  <c r="AD12" i="12"/>
  <c r="W9" i="12"/>
  <c r="Z13" i="12"/>
  <c r="W3" i="12"/>
  <c r="AB16" i="12"/>
  <c r="Y4" i="12"/>
  <c r="Y11" i="12"/>
  <c r="AA36" i="12"/>
  <c r="AA5" i="12"/>
  <c r="W14" i="12"/>
  <c r="W11" i="12"/>
  <c r="Y10" i="12"/>
  <c r="X3" i="12"/>
  <c r="W4" i="12"/>
  <c r="Y7" i="12"/>
  <c r="W8" i="12"/>
  <c r="AD40" i="12"/>
  <c r="W7" i="12"/>
  <c r="AB14" i="12"/>
  <c r="X9" i="12"/>
  <c r="W15" i="12"/>
  <c r="W12" i="12"/>
  <c r="AB15" i="12"/>
  <c r="AB63" i="12" l="1"/>
  <c r="X55" i="12"/>
  <c r="AB61" i="12"/>
  <c r="X65" i="12"/>
  <c r="AA67" i="12"/>
  <c r="W56" i="12"/>
  <c r="AA56" i="12"/>
  <c r="X60" i="12"/>
  <c r="X63" i="12"/>
  <c r="AB57" i="12"/>
  <c r="Z68" i="12"/>
  <c r="W65" i="12"/>
  <c r="Y65" i="12"/>
  <c r="AA58" i="12"/>
  <c r="AA65" i="12"/>
  <c r="AB62" i="12"/>
  <c r="Y57" i="12"/>
  <c r="AA60" i="12"/>
  <c r="AB64" i="12"/>
  <c r="Z62" i="12"/>
  <c r="AB66" i="12"/>
  <c r="X62" i="12"/>
  <c r="AA57" i="12"/>
  <c r="Z67" i="12"/>
  <c r="X68" i="12"/>
  <c r="AB58" i="12"/>
  <c r="W63" i="12"/>
  <c r="X57" i="12"/>
  <c r="AB68" i="12"/>
  <c r="Y56" i="12"/>
  <c r="Y63" i="12"/>
  <c r="AA59" i="12"/>
  <c r="W57" i="12"/>
  <c r="X58" i="12"/>
  <c r="Z57" i="12"/>
  <c r="X61" i="12"/>
  <c r="Z55" i="12"/>
  <c r="Y68" i="12"/>
  <c r="Y67" i="12"/>
  <c r="Z59" i="12"/>
  <c r="AB55" i="12"/>
  <c r="Z65" i="12"/>
  <c r="W61" i="12"/>
  <c r="AA62" i="12"/>
  <c r="Y64" i="12"/>
  <c r="Z58" i="12"/>
  <c r="Y58" i="12"/>
  <c r="AA66" i="12"/>
  <c r="Y59" i="12"/>
  <c r="AA55" i="12"/>
  <c r="Z60" i="12"/>
  <c r="W68" i="12"/>
  <c r="Y62" i="12"/>
  <c r="Y66" i="12"/>
  <c r="Y60" i="12"/>
  <c r="W67" i="12"/>
  <c r="AB60" i="12"/>
  <c r="AB65" i="12"/>
  <c r="W58" i="12"/>
  <c r="X56" i="12"/>
  <c r="AA64" i="12"/>
  <c r="X59" i="12"/>
  <c r="W64" i="12"/>
  <c r="X67" i="12"/>
  <c r="AA63" i="12"/>
  <c r="AD63" i="12"/>
  <c r="Y61" i="12"/>
  <c r="W59" i="12"/>
  <c r="W66" i="12"/>
  <c r="Z64" i="12"/>
  <c r="X66" i="12"/>
  <c r="Z56" i="12"/>
  <c r="AB59" i="12"/>
  <c r="Z61" i="12"/>
  <c r="AA61" i="12"/>
  <c r="W60" i="12"/>
  <c r="Z66" i="12"/>
  <c r="AB56" i="12"/>
  <c r="AD64" i="12"/>
  <c r="AA68" i="12"/>
  <c r="Z63" i="12"/>
  <c r="W62" i="12"/>
  <c r="AB67" i="12"/>
  <c r="Y55" i="12"/>
  <c r="W55" i="12"/>
  <c r="I529" i="23"/>
  <c r="I371" i="23"/>
  <c r="H537" i="23"/>
  <c r="H379" i="23"/>
  <c r="H522" i="23"/>
  <c r="H530" i="23"/>
  <c r="H372" i="23"/>
  <c r="H523" i="23"/>
  <c r="H365" i="23"/>
  <c r="H535" i="23"/>
  <c r="H377" i="23"/>
  <c r="H529" i="23"/>
  <c r="H371" i="23"/>
  <c r="I372" i="23"/>
  <c r="I530" i="23"/>
  <c r="H383" i="23"/>
  <c r="H541" i="23"/>
  <c r="H548" i="23"/>
  <c r="H390" i="23"/>
  <c r="H519" i="23"/>
  <c r="H361" i="23"/>
  <c r="H382" i="23"/>
  <c r="H540" i="23"/>
  <c r="H360" i="23"/>
  <c r="H518" i="23"/>
  <c r="H389" i="23"/>
  <c r="H547" i="23"/>
  <c r="H536" i="23"/>
  <c r="H378" i="23"/>
  <c r="C368" i="23"/>
  <c r="G600" i="23"/>
  <c r="D600" i="23"/>
  <c r="C600" i="23"/>
  <c r="E600" i="23"/>
  <c r="B600" i="23"/>
  <c r="F600" i="23"/>
  <c r="AC27" i="12"/>
  <c r="AC15" i="12"/>
  <c r="AC32" i="12"/>
  <c r="AC16" i="12"/>
  <c r="AC9" i="12"/>
  <c r="AC40" i="12"/>
  <c r="AD15" i="12"/>
  <c r="AC33" i="12"/>
  <c r="AD16" i="12"/>
  <c r="AC28" i="12"/>
  <c r="AC39" i="12"/>
  <c r="AC8" i="12"/>
  <c r="X12" i="12"/>
  <c r="AC4" i="12"/>
  <c r="AC29" i="12"/>
  <c r="AC5" i="12"/>
  <c r="AC61" i="12" l="1"/>
  <c r="AD68" i="12"/>
  <c r="AC56" i="12"/>
  <c r="AC60" i="12"/>
  <c r="X64" i="12"/>
  <c r="AC68" i="12"/>
  <c r="AD67" i="12"/>
  <c r="AC67" i="12"/>
  <c r="AC57" i="12"/>
  <c r="AC55" i="12"/>
</calcChain>
</file>

<file path=xl/sharedStrings.xml><?xml version="1.0" encoding="utf-8"?>
<sst xmlns="http://schemas.openxmlformats.org/spreadsheetml/2006/main" count="3249" uniqueCount="760">
  <si>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</si>
  <si>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</si>
  <si>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</si>
  <si>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</si>
  <si>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</si>
  <si>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</si>
  <si>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</si>
  <si>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</si>
  <si>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</si>
  <si>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</si>
  <si>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</si>
  <si>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</si>
  <si>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</si>
  <si>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</si>
  <si>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</si>
  <si>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</si>
  <si>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</si>
  <si>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</si>
  <si>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</si>
  <si>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</si>
  <si>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</si>
  <si>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</si>
  <si>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</si>
  <si>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</si>
  <si>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</si>
  <si>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Stat</t>
  </si>
  <si>
    <t>Skill</t>
  </si>
  <si>
    <t>Target</t>
  </si>
  <si>
    <t>Level</t>
  </si>
  <si>
    <t>Defense</t>
  </si>
  <si>
    <t>Evasion</t>
  </si>
  <si>
    <t>Defbuffed:</t>
  </si>
  <si>
    <t>Level Corr:</t>
  </si>
  <si>
    <t>Agi</t>
  </si>
  <si>
    <t>None</t>
  </si>
  <si>
    <t>Aesir</t>
  </si>
  <si>
    <t>Add</t>
  </si>
  <si>
    <t>Cap</t>
  </si>
  <si>
    <t>Weapons</t>
  </si>
  <si>
    <t>Dmg</t>
  </si>
  <si>
    <t>Dly</t>
  </si>
  <si>
    <t>Earrings</t>
  </si>
  <si>
    <t>Rings</t>
  </si>
  <si>
    <t>Earring</t>
  </si>
  <si>
    <t>Ring</t>
  </si>
  <si>
    <t>Weapon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</si>
  <si>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</si>
  <si>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</si>
  <si>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</si>
  <si>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</si>
  <si>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</si>
  <si>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</si>
  <si>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</si>
  <si>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</si>
  <si>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</si>
  <si>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</si>
  <si>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</si>
  <si>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</si>
  <si>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</si>
  <si>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</si>
  <si>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</si>
  <si>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</si>
  <si>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</si>
  <si>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</si>
  <si>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</si>
  <si>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Red C Bun</t>
  </si>
  <si>
    <t>Yellow C Bun</t>
  </si>
  <si>
    <t>Yellow C Bun +1</t>
  </si>
  <si>
    <t>Atmas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</si>
  <si>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</si>
  <si>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</si>
  <si>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</si>
  <si>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</si>
  <si>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</si>
  <si>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</si>
  <si>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</si>
  <si>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</si>
  <si>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C.Dmg</t>
  </si>
  <si>
    <t>C.Rate</t>
  </si>
  <si>
    <t>Baying Moon</t>
  </si>
  <si>
    <t>Grip</t>
  </si>
  <si>
    <t>Carbonara</t>
  </si>
  <si>
    <t>March 1</t>
  </si>
  <si>
    <t>March 2</t>
  </si>
  <si>
    <t>TA</t>
  </si>
  <si>
    <t>Alpha &amp; Omega</t>
  </si>
  <si>
    <t>Set 1</t>
  </si>
  <si>
    <t>Set 2</t>
  </si>
  <si>
    <t>Toggle</t>
  </si>
  <si>
    <t>Zelus Tiara</t>
  </si>
  <si>
    <t>Twilight</t>
  </si>
  <si>
    <t>WSDmg</t>
  </si>
  <si>
    <t>Scorpion Queen</t>
  </si>
  <si>
    <t>Smiting Blow</t>
  </si>
  <si>
    <t>Griffon's Claw</t>
  </si>
  <si>
    <t>Plaguebringer</t>
  </si>
  <si>
    <t>Bukhis</t>
  </si>
  <si>
    <t>General</t>
  </si>
  <si>
    <t>Abyssea</t>
  </si>
  <si>
    <t>In Abyssea?</t>
  </si>
  <si>
    <t>Cruor Buff Value</t>
  </si>
  <si>
    <t>Subjob</t>
  </si>
  <si>
    <t>Atma1</t>
  </si>
  <si>
    <t>Final Def</t>
  </si>
  <si>
    <t>Atma2</t>
  </si>
  <si>
    <t>Atma3</t>
  </si>
  <si>
    <t>Apocalypse</t>
  </si>
  <si>
    <t>Crit</t>
  </si>
  <si>
    <t>Stalwart's</t>
  </si>
  <si>
    <t>Mobs</t>
  </si>
  <si>
    <t>Fodder</t>
  </si>
  <si>
    <t>Subjobs</t>
  </si>
  <si>
    <t>Nin</t>
  </si>
  <si>
    <t>Dnc</t>
  </si>
  <si>
    <t>Races</t>
  </si>
  <si>
    <t>Mithra</t>
  </si>
  <si>
    <t>Galka</t>
  </si>
  <si>
    <t>Elvaan</t>
  </si>
  <si>
    <t>Tarutaru</t>
  </si>
  <si>
    <t>HP</t>
  </si>
  <si>
    <t>Int</t>
  </si>
  <si>
    <t>Mnd</t>
  </si>
  <si>
    <t>Chr</t>
  </si>
  <si>
    <t>Base+M</t>
  </si>
  <si>
    <t>Atma 1</t>
  </si>
  <si>
    <t>Total 1</t>
  </si>
  <si>
    <t>Atma 2</t>
  </si>
  <si>
    <t>Total 2</t>
  </si>
  <si>
    <t>Mult.</t>
  </si>
  <si>
    <t>Att Bonus</t>
  </si>
  <si>
    <t>Acc Bonus</t>
  </si>
  <si>
    <t>TPBonus</t>
  </si>
  <si>
    <t>Zanshin</t>
  </si>
  <si>
    <t>Final Stats</t>
  </si>
  <si>
    <t>Calculations</t>
  </si>
  <si>
    <t>Grades</t>
  </si>
  <si>
    <t>D</t>
  </si>
  <si>
    <t>C</t>
  </si>
  <si>
    <t>B</t>
  </si>
  <si>
    <t>E</t>
  </si>
  <si>
    <t>F</t>
  </si>
  <si>
    <t>G</t>
  </si>
  <si>
    <t>A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</si>
  <si>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</si>
  <si>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</si>
  <si>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</si>
  <si>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</si>
  <si>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</si>
  <si>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</si>
  <si>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</si>
  <si>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</si>
  <si>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</si>
  <si>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</si>
  <si>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</si>
  <si>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</si>
  <si>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</si>
  <si>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</si>
  <si>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</si>
  <si>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</si>
  <si>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</si>
  <si>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</si>
  <si>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</si>
  <si>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</si>
  <si>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 Rates</t>
  </si>
  <si>
    <t>HPBase</t>
  </si>
  <si>
    <t>HP60</t>
  </si>
  <si>
    <t>HP30+</t>
  </si>
  <si>
    <t>HP75</t>
  </si>
  <si>
    <t>HP99</t>
  </si>
  <si>
    <t>StatBase</t>
  </si>
  <si>
    <t>Stat60</t>
  </si>
  <si>
    <t>Stat75</t>
  </si>
  <si>
    <t>Stat99</t>
  </si>
  <si>
    <t>Bonus</t>
  </si>
  <si>
    <t>Offhand</t>
  </si>
  <si>
    <t>CTP</t>
  </si>
  <si>
    <t>Weaponskills</t>
  </si>
  <si>
    <t>QA</t>
  </si>
  <si>
    <t>Stardiver</t>
  </si>
  <si>
    <t>WType</t>
  </si>
  <si>
    <t>Voidwatch</t>
  </si>
  <si>
    <t>N/A</t>
  </si>
  <si>
    <t>Pil</t>
  </si>
  <si>
    <t>Att%</t>
  </si>
  <si>
    <t>Qilin</t>
  </si>
  <si>
    <t>Embrava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</si>
  <si>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</si>
  <si>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</si>
  <si>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</si>
  <si>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</si>
  <si>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</si>
  <si>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</si>
  <si>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</si>
  <si>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</si>
  <si>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</si>
  <si>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Att1</t>
  </si>
  <si>
    <t>Att2</t>
  </si>
  <si>
    <t>Crit0</t>
  </si>
  <si>
    <t>Crit1</t>
  </si>
  <si>
    <t>Crit2</t>
  </si>
  <si>
    <t>Job Buffs</t>
  </si>
  <si>
    <t>Other Player Buffs</t>
  </si>
  <si>
    <t>Mage</t>
  </si>
  <si>
    <t>Whm</t>
  </si>
  <si>
    <t>Enhancing Skill</t>
  </si>
  <si>
    <t>Boost-Str</t>
  </si>
  <si>
    <t>Boost-Dex</t>
  </si>
  <si>
    <t>Brd</t>
  </si>
  <si>
    <t>Soul Voice</t>
  </si>
  <si>
    <t>March Bonus (0-5)</t>
  </si>
  <si>
    <t>Minuet Bonus (0-5)</t>
  </si>
  <si>
    <t>Minuet Merit (0-5)</t>
  </si>
  <si>
    <t>Area Buffs</t>
  </si>
  <si>
    <t>Minuet 5</t>
  </si>
  <si>
    <t>Minuet 4</t>
  </si>
  <si>
    <t>AF3+2 Set Pieces</t>
  </si>
  <si>
    <t>Smn</t>
  </si>
  <si>
    <t>Summoning Skill</t>
  </si>
  <si>
    <t>Ifrit Enfire</t>
  </si>
  <si>
    <t>Sch</t>
  </si>
  <si>
    <t>Atmacite 1</t>
  </si>
  <si>
    <t>Atmacite 2</t>
  </si>
  <si>
    <t>Atmacite 3</t>
  </si>
  <si>
    <t>Cor</t>
  </si>
  <si>
    <t>Cruor 1</t>
  </si>
  <si>
    <t>Cruor 2</t>
  </si>
  <si>
    <t>Def Down %</t>
  </si>
  <si>
    <t>Boost Potency</t>
  </si>
  <si>
    <t>Brd AF3 Potency</t>
  </si>
  <si>
    <t>AM3</t>
  </si>
  <si>
    <t>AM3-2</t>
  </si>
  <si>
    <t>AM3-3</t>
  </si>
  <si>
    <t>OAx</t>
  </si>
  <si>
    <t>OA2</t>
  </si>
  <si>
    <t>OA3</t>
  </si>
  <si>
    <t>Wanion</t>
  </si>
  <si>
    <t>Madrigal Bonus (0-5)</t>
  </si>
  <si>
    <t>Madrigal 2</t>
  </si>
  <si>
    <t>Madrigal 1</t>
  </si>
  <si>
    <t>Madrigal Merit (0-5)</t>
  </si>
  <si>
    <t>Hydra Rng</t>
  </si>
  <si>
    <t>Hydra Mnk</t>
  </si>
  <si>
    <t>Hydra Drg</t>
  </si>
  <si>
    <t>Bluffalo EM</t>
  </si>
  <si>
    <t>CritDef</t>
  </si>
  <si>
    <t>CritRate</t>
  </si>
  <si>
    <t>Crit Def Bonus</t>
  </si>
  <si>
    <t>Crit Rate Mod</t>
  </si>
  <si>
    <t>DC Nightmare mob</t>
  </si>
  <si>
    <t>Ig-Alima</t>
  </si>
  <si>
    <t>fTP</t>
  </si>
  <si>
    <t>DfTP</t>
  </si>
  <si>
    <t>Arrabbiata</t>
  </si>
  <si>
    <t>Moepapa</t>
  </si>
  <si>
    <t>Pieces</t>
  </si>
  <si>
    <t>Gear sets</t>
  </si>
  <si>
    <t>Mod</t>
  </si>
  <si>
    <t>Custom</t>
  </si>
  <si>
    <t>Level Correct</t>
  </si>
  <si>
    <t>Yes</t>
  </si>
  <si>
    <t>Chapuli (102)</t>
  </si>
  <si>
    <t>No</t>
  </si>
  <si>
    <t>Chapuli (100)</t>
  </si>
  <si>
    <t>Yaoyotl</t>
  </si>
  <si>
    <t>Gear2</t>
  </si>
  <si>
    <t>KA</t>
  </si>
  <si>
    <t>DW</t>
  </si>
  <si>
    <t>Delve Fodder</t>
  </si>
  <si>
    <t>Jobs</t>
  </si>
  <si>
    <t>Blm</t>
  </si>
  <si>
    <t>Geo</t>
  </si>
  <si>
    <t>Rdm</t>
  </si>
  <si>
    <t>MAB</t>
  </si>
  <si>
    <t>S3</t>
  </si>
  <si>
    <t>Affinity</t>
  </si>
  <si>
    <t>Weather</t>
  </si>
  <si>
    <t>SpellSet1Gear</t>
  </si>
  <si>
    <t>SpellSet2Gear</t>
  </si>
  <si>
    <t>Stone</t>
  </si>
  <si>
    <t>I</t>
  </si>
  <si>
    <t>II</t>
  </si>
  <si>
    <t>III</t>
  </si>
  <si>
    <t>IV</t>
  </si>
  <si>
    <t>V</t>
  </si>
  <si>
    <t>Ga 1</t>
  </si>
  <si>
    <t>Ga 2</t>
  </si>
  <si>
    <t>Ga 3</t>
  </si>
  <si>
    <t>Ja</t>
  </si>
  <si>
    <t>AM</t>
  </si>
  <si>
    <t>Ra</t>
  </si>
  <si>
    <t>Water</t>
  </si>
  <si>
    <t>Air</t>
  </si>
  <si>
    <t>Fire</t>
  </si>
  <si>
    <t>Ice</t>
  </si>
  <si>
    <t>Thunder</t>
  </si>
  <si>
    <t>Old</t>
  </si>
  <si>
    <t>New</t>
  </si>
  <si>
    <t>MP</t>
  </si>
  <si>
    <t>Ra 2</t>
  </si>
  <si>
    <t>AM 2</t>
  </si>
  <si>
    <t>M0</t>
  </si>
  <si>
    <t>M50</t>
  </si>
  <si>
    <t>Cast Time</t>
  </si>
  <si>
    <t>Recast Time</t>
  </si>
  <si>
    <t>Elements</t>
  </si>
  <si>
    <t>Tier</t>
  </si>
  <si>
    <t>Damage</t>
  </si>
  <si>
    <t>Wizard's Roll</t>
  </si>
  <si>
    <t>Warlock's Roll</t>
  </si>
  <si>
    <t>Scholar's Roll</t>
  </si>
  <si>
    <t>Caster's Roll</t>
  </si>
  <si>
    <t>CMP</t>
  </si>
  <si>
    <t>FastCast</t>
  </si>
  <si>
    <t>Types</t>
  </si>
  <si>
    <t>Detail:</t>
  </si>
  <si>
    <t>Staff</t>
  </si>
  <si>
    <t>Iridal</t>
  </si>
  <si>
    <t>Chatoyant</t>
  </si>
  <si>
    <t>Magian Dmg 90</t>
  </si>
  <si>
    <t>Magian Dmg 95</t>
  </si>
  <si>
    <t>Magian Dmg 99</t>
  </si>
  <si>
    <t>Magian Acc 90</t>
  </si>
  <si>
    <t>Magian Acc 95</t>
  </si>
  <si>
    <t>Magian Acc 99</t>
  </si>
  <si>
    <t>Lehbrailg</t>
  </si>
  <si>
    <t>Soothsayer</t>
  </si>
  <si>
    <t>Soothsayer R2 MAB</t>
  </si>
  <si>
    <t>Soothsayer R2 MAcc</t>
  </si>
  <si>
    <t>Soothsayer R2 MP</t>
  </si>
  <si>
    <t>Soothsayer R15 MAB</t>
  </si>
  <si>
    <t>Soothsayer R15 MAcc</t>
  </si>
  <si>
    <t>Soothsayer R15 MP</t>
  </si>
  <si>
    <t>SpellSet1</t>
  </si>
  <si>
    <t>SpellSet2</t>
  </si>
  <si>
    <t>dInt</t>
  </si>
  <si>
    <t>Base damage (1)</t>
  </si>
  <si>
    <t>Base damage (2)</t>
  </si>
  <si>
    <t># of Targets (ga)</t>
  </si>
  <si>
    <t>Targets</t>
  </si>
  <si>
    <t>Max N</t>
  </si>
  <si>
    <t>Target Reduction</t>
  </si>
  <si>
    <t>MDB Divisor</t>
  </si>
  <si>
    <t>MDB</t>
  </si>
  <si>
    <t>Dmg/MP</t>
  </si>
  <si>
    <t>Dmg/MP (1)</t>
  </si>
  <si>
    <t>Dmg/MP (2)</t>
  </si>
  <si>
    <t>MP Cost (1)</t>
  </si>
  <si>
    <t>MP Cost (2)</t>
  </si>
  <si>
    <t>Avg MP Cost (1)</t>
  </si>
  <si>
    <t>Dark Arts</t>
  </si>
  <si>
    <t>Light Arts</t>
  </si>
  <si>
    <t>Blm Merits</t>
  </si>
  <si>
    <t>Rdm Merits</t>
  </si>
  <si>
    <t>Sch Merits</t>
  </si>
  <si>
    <t>Geo Merits</t>
  </si>
  <si>
    <t>Fire Potency</t>
  </si>
  <si>
    <t>Ice Potency</t>
  </si>
  <si>
    <t>Wind Potency</t>
  </si>
  <si>
    <t>Earth Potency</t>
  </si>
  <si>
    <t>Thunder Potency</t>
  </si>
  <si>
    <t>Water Potency</t>
  </si>
  <si>
    <t>Fire Accuracy</t>
  </si>
  <si>
    <t>Ice Accuracy</t>
  </si>
  <si>
    <t>Wind Accuracy</t>
  </si>
  <si>
    <t>Earth Accuracy</t>
  </si>
  <si>
    <t>Thunder Accuracy</t>
  </si>
  <si>
    <t>Water Accuracy</t>
  </si>
  <si>
    <t>Arts MP Reduction</t>
  </si>
  <si>
    <t>Oreiad</t>
  </si>
  <si>
    <t>Erlene</t>
  </si>
  <si>
    <t>Memoria</t>
  </si>
  <si>
    <t>Ombre</t>
  </si>
  <si>
    <t>Snow Sachet</t>
  </si>
  <si>
    <t>Incantor</t>
  </si>
  <si>
    <t>Clarus</t>
  </si>
  <si>
    <t>Witchstone</t>
  </si>
  <si>
    <t>Phantom</t>
  </si>
  <si>
    <t>Mephitis</t>
  </si>
  <si>
    <t>Wizzan</t>
  </si>
  <si>
    <t>Elder's Grip</t>
  </si>
  <si>
    <t>Skrati</t>
  </si>
  <si>
    <t>Arbuda</t>
  </si>
  <si>
    <t>Elementa</t>
  </si>
  <si>
    <t>Aureole</t>
  </si>
  <si>
    <t>Auspex</t>
  </si>
  <si>
    <t>Spurrina</t>
  </si>
  <si>
    <t>Seiokona</t>
  </si>
  <si>
    <t>Chelona</t>
  </si>
  <si>
    <t>Chelona +1</t>
  </si>
  <si>
    <t>Adhara</t>
  </si>
  <si>
    <t>M.Crit</t>
  </si>
  <si>
    <t>A'as</t>
  </si>
  <si>
    <t>M.CDmg</t>
  </si>
  <si>
    <t>Tethyan +3</t>
  </si>
  <si>
    <t>Nares</t>
  </si>
  <si>
    <t>Hyaline</t>
  </si>
  <si>
    <t>Morrigan</t>
  </si>
  <si>
    <t>Morrigan +1</t>
  </si>
  <si>
    <t>Teal</t>
  </si>
  <si>
    <t>Psystorm</t>
  </si>
  <si>
    <t>Goliard</t>
  </si>
  <si>
    <t>Lifestorm</t>
  </si>
  <si>
    <t>Fea</t>
  </si>
  <si>
    <t>Nahtirah</t>
  </si>
  <si>
    <t>Rubeus</t>
  </si>
  <si>
    <t>Nefer</t>
  </si>
  <si>
    <t>Nefer +1</t>
  </si>
  <si>
    <t>Sorcerer +2</t>
  </si>
  <si>
    <t>Goetia +2</t>
  </si>
  <si>
    <t>Estoqueur +2</t>
  </si>
  <si>
    <t>Orunmila</t>
  </si>
  <si>
    <t>Lasaia</t>
  </si>
  <si>
    <t>Weike</t>
  </si>
  <si>
    <t>Eddy</t>
  </si>
  <si>
    <t>Stoicheion</t>
  </si>
  <si>
    <t>Aife's</t>
  </si>
  <si>
    <t>Saevus</t>
  </si>
  <si>
    <t>Goetia</t>
  </si>
  <si>
    <t>Savant</t>
  </si>
  <si>
    <t>Sortiarius</t>
  </si>
  <si>
    <t>Choleric</t>
  </si>
  <si>
    <t>Aredan</t>
  </si>
  <si>
    <t>Strophadic</t>
  </si>
  <si>
    <t>Hecate's</t>
  </si>
  <si>
    <t>Aquilo Pearl</t>
  </si>
  <si>
    <t>Snow</t>
  </si>
  <si>
    <t>Aquilo</t>
  </si>
  <si>
    <t>Novio</t>
  </si>
  <si>
    <t>Moldavite</t>
  </si>
  <si>
    <t>Swith</t>
  </si>
  <si>
    <t>Swith +1</t>
  </si>
  <si>
    <t>Gwiddion</t>
  </si>
  <si>
    <t>Taubran</t>
  </si>
  <si>
    <t>Refraction</t>
  </si>
  <si>
    <t>Ogapepo</t>
  </si>
  <si>
    <t>Ogapepo +1</t>
  </si>
  <si>
    <t>Romanus</t>
  </si>
  <si>
    <t>Ele.Obi</t>
  </si>
  <si>
    <t>Searing</t>
  </si>
  <si>
    <t>Pedant</t>
  </si>
  <si>
    <t>Maniacus</t>
  </si>
  <si>
    <t>Aswang</t>
  </si>
  <si>
    <t>Witful</t>
  </si>
  <si>
    <t>Olympus</t>
  </si>
  <si>
    <t>Oneiros</t>
  </si>
  <si>
    <t>Demonry</t>
  </si>
  <si>
    <t>Sanctuary</t>
  </si>
  <si>
    <t>Sanctuary +1</t>
  </si>
  <si>
    <t>Cognition</t>
  </si>
  <si>
    <t>Repartie</t>
  </si>
  <si>
    <t>Orvail</t>
  </si>
  <si>
    <t>Quauhpilli</t>
  </si>
  <si>
    <t>Spolia</t>
  </si>
  <si>
    <t>Opima</t>
  </si>
  <si>
    <t>Magavan</t>
  </si>
  <si>
    <t>Eradico</t>
  </si>
  <si>
    <t>dInt:</t>
  </si>
  <si>
    <t>Wohpe</t>
  </si>
  <si>
    <t>Ihwa (Stone)</t>
  </si>
  <si>
    <t>Kaikias (Air)</t>
  </si>
  <si>
    <t>Ocular</t>
  </si>
  <si>
    <t>Bokwus</t>
  </si>
  <si>
    <t>Menhit</t>
  </si>
  <si>
    <t>Theurgia</t>
  </si>
  <si>
    <t>Augur's</t>
  </si>
  <si>
    <t>Notes:</t>
  </si>
  <si>
    <t>Lefay</t>
  </si>
  <si>
    <t>Akasha</t>
  </si>
  <si>
    <t>Sweven</t>
  </si>
  <si>
    <t>Sweven +1</t>
  </si>
  <si>
    <t>Nisse</t>
  </si>
  <si>
    <t>Cybele</t>
  </si>
  <si>
    <t>Wicca</t>
  </si>
  <si>
    <t>Mediator</t>
  </si>
  <si>
    <t>Sangoma</t>
  </si>
  <si>
    <t>Locus</t>
  </si>
  <si>
    <t>Maquette</t>
  </si>
  <si>
    <t>Maquette latent</t>
  </si>
  <si>
    <t>Sophia ench.</t>
  </si>
  <si>
    <t>Angha</t>
  </si>
  <si>
    <t>Icesoul</t>
  </si>
  <si>
    <t>Irrwisch</t>
  </si>
  <si>
    <t>Spiral</t>
  </si>
  <si>
    <t>Zodiac (day)</t>
  </si>
  <si>
    <t>Galdr</t>
  </si>
  <si>
    <t>Omega</t>
  </si>
  <si>
    <t>Shedir</t>
  </si>
  <si>
    <t>Manasa</t>
  </si>
  <si>
    <t>Krabat</t>
  </si>
  <si>
    <t>Seidr</t>
  </si>
  <si>
    <t>Convert Dmg&gt;MP</t>
  </si>
  <si>
    <t>Baalmuian</t>
  </si>
  <si>
    <t>Pharmakeia</t>
  </si>
  <si>
    <t>Eirene</t>
  </si>
  <si>
    <t>Hedera</t>
  </si>
  <si>
    <t>Praeco</t>
  </si>
  <si>
    <t>Twilight Cloak</t>
  </si>
  <si>
    <t>Hyksos</t>
  </si>
  <si>
    <t>Hyksos +1</t>
  </si>
  <si>
    <t>Anhur</t>
  </si>
  <si>
    <t>Yhel</t>
  </si>
  <si>
    <t>Yhel +1</t>
  </si>
  <si>
    <t>Weather/Day</t>
  </si>
  <si>
    <t>Comet</t>
  </si>
  <si>
    <t>MDT</t>
  </si>
  <si>
    <t>Ebullience</t>
  </si>
  <si>
    <t>Magic Burst</t>
  </si>
  <si>
    <t>Quake II</t>
  </si>
  <si>
    <t>Flood II</t>
  </si>
  <si>
    <t>Tornado II</t>
  </si>
  <si>
    <t>Flare II</t>
  </si>
  <si>
    <t>Freeze II</t>
  </si>
  <si>
    <t>Burst II</t>
  </si>
  <si>
    <t>AM2 MB</t>
  </si>
  <si>
    <t>Magic Burst (2 WS)</t>
  </si>
  <si>
    <t>MBDmg</t>
  </si>
  <si>
    <t>ConsMP</t>
  </si>
  <si>
    <t>Sorcerer</t>
  </si>
  <si>
    <t>Static</t>
  </si>
  <si>
    <t>Mujin</t>
  </si>
  <si>
    <t>Catalyst</t>
  </si>
  <si>
    <t>Supremacy</t>
  </si>
  <si>
    <t>R.Att</t>
  </si>
  <si>
    <t>Illusions</t>
  </si>
  <si>
    <t>MBDmg w/Trait</t>
  </si>
  <si>
    <t>Klimaform</t>
  </si>
  <si>
    <t>Non-crit dmg (1)</t>
  </si>
  <si>
    <t>Non-crit dmg (2)</t>
  </si>
  <si>
    <t>Crit dmg (1)</t>
  </si>
  <si>
    <t>Crit dmg (2)</t>
  </si>
  <si>
    <t>Avg Dmg (1)</t>
  </si>
  <si>
    <t>Avg Dmg (2)</t>
  </si>
  <si>
    <t>Goetia Set</t>
  </si>
  <si>
    <t>Goetia Set Bonus</t>
  </si>
  <si>
    <t>Strendu</t>
  </si>
  <si>
    <t>Sorcerer latent</t>
  </si>
  <si>
    <t>AF2+2 Feet</t>
  </si>
  <si>
    <t>Hailstorm</t>
  </si>
  <si>
    <t>Bokwus R3 MAB</t>
  </si>
  <si>
    <t>Bokwus R3 MAcc</t>
  </si>
  <si>
    <t>Bokwus R15 MAB</t>
  </si>
  <si>
    <t>Bokwus R15 MAcc</t>
  </si>
  <si>
    <t>GEO</t>
  </si>
  <si>
    <t>DPS (Solo)</t>
  </si>
  <si>
    <t>Cast Time (1)</t>
  </si>
  <si>
    <t>Cast Time (2)</t>
  </si>
  <si>
    <t>Elemental Celerity</t>
  </si>
  <si>
    <t>Recast Time (1)</t>
  </si>
  <si>
    <t>Recast Time (2)</t>
  </si>
  <si>
    <t>AffCast</t>
  </si>
  <si>
    <t>AffRecast</t>
  </si>
  <si>
    <t>FastCast Recast</t>
  </si>
  <si>
    <t>Cast Time reduction</t>
  </si>
  <si>
    <t>Arts</t>
  </si>
  <si>
    <t>Reuse Time (1)</t>
  </si>
  <si>
    <t>Reuse Time (2)</t>
  </si>
  <si>
    <t>Spell Reuse Margin</t>
  </si>
  <si>
    <t>DPS (Solo) (1)</t>
  </si>
  <si>
    <t>DPS (Solo) (2)</t>
  </si>
  <si>
    <t>Precast 1</t>
  </si>
  <si>
    <t>Precast 2</t>
  </si>
  <si>
    <t>PrecastSet1</t>
  </si>
  <si>
    <t>PrecastSet2</t>
  </si>
  <si>
    <t>Loquacious</t>
  </si>
  <si>
    <t>Prolix</t>
  </si>
  <si>
    <t>Tier Reuse Time (1)</t>
  </si>
  <si>
    <t>Tier Reuse Time (2)</t>
  </si>
  <si>
    <t>Cast one of each spell of a given tier as quickly as possible</t>
  </si>
  <si>
    <t>Average damage per MP cost of the spell (including Conserve MP)</t>
  </si>
  <si>
    <t>Average damage per spell (including magical crits)</t>
  </si>
  <si>
    <t>Repeatedly cast each spell as quickly as possible</t>
  </si>
  <si>
    <t>Cumulative Effect #</t>
  </si>
  <si>
    <t>Cumulative Dmg</t>
  </si>
  <si>
    <t>DPS (Per Tier)</t>
  </si>
  <si>
    <t>DPS (Per Tier) (1)</t>
  </si>
  <si>
    <t>DPS (Per Tier) (2)</t>
  </si>
  <si>
    <t>Soothsayer R10 MAB</t>
  </si>
  <si>
    <t>Avg MP Cost (2)</t>
  </si>
  <si>
    <t>Spell Class:</t>
  </si>
  <si>
    <t>Spell Class</t>
  </si>
  <si>
    <t>L1</t>
  </si>
  <si>
    <t>L2</t>
  </si>
  <si>
    <t>L3</t>
  </si>
  <si>
    <t>M3</t>
  </si>
  <si>
    <t>M2</t>
  </si>
  <si>
    <t>M1</t>
  </si>
  <si>
    <t>Vivid</t>
  </si>
  <si>
    <t>Avg MP</t>
  </si>
  <si>
    <t>Average MP cost per spell</t>
  </si>
  <si>
    <t>AvgMP</t>
  </si>
  <si>
    <t>DmgPerMP</t>
  </si>
  <si>
    <t>DPSSolo</t>
  </si>
  <si>
    <t>DPSTier</t>
  </si>
  <si>
    <t>Named</t>
  </si>
  <si>
    <t>Description</t>
  </si>
  <si>
    <t>M.Dmg</t>
  </si>
  <si>
    <t>Spell Set 1</t>
  </si>
  <si>
    <t>Spell Set 2</t>
  </si>
  <si>
    <t>Magic Damage</t>
  </si>
  <si>
    <t>Bane Cape</t>
  </si>
  <si>
    <t>Buremte</t>
  </si>
  <si>
    <t>Uk'uxkaj</t>
  </si>
  <si>
    <t>Voay</t>
  </si>
  <si>
    <t>Voay +1</t>
  </si>
  <si>
    <t>Tamaxchi</t>
  </si>
  <si>
    <t>Antares (club)</t>
  </si>
  <si>
    <t>Mistilteinn (club)</t>
  </si>
  <si>
    <t>Mythic +1 (club)</t>
  </si>
  <si>
    <t>Mythic (club)</t>
  </si>
  <si>
    <t>Fourth Mace (club)</t>
  </si>
  <si>
    <t>Tojil</t>
  </si>
  <si>
    <t>Atinian</t>
  </si>
  <si>
    <t>Atinian +1</t>
  </si>
  <si>
    <t>Tiny Mandy</t>
  </si>
  <si>
    <t>Avalon Shield</t>
  </si>
  <si>
    <t>Sub</t>
  </si>
  <si>
    <t>Harpy Shield</t>
  </si>
  <si>
    <t>Helix</t>
  </si>
  <si>
    <t>Helix Damage Type</t>
  </si>
  <si>
    <t>Initial</t>
  </si>
  <si>
    <t>Helix Damage</t>
  </si>
  <si>
    <t>Lehbrailg (2)</t>
  </si>
  <si>
    <t>Lehbrailg +1</t>
  </si>
  <si>
    <t>Dowser's Wand</t>
  </si>
  <si>
    <t>Forefront Staff</t>
  </si>
  <si>
    <t>Forefront Staff (reive)</t>
  </si>
  <si>
    <t>Forefront Wand</t>
  </si>
  <si>
    <t>Geomancy</t>
  </si>
  <si>
    <t>Hagondes</t>
  </si>
  <si>
    <t>Weatherspoon</t>
  </si>
  <si>
    <t>Xux</t>
  </si>
  <si>
    <t>Helix dInt</t>
  </si>
  <si>
    <t>hdInt &lt; 100</t>
  </si>
  <si>
    <t>Helix Int V</t>
  </si>
  <si>
    <t>Helix Duration</t>
  </si>
  <si>
    <t>Helix Ticks</t>
  </si>
  <si>
    <t>hdInt &gt; 125</t>
  </si>
  <si>
    <t>hdInt &lt; 125</t>
  </si>
  <si>
    <t>Bokwus R10 MAB</t>
  </si>
  <si>
    <t>Othila</t>
  </si>
  <si>
    <t>AM2 Dmg</t>
  </si>
  <si>
    <t>dInt under 0</t>
  </si>
  <si>
    <t>Meteor</t>
  </si>
  <si>
    <t>Kaustra</t>
  </si>
  <si>
    <t>Light</t>
  </si>
  <si>
    <t>Dark</t>
  </si>
  <si>
    <t>Dark JA = Meteor</t>
  </si>
  <si>
    <t>Dark AM = Impact</t>
  </si>
  <si>
    <t>Dark AM2 = Comet</t>
  </si>
  <si>
    <t>Dark Helix = Kaustra</t>
  </si>
  <si>
    <t>dMnd</t>
  </si>
  <si>
    <t>MAcc</t>
  </si>
  <si>
    <t>dMnd under 0</t>
  </si>
  <si>
    <t>Impact</t>
  </si>
  <si>
    <t>Kaustra Duration</t>
  </si>
  <si>
    <t>Kaustra Ticks</t>
  </si>
  <si>
    <t>Light AM = Holy</t>
  </si>
  <si>
    <t>Light AM2 = Holy II</t>
  </si>
  <si>
    <t>dMnd:</t>
  </si>
  <si>
    <t>Arts MP Reduct (Light)</t>
  </si>
  <si>
    <t>Arts (Light)</t>
  </si>
  <si>
    <t>Base fragment (1)</t>
  </si>
  <si>
    <t>Base fragment (2)</t>
  </si>
  <si>
    <t>MAB &lt; 100</t>
  </si>
  <si>
    <t>MAB &gt; 100</t>
  </si>
  <si>
    <t>bMIM</t>
  </si>
  <si>
    <t>bMO</t>
  </si>
  <si>
    <t>MSM</t>
  </si>
  <si>
    <t>bMSSM</t>
  </si>
  <si>
    <t>Meteor Constants</t>
  </si>
  <si>
    <t>Meteor Values</t>
  </si>
  <si>
    <t>MIM</t>
  </si>
  <si>
    <t>MSSM</t>
  </si>
  <si>
    <t>MMDM</t>
  </si>
  <si>
    <t>MO</t>
  </si>
  <si>
    <t>Elemental</t>
  </si>
  <si>
    <t>Divine</t>
  </si>
  <si>
    <t>Skill Ratings</t>
  </si>
  <si>
    <t>Skills</t>
  </si>
  <si>
    <t>Z</t>
  </si>
  <si>
    <t>Elemental DA</t>
  </si>
  <si>
    <t>Dark DA</t>
  </si>
  <si>
    <t>Divine LA</t>
  </si>
  <si>
    <t>A+</t>
  </si>
  <si>
    <t>B+</t>
  </si>
  <si>
    <t>C+</t>
  </si>
  <si>
    <t>C-</t>
  </si>
  <si>
    <t>B-</t>
  </si>
  <si>
    <t>Elemental Skill</t>
  </si>
  <si>
    <t>Dark Skill</t>
  </si>
  <si>
    <t>Divine Skill</t>
  </si>
  <si>
    <t>Dosis</t>
  </si>
  <si>
    <t>Zuuxowu</t>
  </si>
  <si>
    <t>Baqil</t>
  </si>
  <si>
    <t>Friomisi</t>
  </si>
  <si>
    <t>Toro</t>
  </si>
  <si>
    <t>Lehbrailg (max)</t>
  </si>
  <si>
    <t>Claustrum 119</t>
  </si>
  <si>
    <t>Hvergelmir 119</t>
  </si>
  <si>
    <t>Laevateinn 119</t>
  </si>
  <si>
    <t>Boonwell Staff</t>
  </si>
  <si>
    <t>Camaradarie Pole</t>
  </si>
  <si>
    <t>Patriarch Cane</t>
  </si>
  <si>
    <t>Kalboron</t>
  </si>
  <si>
    <t>Achaq Grip</t>
  </si>
  <si>
    <t>Orvail +1</t>
  </si>
  <si>
    <t>Kaabanax</t>
  </si>
  <si>
    <t>Atzintli</t>
  </si>
  <si>
    <t>Quanpur</t>
  </si>
  <si>
    <t>Quanpur (stone)</t>
  </si>
  <si>
    <t>Otomi</t>
  </si>
  <si>
    <t>Savior (latent)</t>
  </si>
  <si>
    <t>Ovate</t>
  </si>
  <si>
    <t>Ionis</t>
  </si>
  <si>
    <t>Adoulin</t>
  </si>
  <si>
    <t>Spaekona</t>
  </si>
  <si>
    <t>Hagondes (aug)</t>
  </si>
  <si>
    <t>Hagondes (max)</t>
  </si>
  <si>
    <t>Set 1's percentage of set 2:</t>
  </si>
  <si>
    <t>Mes'yoshi Rod</t>
  </si>
  <si>
    <t>Vanir</t>
  </si>
  <si>
    <t>Eminent Staff</t>
  </si>
  <si>
    <t>Eminent Staff (latent)</t>
  </si>
  <si>
    <t>Venabulum</t>
  </si>
  <si>
    <t>Cagliostro's Rod</t>
  </si>
  <si>
    <t>MAccSk</t>
  </si>
  <si>
    <t>Eminent Wand</t>
  </si>
  <si>
    <t>Eminent Wand (latent)</t>
  </si>
  <si>
    <t>Spaekona +1</t>
  </si>
  <si>
    <t>Wayfarer</t>
  </si>
  <si>
    <t>Lurid</t>
  </si>
  <si>
    <t>Sekhmet</t>
  </si>
  <si>
    <t>Crematio</t>
  </si>
  <si>
    <t>Theurgist</t>
  </si>
  <si>
    <t>Manabyss</t>
  </si>
  <si>
    <t>Umbani</t>
  </si>
  <si>
    <t>Hagondes +1(aug)</t>
  </si>
  <si>
    <t>Hagondes +1</t>
  </si>
  <si>
    <t>Ombre +1</t>
  </si>
  <si>
    <t>Shiva +1</t>
  </si>
  <si>
    <t>Keraunos</t>
  </si>
  <si>
    <t>Marin</t>
  </si>
  <si>
    <t xml:space="preserve"> </t>
  </si>
  <si>
    <t>Yamabuki-no-Obi</t>
  </si>
  <si>
    <t>Bane Cape Aug</t>
  </si>
  <si>
    <t>Respite</t>
  </si>
  <si>
    <t>Archmage Petasos +1</t>
  </si>
  <si>
    <t>Lehbrailg +2</t>
  </si>
  <si>
    <t>Argocham. Mantle</t>
  </si>
  <si>
    <t>Acuity Belt +1</t>
  </si>
  <si>
    <t>Helios (aug)</t>
  </si>
  <si>
    <t>Techine Gloves</t>
  </si>
  <si>
    <t>Elder's Grip +1</t>
  </si>
  <si>
    <t>Helios gloves</t>
  </si>
  <si>
    <t>Helios boots</t>
  </si>
  <si>
    <t>Adoulin ring</t>
  </si>
  <si>
    <t>Shiva</t>
  </si>
  <si>
    <t>Merlinic crackows</t>
  </si>
  <si>
    <t>Merlinic crackows2</t>
  </si>
  <si>
    <t>Lathi 119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</si>
</sst>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"/>
    <numFmt numFmtId="166" formatCode="0.000"/>
    <numFmt numFmtId="167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rgb="FFFF0000"/>
      <name val="Arial"/>
      <family val="2"/>
    </font>
    <font>
      <b/>
      <u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9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0" fontId="0" fillId="0" borderId="1" xfId="0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3" fillId="0" borderId="1" xfId="0" applyFont="1" applyBorder="1"/>
    <xf numFmtId="0" fontId="0" fillId="0" borderId="0" xfId="0" applyBorder="1"/>
    <xf numFmtId="10" fontId="0" fillId="0" borderId="0" xfId="0" applyNumberForma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1" fillId="0" borderId="0" xfId="0" applyNumberFormat="1" applyFont="1"/>
    <xf numFmtId="16" fontId="0" fillId="0" borderId="0" xfId="0" quotePrefix="1" applyNumberFormat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quotePrefix="1" applyFont="1"/>
    <xf numFmtId="1" fontId="0" fillId="0" borderId="1" xfId="0" applyNumberFormat="1" applyBorder="1"/>
    <xf numFmtId="1" fontId="0" fillId="0" borderId="0" xfId="0" applyNumberFormat="1" applyBorder="1"/>
    <xf numFmtId="9" fontId="0" fillId="0" borderId="0" xfId="3" applyFont="1"/>
    <xf numFmtId="0" fontId="6" fillId="0" borderId="0" xfId="0" applyFont="1"/>
    <xf numFmtId="164" fontId="1" fillId="0" borderId="0" xfId="2" applyNumberFormat="1"/>
    <xf numFmtId="0" fontId="5" fillId="0" borderId="0" xfId="1" applyFont="1"/>
    <xf numFmtId="0" fontId="0" fillId="0" borderId="0" xfId="0" applyNumberFormat="1" applyFill="1" applyBorder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9" fontId="1" fillId="3" borderId="0" xfId="0" applyNumberFormat="1" applyFont="1" applyFill="1"/>
    <xf numFmtId="9" fontId="1" fillId="3" borderId="0" xfId="3" applyFont="1" applyFill="1"/>
    <xf numFmtId="0" fontId="5" fillId="0" borderId="0" xfId="0" applyFont="1" applyBorder="1"/>
    <xf numFmtId="0" fontId="5" fillId="0" borderId="1" xfId="0" applyFont="1" applyBorder="1"/>
    <xf numFmtId="9" fontId="1" fillId="0" borderId="0" xfId="3" applyFont="1"/>
    <xf numFmtId="0" fontId="5" fillId="0" borderId="0" xfId="0" applyNumberFormat="1" applyFont="1"/>
    <xf numFmtId="0" fontId="0" fillId="0" borderId="0" xfId="0" applyFill="1" applyProtection="1">
      <protection locked="0"/>
    </xf>
    <xf numFmtId="9" fontId="0" fillId="0" borderId="0" xfId="3" applyFont="1" applyBorder="1"/>
    <xf numFmtId="0" fontId="0" fillId="0" borderId="0" xfId="3" applyNumberFormat="1" applyFont="1" applyBorder="1"/>
    <xf numFmtId="0" fontId="5" fillId="0" borderId="0" xfId="0" quotePrefix="1" applyFont="1" applyBorder="1"/>
    <xf numFmtId="1" fontId="5" fillId="0" borderId="0" xfId="0" applyNumberFormat="1" applyFont="1" applyBorder="1"/>
    <xf numFmtId="0" fontId="3" fillId="0" borderId="1" xfId="0" applyFont="1" applyFill="1" applyBorder="1"/>
    <xf numFmtId="0" fontId="0" fillId="0" borderId="0" xfId="3" applyNumberFormat="1" applyFont="1"/>
    <xf numFmtId="9" fontId="0" fillId="2" borderId="0" xfId="3" applyFont="1" applyFill="1" applyProtection="1">
      <protection locked="0"/>
    </xf>
    <xf numFmtId="9" fontId="0" fillId="0" borderId="0" xfId="3" applyNumberFormat="1" applyFont="1" applyBorder="1"/>
    <xf numFmtId="0" fontId="0" fillId="0" borderId="0" xfId="0" applyNumberFormat="1" applyFill="1"/>
    <xf numFmtId="9" fontId="0" fillId="0" borderId="0" xfId="3" applyFont="1" applyFill="1"/>
    <xf numFmtId="9" fontId="0" fillId="0" borderId="0" xfId="3" applyFont="1" applyFill="1" applyProtection="1">
      <protection locked="0"/>
    </xf>
    <xf numFmtId="0" fontId="0" fillId="0" borderId="0" xfId="3" applyNumberFormat="1" applyFont="1" applyFill="1"/>
    <xf numFmtId="165" fontId="0" fillId="0" borderId="0" xfId="0" applyNumberFormat="1" applyAlignment="1">
      <alignment horizontal="right"/>
    </xf>
    <xf numFmtId="165" fontId="0" fillId="0" borderId="1" xfId="0" applyNumberFormat="1" applyBorder="1" applyAlignment="1">
      <alignment horizontal="right"/>
    </xf>
    <xf numFmtId="0" fontId="0" fillId="4" borderId="0" xfId="0" applyFill="1"/>
    <xf numFmtId="0" fontId="0" fillId="5" borderId="0" xfId="0" applyFill="1" applyProtection="1">
      <protection locked="0"/>
    </xf>
    <xf numFmtId="0" fontId="1" fillId="0" borderId="0" xfId="3" applyNumberFormat="1" applyFont="1"/>
    <xf numFmtId="0" fontId="0" fillId="6" borderId="0" xfId="0" applyFill="1"/>
    <xf numFmtId="9" fontId="0" fillId="6" borderId="0" xfId="3" applyFont="1" applyFill="1"/>
    <xf numFmtId="9" fontId="0" fillId="2" borderId="0" xfId="0" applyNumberFormat="1" applyFill="1" applyProtection="1">
      <protection locked="0"/>
    </xf>
    <xf numFmtId="165" fontId="0" fillId="0" borderId="2" xfId="0" applyNumberFormat="1" applyBorder="1" applyAlignment="1">
      <alignment horizontal="right"/>
    </xf>
    <xf numFmtId="0" fontId="7" fillId="0" borderId="0" xfId="0" applyFont="1"/>
    <xf numFmtId="0" fontId="0" fillId="0" borderId="0" xfId="0" applyFont="1" applyFill="1" applyBorder="1"/>
    <xf numFmtId="0" fontId="1" fillId="0" borderId="0" xfId="0" applyFont="1" applyFill="1" applyBorder="1"/>
    <xf numFmtId="0" fontId="1" fillId="0" borderId="1" xfId="0" applyFont="1" applyFill="1" applyBorder="1"/>
    <xf numFmtId="0" fontId="0" fillId="0" borderId="2" xfId="0" applyFill="1" applyBorder="1"/>
    <xf numFmtId="0" fontId="8" fillId="0" borderId="0" xfId="0" applyFont="1"/>
    <xf numFmtId="9" fontId="1" fillId="0" borderId="0" xfId="3" applyFont="1" applyFill="1"/>
    <xf numFmtId="0" fontId="1" fillId="0" borderId="1" xfId="0" applyFont="1" applyBorder="1"/>
    <xf numFmtId="0" fontId="0" fillId="0" borderId="1" xfId="0" applyFont="1" applyFill="1" applyBorder="1"/>
    <xf numFmtId="1" fontId="0" fillId="0" borderId="0" xfId="3" applyNumberFormat="1" applyFont="1" applyBorder="1"/>
    <xf numFmtId="166" fontId="0" fillId="0" borderId="0" xfId="0" applyNumberFormat="1"/>
    <xf numFmtId="166" fontId="0" fillId="0" borderId="0" xfId="0" applyNumberFormat="1" applyBorder="1"/>
    <xf numFmtId="166" fontId="0" fillId="0" borderId="1" xfId="0" applyNumberFormat="1" applyBorder="1"/>
    <xf numFmtId="0" fontId="4" fillId="0" borderId="0" xfId="0" applyNumberFormat="1" applyFont="1"/>
    <xf numFmtId="0" fontId="1" fillId="0" borderId="0" xfId="1" applyFont="1" applyFill="1"/>
    <xf numFmtId="0" fontId="1" fillId="0" borderId="0" xfId="0" applyFont="1" applyAlignment="1">
      <alignment horizontal="left"/>
    </xf>
    <xf numFmtId="167" fontId="0" fillId="0" borderId="0" xfId="3" applyNumberFormat="1" applyFont="1" applyAlignment="1">
      <alignment horizontal="right"/>
    </xf>
    <xf numFmtId="167" fontId="0" fillId="0" borderId="1" xfId="3" applyNumberFormat="1" applyFont="1" applyBorder="1" applyAlignment="1">
      <alignment horizontal="right"/>
    </xf>
    <xf numFmtId="0" fontId="1" fillId="6" borderId="0" xfId="0" applyFont="1" applyFill="1"/>
    <xf numFmtId="9" fontId="0" fillId="6" borderId="0" xfId="0" applyNumberFormat="1" applyFill="1"/>
    <xf numFmtId="0" fontId="0" fillId="6" borderId="0" xfId="0" applyNumberFormat="1" applyFill="1"/>
    <xf numFmtId="0" fontId="0" fillId="6" borderId="0" xfId="3" applyNumberFormat="1" applyFont="1" applyFill="1"/>
    <xf numFmtId="0" fontId="1" fillId="6" borderId="0" xfId="3" applyNumberFormat="1" applyFont="1" applyFill="1"/>
    <xf numFmtId="0" fontId="1" fillId="7" borderId="0" xfId="0" applyFont="1" applyFill="1"/>
    <xf numFmtId="0" fontId="0" fillId="7" borderId="0" xfId="0" applyFill="1"/>
    <xf numFmtId="0" fontId="0" fillId="7" borderId="0" xfId="0" applyNumberFormat="1" applyFill="1"/>
    <xf numFmtId="9" fontId="0" fillId="7" borderId="0" xfId="3" applyFont="1" applyFill="1"/>
    <xf numFmtId="0" fontId="0" fillId="7" borderId="0" xfId="3" applyNumberFormat="1" applyFont="1" applyFill="1"/>
    <xf numFmtId="0" fontId="1" fillId="8" borderId="0" xfId="0" applyFont="1" applyFill="1"/>
    <xf numFmtId="0" fontId="0" fillId="8" borderId="0" xfId="0" applyFill="1"/>
    <xf numFmtId="0" fontId="0" fillId="8" borderId="0" xfId="0" applyNumberFormat="1" applyFill="1"/>
    <xf numFmtId="9" fontId="0" fillId="8" borderId="0" xfId="3" applyFont="1" applyFill="1"/>
    <xf numFmtId="0" fontId="1" fillId="8" borderId="0" xfId="3" applyNumberFormat="1" applyFont="1" applyFill="1"/>
    <xf numFmtId="0" fontId="0" fillId="8" borderId="0" xfId="3" applyNumberFormat="1" applyFont="1" applyFill="1"/>
    <xf numFmtId="9" fontId="0" fillId="8" borderId="0" xfId="0" applyNumberFormat="1" applyFill="1"/>
  </cellXfs>
  <cellStyles count="4">
    <cellStyle name="Normal" xfId="0" builtinId="0"/>
    <cellStyle name="Normal_DPS Calculator - Drg" xfId="1" xr:uid="{00000000-0005-0000-0000-000001000000}"/>
    <cellStyle name="Normal_DPS Calculator - Sam" xfId="2" xr:uid="{00000000-0005-0000-0000-000002000000}"/>
    <cellStyle name="Percent" xfId="3" builtinId="5"/>
  </cellStyles>
  <dxfs count="16"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19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N46"/>
  <sheetViews>
    <sheetView workbookViewId="0">
      <selection activeCell="B40" sqref="B40"/>
    </sheetView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8.7109375" customWidth="1"/>
    <col min="13" max="14" width="16.7109375" customWidth="1"/>
  </cols>
  <sheetData>
    <row r="1" spans="1:14" x14ac:dyDescent="0.2">
      <c r="A1" s="4"/>
      <c r="B1" s="4" t="s">
        <v>86</v>
      </c>
      <c r="C1" s="4" t="s">
        <v>87</v>
      </c>
      <c r="D1" s="4"/>
      <c r="E1" s="36" t="s">
        <v>200</v>
      </c>
      <c r="F1" s="4" t="s">
        <v>86</v>
      </c>
      <c r="G1" s="4" t="s">
        <v>87</v>
      </c>
      <c r="H1" s="4"/>
      <c r="I1" s="4" t="s">
        <v>201</v>
      </c>
      <c r="J1" s="4" t="s">
        <v>86</v>
      </c>
      <c r="K1" s="4" t="s">
        <v>87</v>
      </c>
      <c r="L1" s="4"/>
      <c r="M1" s="4" t="s">
        <v>27</v>
      </c>
      <c r="N1" s="5" t="s">
        <v>610</v>
      </c>
    </row>
    <row r="2" spans="1:14" x14ac:dyDescent="0.2">
      <c r="E2" s="37"/>
      <c r="F2" s="37"/>
      <c r="G2" s="37"/>
      <c r="M2" t="s">
        <v>28</v>
      </c>
      <c r="N2" s="19">
        <f>Data!L2</f>
        <v>130</v>
      </c>
    </row>
    <row r="3" spans="1:14" x14ac:dyDescent="0.2">
      <c r="A3" s="4" t="s">
        <v>97</v>
      </c>
      <c r="E3" t="s">
        <v>349</v>
      </c>
      <c r="F3" s="5">
        <v>1</v>
      </c>
      <c r="G3" s="5">
        <v>1</v>
      </c>
      <c r="I3" s="4" t="s">
        <v>202</v>
      </c>
      <c r="M3" t="s">
        <v>29</v>
      </c>
      <c r="N3" s="19">
        <f>Data!L3</f>
        <v>1900</v>
      </c>
    </row>
    <row r="4" spans="1:14" x14ac:dyDescent="0.2">
      <c r="A4" s="11" t="s">
        <v>0</v>
      </c>
      <c r="B4" s="5" t="s">
        <v>1</v>
      </c>
      <c r="C4" t="str">
        <f>B4</f>
        <v>Hume</v>
      </c>
      <c r="E4" t="s">
        <v>350</v>
      </c>
      <c r="F4" s="5">
        <v>0</v>
      </c>
      <c r="G4" s="5">
        <v>0</v>
      </c>
      <c r="I4" t="s">
        <v>11</v>
      </c>
      <c r="J4" s="5">
        <v>1</v>
      </c>
      <c r="K4" s="5">
        <v>1</v>
      </c>
      <c r="M4" t="s">
        <v>226</v>
      </c>
      <c r="N4" s="6">
        <v>0</v>
      </c>
    </row>
    <row r="5" spans="1:14" x14ac:dyDescent="0.2">
      <c r="A5" s="11" t="s">
        <v>28</v>
      </c>
      <c r="B5" s="26">
        <v>99</v>
      </c>
      <c r="C5" s="27">
        <f>B5</f>
        <v>99</v>
      </c>
      <c r="D5" s="27"/>
      <c r="L5" s="27"/>
      <c r="M5" t="s">
        <v>103</v>
      </c>
      <c r="N5" s="21">
        <f>Data!M3</f>
        <v>1900</v>
      </c>
    </row>
    <row r="6" spans="1:14" x14ac:dyDescent="0.2">
      <c r="A6" s="11" t="s">
        <v>2</v>
      </c>
      <c r="B6" s="84" t="s">
        <v>269</v>
      </c>
      <c r="C6" s="19" t="str">
        <f>B6</f>
        <v>Blm</v>
      </c>
      <c r="D6" s="27"/>
      <c r="E6" t="s">
        <v>502</v>
      </c>
      <c r="F6" s="5">
        <v>1</v>
      </c>
      <c r="G6" s="5">
        <v>1</v>
      </c>
      <c r="I6" s="4" t="s">
        <v>203</v>
      </c>
      <c r="L6" s="19"/>
      <c r="M6" t="s">
        <v>30</v>
      </c>
      <c r="N6" s="19">
        <f>Data!L4</f>
        <v>870</v>
      </c>
    </row>
    <row r="7" spans="1:14" x14ac:dyDescent="0.2">
      <c r="A7" t="s">
        <v>101</v>
      </c>
      <c r="B7" s="5" t="s">
        <v>219</v>
      </c>
      <c r="C7" s="19" t="str">
        <f>B7</f>
        <v>Sch</v>
      </c>
      <c r="D7" s="19"/>
      <c r="E7" t="s">
        <v>525</v>
      </c>
      <c r="F7" s="5">
        <v>0</v>
      </c>
      <c r="G7" s="5">
        <v>0</v>
      </c>
      <c r="I7" s="38" t="s">
        <v>204</v>
      </c>
      <c r="J7" s="39">
        <v>450</v>
      </c>
      <c r="K7" s="40">
        <v>450</v>
      </c>
      <c r="L7" s="19"/>
      <c r="M7" t="s">
        <v>5</v>
      </c>
      <c r="N7" s="19">
        <f>Data!L5</f>
        <v>200</v>
      </c>
    </row>
    <row r="8" spans="1:14" x14ac:dyDescent="0.2">
      <c r="A8" t="s">
        <v>46</v>
      </c>
      <c r="B8" s="5" t="s">
        <v>34</v>
      </c>
      <c r="C8" s="19" t="str">
        <f>B8</f>
        <v>None</v>
      </c>
      <c r="D8" s="19"/>
      <c r="I8" t="s">
        <v>205</v>
      </c>
      <c r="J8" s="5">
        <v>0</v>
      </c>
      <c r="K8" s="5">
        <v>0</v>
      </c>
      <c r="M8" t="s">
        <v>33</v>
      </c>
      <c r="N8" s="19">
        <f>Data!L6</f>
        <v>200</v>
      </c>
    </row>
    <row r="9" spans="1:14" x14ac:dyDescent="0.2">
      <c r="E9" t="s">
        <v>505</v>
      </c>
      <c r="F9" s="5">
        <v>0</v>
      </c>
      <c r="G9" s="5">
        <v>0</v>
      </c>
      <c r="I9" t="s">
        <v>206</v>
      </c>
      <c r="J9" s="5">
        <v>0</v>
      </c>
      <c r="K9" s="5">
        <v>0</v>
      </c>
      <c r="M9" t="s">
        <v>120</v>
      </c>
      <c r="N9" s="19">
        <f>Data!L7</f>
        <v>200</v>
      </c>
    </row>
    <row r="10" spans="1:14" x14ac:dyDescent="0.2">
      <c r="A10" s="19" t="s">
        <v>579</v>
      </c>
      <c r="B10" s="5" t="s">
        <v>296</v>
      </c>
      <c r="C10" s="5" t="s">
        <v>296</v>
      </c>
      <c r="E10" s="19" t="s">
        <v>514</v>
      </c>
      <c r="F10" s="5">
        <v>0</v>
      </c>
      <c r="G10" s="5">
        <v>0</v>
      </c>
      <c r="M10" s="19" t="s">
        <v>121</v>
      </c>
      <c r="N10" s="19">
        <f>Data!L8</f>
        <v>200</v>
      </c>
    </row>
    <row r="11" spans="1:14" x14ac:dyDescent="0.2">
      <c r="I11" s="4" t="s">
        <v>207</v>
      </c>
      <c r="M11" t="s">
        <v>342</v>
      </c>
      <c r="N11" s="19">
        <f>Data!L9</f>
        <v>0</v>
      </c>
    </row>
    <row r="12" spans="1:14" x14ac:dyDescent="0.2">
      <c r="A12" s="4" t="s">
        <v>6</v>
      </c>
      <c r="E12" t="s">
        <v>337</v>
      </c>
      <c r="F12" s="40">
        <v>1</v>
      </c>
      <c r="G12" s="40">
        <v>1</v>
      </c>
      <c r="I12" t="s">
        <v>215</v>
      </c>
      <c r="J12" s="40">
        <v>5</v>
      </c>
      <c r="K12" s="40">
        <v>5</v>
      </c>
      <c r="M12" t="s">
        <v>504</v>
      </c>
      <c r="N12" s="45">
        <f>Data!L10</f>
        <v>0</v>
      </c>
    </row>
    <row r="13" spans="1:14" x14ac:dyDescent="0.2">
      <c r="A13" t="s">
        <v>3</v>
      </c>
      <c r="B13" s="5">
        <v>12</v>
      </c>
      <c r="C13">
        <v>12</v>
      </c>
      <c r="E13" t="s">
        <v>571</v>
      </c>
      <c r="F13" s="40">
        <v>0</v>
      </c>
      <c r="G13" s="40">
        <v>0</v>
      </c>
      <c r="I13" s="38" t="s">
        <v>208</v>
      </c>
      <c r="J13" s="5">
        <v>0</v>
      </c>
      <c r="K13" s="5">
        <v>0</v>
      </c>
      <c r="M13" t="s">
        <v>246</v>
      </c>
      <c r="N13" s="45">
        <f>Data!L11</f>
        <v>0</v>
      </c>
    </row>
    <row r="14" spans="1:14" x14ac:dyDescent="0.2">
      <c r="A14" t="s">
        <v>4</v>
      </c>
      <c r="B14" s="5">
        <v>12</v>
      </c>
      <c r="C14">
        <v>12</v>
      </c>
      <c r="I14" t="s">
        <v>209</v>
      </c>
      <c r="J14" s="40">
        <v>4</v>
      </c>
      <c r="K14" s="40">
        <v>4</v>
      </c>
      <c r="L14" s="1"/>
      <c r="M14" t="s">
        <v>247</v>
      </c>
      <c r="N14" s="45">
        <f>Data!L12</f>
        <v>0</v>
      </c>
    </row>
    <row r="15" spans="1:14" x14ac:dyDescent="0.2">
      <c r="A15" t="s">
        <v>120</v>
      </c>
      <c r="B15" s="5">
        <v>12</v>
      </c>
      <c r="C15">
        <v>12</v>
      </c>
      <c r="E15" s="19" t="s">
        <v>620</v>
      </c>
      <c r="F15" s="69" t="s">
        <v>619</v>
      </c>
      <c r="G15" s="69" t="s">
        <v>619</v>
      </c>
      <c r="I15" s="18" t="s">
        <v>83</v>
      </c>
      <c r="J15" s="5">
        <v>0</v>
      </c>
      <c r="K15" s="5">
        <v>0</v>
      </c>
      <c r="L15" s="1"/>
    </row>
    <row r="16" spans="1:14" x14ac:dyDescent="0.2">
      <c r="A16" s="19" t="s">
        <v>121</v>
      </c>
      <c r="B16" s="5">
        <v>12</v>
      </c>
      <c r="C16">
        <v>12</v>
      </c>
      <c r="I16" s="24" t="s">
        <v>82</v>
      </c>
      <c r="J16" s="5">
        <v>0</v>
      </c>
      <c r="K16" s="5">
        <v>0</v>
      </c>
      <c r="L16" s="1"/>
    </row>
    <row r="17" spans="1:13" x14ac:dyDescent="0.2">
      <c r="A17" t="s">
        <v>107</v>
      </c>
      <c r="B17" s="6">
        <v>0.05</v>
      </c>
      <c r="C17" s="1">
        <f t="shared" ref="C14:C20" si="0">B17</f>
        <v>0.05</v>
      </c>
      <c r="D17" s="1"/>
      <c r="E17" s="36" t="s">
        <v>212</v>
      </c>
      <c r="F17" s="4" t="s">
        <v>86</v>
      </c>
      <c r="G17" s="4" t="s">
        <v>87</v>
      </c>
      <c r="I17" t="s">
        <v>210</v>
      </c>
      <c r="J17" s="40">
        <v>1</v>
      </c>
      <c r="K17" s="40">
        <v>1</v>
      </c>
      <c r="L17" s="1"/>
    </row>
    <row r="18" spans="1:13" x14ac:dyDescent="0.2">
      <c r="A18" t="s">
        <v>688</v>
      </c>
      <c r="B18" s="82">
        <v>16</v>
      </c>
      <c r="C18" s="21">
        <f t="shared" si="0"/>
        <v>16</v>
      </c>
      <c r="D18" s="1"/>
      <c r="E18" s="37"/>
      <c r="F18" s="37"/>
      <c r="G18" s="37"/>
      <c r="I18" t="s">
        <v>211</v>
      </c>
      <c r="J18" s="40">
        <v>5</v>
      </c>
      <c r="K18" s="40">
        <v>5</v>
      </c>
      <c r="L18" s="21"/>
    </row>
    <row r="19" spans="1:13" x14ac:dyDescent="0.2">
      <c r="A19" t="s">
        <v>689</v>
      </c>
      <c r="B19" s="82">
        <v>16</v>
      </c>
      <c r="C19" s="21">
        <f t="shared" si="0"/>
        <v>16</v>
      </c>
      <c r="D19" s="1"/>
      <c r="E19" s="4" t="s">
        <v>98</v>
      </c>
      <c r="I19" t="s">
        <v>213</v>
      </c>
      <c r="J19" s="5">
        <v>0</v>
      </c>
      <c r="K19" s="5">
        <v>0</v>
      </c>
      <c r="L19" s="21"/>
    </row>
    <row r="20" spans="1:13" x14ac:dyDescent="0.2">
      <c r="A20" t="s">
        <v>690</v>
      </c>
      <c r="B20" s="82">
        <v>0</v>
      </c>
      <c r="C20" s="21">
        <f t="shared" si="0"/>
        <v>0</v>
      </c>
      <c r="D20" s="1"/>
      <c r="E20" t="s">
        <v>99</v>
      </c>
      <c r="F20" s="5">
        <v>0</v>
      </c>
      <c r="G20" s="5">
        <v>0</v>
      </c>
      <c r="I20" t="s">
        <v>214</v>
      </c>
      <c r="J20" s="5">
        <v>0</v>
      </c>
      <c r="K20" s="5">
        <v>0</v>
      </c>
    </row>
    <row r="21" spans="1:13" x14ac:dyDescent="0.2">
      <c r="E21" t="s">
        <v>100</v>
      </c>
      <c r="F21" s="40">
        <v>70</v>
      </c>
      <c r="G21" s="40">
        <f>F21</f>
        <v>70</v>
      </c>
      <c r="H21" s="5"/>
      <c r="I21" t="s">
        <v>236</v>
      </c>
      <c r="J21" s="40">
        <v>1</v>
      </c>
      <c r="K21" s="40">
        <v>1</v>
      </c>
    </row>
    <row r="22" spans="1:13" x14ac:dyDescent="0.2">
      <c r="A22" s="4" t="s">
        <v>351</v>
      </c>
      <c r="D22" s="5"/>
      <c r="E22" t="s">
        <v>102</v>
      </c>
      <c r="F22" s="5" t="s">
        <v>523</v>
      </c>
      <c r="G22" s="5" t="s">
        <v>106</v>
      </c>
      <c r="H22" s="5"/>
      <c r="I22" s="19" t="s">
        <v>239</v>
      </c>
      <c r="J22" s="40">
        <v>0</v>
      </c>
      <c r="K22" s="40">
        <v>0</v>
      </c>
    </row>
    <row r="23" spans="1:13" x14ac:dyDescent="0.2">
      <c r="A23" t="s">
        <v>358</v>
      </c>
      <c r="B23" s="5">
        <v>1</v>
      </c>
      <c r="C23">
        <v>1</v>
      </c>
      <c r="D23" s="5"/>
      <c r="E23" t="s">
        <v>104</v>
      </c>
      <c r="F23" s="5" t="s">
        <v>71</v>
      </c>
      <c r="G23" s="5" t="s">
        <v>71</v>
      </c>
      <c r="H23" s="5"/>
      <c r="I23" t="s">
        <v>237</v>
      </c>
      <c r="J23" s="5">
        <v>0</v>
      </c>
      <c r="K23" s="5">
        <v>0</v>
      </c>
    </row>
    <row r="24" spans="1:13" x14ac:dyDescent="0.2">
      <c r="A24" t="s">
        <v>360</v>
      </c>
      <c r="B24" s="5">
        <v>1</v>
      </c>
      <c r="C24">
        <v>1</v>
      </c>
      <c r="D24" s="5"/>
      <c r="E24" t="s">
        <v>105</v>
      </c>
      <c r="F24" s="5" t="s">
        <v>93</v>
      </c>
      <c r="G24" s="5" t="s">
        <v>95</v>
      </c>
      <c r="H24" s="5"/>
      <c r="I24" t="s">
        <v>238</v>
      </c>
      <c r="J24" s="5">
        <v>0</v>
      </c>
      <c r="K24" s="5">
        <v>0</v>
      </c>
    </row>
    <row r="25" spans="1:13" x14ac:dyDescent="0.2">
      <c r="A25" t="s">
        <v>357</v>
      </c>
      <c r="B25" s="5">
        <v>1</v>
      </c>
      <c r="C25">
        <v>1</v>
      </c>
      <c r="D25" s="5"/>
      <c r="H25" s="5"/>
    </row>
    <row r="26" spans="1:13" x14ac:dyDescent="0.2">
      <c r="A26" t="s">
        <v>355</v>
      </c>
      <c r="B26" s="5">
        <v>1</v>
      </c>
      <c r="C26">
        <v>1</v>
      </c>
      <c r="D26" s="5"/>
      <c r="E26" s="4" t="s">
        <v>180</v>
      </c>
      <c r="F26" s="5">
        <v>0</v>
      </c>
      <c r="G26">
        <f>F26</f>
        <v>0</v>
      </c>
      <c r="I26" s="4" t="s">
        <v>216</v>
      </c>
      <c r="M26" s="19"/>
    </row>
    <row r="27" spans="1:13" x14ac:dyDescent="0.2">
      <c r="A27" t="s">
        <v>356</v>
      </c>
      <c r="B27" s="5">
        <v>4</v>
      </c>
      <c r="C27">
        <v>4</v>
      </c>
      <c r="D27" s="5"/>
      <c r="E27" t="s">
        <v>220</v>
      </c>
      <c r="F27" s="32" t="s">
        <v>181</v>
      </c>
      <c r="G27" s="32" t="s">
        <v>181</v>
      </c>
      <c r="I27" t="s">
        <v>217</v>
      </c>
      <c r="J27" s="39">
        <v>450</v>
      </c>
      <c r="K27" s="40">
        <v>450</v>
      </c>
      <c r="M27" s="19"/>
    </row>
    <row r="28" spans="1:13" x14ac:dyDescent="0.2">
      <c r="A28" t="s">
        <v>359</v>
      </c>
      <c r="B28" s="5">
        <v>5</v>
      </c>
      <c r="C28">
        <f t="shared" ref="C28:C32" si="1">B28</f>
        <v>5</v>
      </c>
      <c r="D28" s="5"/>
      <c r="E28" t="s">
        <v>221</v>
      </c>
      <c r="F28" s="32" t="s">
        <v>181</v>
      </c>
      <c r="G28" s="32" t="s">
        <v>181</v>
      </c>
      <c r="I28" s="19" t="s">
        <v>218</v>
      </c>
      <c r="J28" s="5">
        <v>0</v>
      </c>
      <c r="K28" s="5">
        <v>0</v>
      </c>
    </row>
    <row r="29" spans="1:13" x14ac:dyDescent="0.2">
      <c r="A29" t="s">
        <v>507</v>
      </c>
      <c r="B29" s="5">
        <v>1</v>
      </c>
      <c r="C29">
        <f t="shared" si="1"/>
        <v>1</v>
      </c>
      <c r="D29" s="5"/>
      <c r="E29" t="s">
        <v>222</v>
      </c>
      <c r="F29" s="32" t="s">
        <v>181</v>
      </c>
      <c r="G29" s="32" t="s">
        <v>181</v>
      </c>
    </row>
    <row r="30" spans="1:13" x14ac:dyDescent="0.2">
      <c r="A30" t="s">
        <v>508</v>
      </c>
      <c r="B30" s="5">
        <v>1</v>
      </c>
      <c r="C30">
        <f t="shared" si="1"/>
        <v>1</v>
      </c>
      <c r="D30" s="5"/>
      <c r="I30" s="4" t="s">
        <v>219</v>
      </c>
      <c r="L30" s="5"/>
      <c r="M30" s="38"/>
    </row>
    <row r="31" spans="1:13" x14ac:dyDescent="0.2">
      <c r="A31" t="s">
        <v>509</v>
      </c>
      <c r="B31" s="5">
        <v>1</v>
      </c>
      <c r="C31">
        <f t="shared" si="1"/>
        <v>1</v>
      </c>
      <c r="D31" s="5"/>
      <c r="E31" t="s">
        <v>108</v>
      </c>
      <c r="F31" s="5">
        <v>1</v>
      </c>
      <c r="G31" s="5">
        <v>1</v>
      </c>
      <c r="I31" s="19" t="s">
        <v>204</v>
      </c>
      <c r="J31" s="39">
        <v>475</v>
      </c>
      <c r="K31" s="40">
        <v>475</v>
      </c>
      <c r="L31" s="5"/>
      <c r="M31" s="38"/>
    </row>
    <row r="32" spans="1:13" x14ac:dyDescent="0.2">
      <c r="A32" t="s">
        <v>510</v>
      </c>
      <c r="B32" s="5">
        <v>1</v>
      </c>
      <c r="C32">
        <f t="shared" si="1"/>
        <v>1</v>
      </c>
      <c r="D32" s="5"/>
      <c r="I32" t="s">
        <v>185</v>
      </c>
      <c r="J32" s="5">
        <v>0</v>
      </c>
      <c r="K32" s="5">
        <v>0</v>
      </c>
    </row>
    <row r="33" spans="1:14" x14ac:dyDescent="0.2">
      <c r="A33" t="s">
        <v>511</v>
      </c>
      <c r="B33" s="5">
        <v>1</v>
      </c>
      <c r="C33">
        <v>1</v>
      </c>
      <c r="D33" s="5"/>
      <c r="E33" s="4" t="s">
        <v>714</v>
      </c>
      <c r="I33" s="13" t="s">
        <v>537</v>
      </c>
      <c r="J33" s="5">
        <v>0</v>
      </c>
      <c r="K33" s="5">
        <v>0</v>
      </c>
      <c r="L33" s="5"/>
    </row>
    <row r="34" spans="1:14" x14ac:dyDescent="0.2">
      <c r="A34" t="s">
        <v>512</v>
      </c>
      <c r="B34" s="5">
        <v>5</v>
      </c>
      <c r="C34">
        <v>5</v>
      </c>
      <c r="D34" s="5"/>
      <c r="E34" s="19" t="s">
        <v>713</v>
      </c>
      <c r="F34" s="5">
        <v>1</v>
      </c>
      <c r="G34" s="5">
        <v>1</v>
      </c>
      <c r="I34" s="11" t="s">
        <v>536</v>
      </c>
      <c r="J34" s="5">
        <v>1</v>
      </c>
      <c r="K34" s="5">
        <v>1</v>
      </c>
    </row>
    <row r="35" spans="1:14" x14ac:dyDescent="0.2">
      <c r="D35" s="5"/>
    </row>
    <row r="36" spans="1:14" x14ac:dyDescent="0.2">
      <c r="A36" s="4" t="s">
        <v>352</v>
      </c>
    </row>
    <row r="37" spans="1:14" x14ac:dyDescent="0.2">
      <c r="A37" t="s">
        <v>364</v>
      </c>
      <c r="B37" s="5">
        <v>0</v>
      </c>
      <c r="C37">
        <f t="shared" ref="C37:C42" si="2">B37</f>
        <v>0</v>
      </c>
      <c r="E37" t="s">
        <v>556</v>
      </c>
      <c r="F37" s="5">
        <v>0.5</v>
      </c>
      <c r="G37" s="5">
        <v>0.5</v>
      </c>
      <c r="J37" s="5"/>
      <c r="K37" s="5"/>
      <c r="M37" s="28"/>
      <c r="N37" s="19"/>
    </row>
    <row r="38" spans="1:14" x14ac:dyDescent="0.2">
      <c r="A38" t="s">
        <v>366</v>
      </c>
      <c r="B38" s="5">
        <v>0</v>
      </c>
      <c r="C38">
        <f t="shared" si="2"/>
        <v>0</v>
      </c>
    </row>
    <row r="39" spans="1:14" x14ac:dyDescent="0.2">
      <c r="A39" t="s">
        <v>363</v>
      </c>
      <c r="B39" s="5">
        <v>0</v>
      </c>
      <c r="C39">
        <f t="shared" si="2"/>
        <v>0</v>
      </c>
      <c r="I39" s="4" t="s">
        <v>223</v>
      </c>
      <c r="M39" s="4" t="s">
        <v>86</v>
      </c>
      <c r="N39" s="4" t="s">
        <v>87</v>
      </c>
    </row>
    <row r="40" spans="1:14" x14ac:dyDescent="0.2">
      <c r="A40" t="s">
        <v>361</v>
      </c>
      <c r="B40" s="5">
        <v>0</v>
      </c>
      <c r="C40">
        <f t="shared" si="2"/>
        <v>0</v>
      </c>
      <c r="I40" t="s">
        <v>307</v>
      </c>
      <c r="J40" s="5">
        <v>0</v>
      </c>
      <c r="K40" s="5">
        <v>0</v>
      </c>
      <c r="L40" t="s">
        <v>272</v>
      </c>
      <c r="M40" s="40">
        <v>10</v>
      </c>
      <c r="N40" s="40">
        <v>14</v>
      </c>
    </row>
    <row r="41" spans="1:14" x14ac:dyDescent="0.2">
      <c r="A41" t="s">
        <v>362</v>
      </c>
      <c r="B41" s="5">
        <v>0</v>
      </c>
      <c r="C41">
        <f t="shared" si="2"/>
        <v>0</v>
      </c>
      <c r="I41" t="s">
        <v>308</v>
      </c>
      <c r="J41" s="5">
        <v>0</v>
      </c>
      <c r="K41" s="5">
        <v>0</v>
      </c>
      <c r="L41" t="s">
        <v>651</v>
      </c>
      <c r="M41" s="40">
        <v>12</v>
      </c>
      <c r="N41" s="40">
        <v>17</v>
      </c>
    </row>
    <row r="42" spans="1:14" x14ac:dyDescent="0.2">
      <c r="A42" t="s">
        <v>365</v>
      </c>
      <c r="B42" s="5">
        <v>0</v>
      </c>
      <c r="C42">
        <f t="shared" si="2"/>
        <v>0</v>
      </c>
      <c r="I42" t="s">
        <v>309</v>
      </c>
      <c r="J42" s="5">
        <v>0</v>
      </c>
      <c r="K42" s="5">
        <v>0</v>
      </c>
      <c r="L42" t="s">
        <v>311</v>
      </c>
      <c r="M42" s="40">
        <v>10</v>
      </c>
      <c r="N42" s="40">
        <v>15</v>
      </c>
    </row>
    <row r="43" spans="1:14" x14ac:dyDescent="0.2">
      <c r="I43" t="s">
        <v>310</v>
      </c>
      <c r="J43" s="5">
        <v>0</v>
      </c>
      <c r="K43" s="5">
        <v>0</v>
      </c>
      <c r="L43" t="s">
        <v>312</v>
      </c>
      <c r="M43" s="41">
        <v>0.15</v>
      </c>
      <c r="N43" s="42">
        <v>0.2</v>
      </c>
    </row>
    <row r="44" spans="1:14" x14ac:dyDescent="0.2">
      <c r="A44" s="4" t="s">
        <v>353</v>
      </c>
    </row>
    <row r="46" spans="1:14" x14ac:dyDescent="0.2">
      <c r="A46" s="4" t="s">
        <v>354</v>
      </c>
    </row>
  </sheetData>
  <phoneticPr fontId="2" type="noConversion"/>
  <conditionalFormatting sqref="G21 K7 K31 K12 K17:K18 K14 K27 K21:K22 N40:N43 G12:G13">
    <cfRule type="cellIs" dxfId="15" priority="1" stopIfTrue="1" operator="notEqual">
      <formula>INDIRECT(ADDRESS(ROW(), COLUMN()-1))</formula>
    </cfRule>
  </conditionalFormatting>
  <conditionalFormatting sqref="K4 K19:K20 K28 K13 K15:K16 G20 K23:K24 K40:K43 G9:G10 G6:G7 K37 K32:K34 K37 G31 G34 G37">
    <cfRule type="cellIs" dxfId="14" priority="2" stopIfTrue="1" operator="notEqual">
      <formula>INDIRECT(ADDRESS(ROW(), COLUMN()-1))</formula>
    </cfRule>
  </conditionalFormatting>
  <conditionalFormatting sqref="G3:G4">
    <cfRule type="expression" dxfId="13" priority="3" stopIfTrue="1">
      <formula>AND($G$3=1, $G$4=1)</formula>
    </cfRule>
    <cfRule type="cellIs" dxfId="12" priority="4" stopIfTrue="1" operator="notEqual">
      <formula>$F3</formula>
    </cfRule>
  </conditionalFormatting>
  <conditionalFormatting sqref="F3:F4">
    <cfRule type="expression" dxfId="11" priority="5" stopIfTrue="1">
      <formula>AND($F$3=1, $F$4=1)</formula>
    </cfRule>
  </conditionalFormatting>
  <conditionalFormatting sqref="J8:J9">
    <cfRule type="expression" dxfId="10" priority="6" stopIfTrue="1">
      <formula>AND($J$8=1, $J$9=1)</formula>
    </cfRule>
  </conditionalFormatting>
  <conditionalFormatting sqref="K8">
    <cfRule type="expression" dxfId="9" priority="7" stopIfTrue="1">
      <formula>AND($K$8=1, $K$9=1)</formula>
    </cfRule>
    <cfRule type="cellIs" dxfId="8" priority="8" stopIfTrue="1" operator="notEqual">
      <formula>$J$8</formula>
    </cfRule>
  </conditionalFormatting>
  <conditionalFormatting sqref="K9">
    <cfRule type="expression" dxfId="7" priority="9" stopIfTrue="1">
      <formula>AND($K$8=1, $K$9=1)</formula>
    </cfRule>
    <cfRule type="cellIs" dxfId="6" priority="10" stopIfTrue="1" operator="notEqual">
      <formula>$J$9</formula>
    </cfRule>
  </conditionalFormatting>
  <dataValidations count="13">
    <dataValidation type="list" allowBlank="1" showInputMessage="1" showErrorMessage="1" sqref="D23:D35 F22:G24" xr:uid="{00000000-0002-0000-0000-000000000000}">
      <formula1>Atmas</formula1>
    </dataValidation>
    <dataValidation type="whole" allowBlank="1" showInputMessage="1" showErrorMessage="1" sqref="B37:B42 J14:K14 J21:K22 J12:K12 J17:K18 B23:B34" xr:uid="{00000000-0002-0000-0000-000001000000}">
      <formula1>0</formula1>
      <formula2>5</formula2>
    </dataValidation>
    <dataValidation type="list" allowBlank="1" showInputMessage="1" showErrorMessage="1" sqref="B10:C10" xr:uid="{00000000-0002-0000-0000-000002000000}">
      <formula1>SpellClass</formula1>
    </dataValidation>
    <dataValidation type="list" allowBlank="1" showInputMessage="1" showErrorMessage="1" sqref="J32:K34 N37 F6:G7 J40:K43 J19:K20 J8:K9 J4:K4 J13:K13 J15:K16 J23:K24 J28:K28 F3:G4 F9:G10 F26 F31:G31 F20:G20 F34:G34" xr:uid="{00000000-0002-0000-0000-000003000000}">
      <formula1>Toggle</formula1>
    </dataValidation>
    <dataValidation type="whole" allowBlank="1" showInputMessage="1" showErrorMessage="1" sqref="F12:G13" xr:uid="{00000000-0002-0000-0000-000004000000}">
      <formula1>0</formula1>
      <formula2>10</formula2>
    </dataValidation>
    <dataValidation type="decimal" allowBlank="1" showInputMessage="1" showErrorMessage="1" sqref="N4" xr:uid="{00000000-0002-0000-0000-000005000000}">
      <formula1>0</formula1>
      <formula2>0.99</formula2>
    </dataValidation>
    <dataValidation type="whole" allowBlank="1" showInputMessage="1" showErrorMessage="1" sqref="J27:K27 J7:K7 J31:K31" xr:uid="{00000000-0002-0000-0000-000006000000}">
      <formula1>0</formula1>
      <formula2>500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7" xr:uid="{00000000-0002-0000-0000-000008000000}">
      <formula1>Subjobs</formula1>
    </dataValidation>
    <dataValidation type="list" allowBlank="1" showInputMessage="1" showErrorMessage="1" sqref="B8" xr:uid="{00000000-0002-0000-0000-000009000000}">
      <formula1>FoodList</formula1>
    </dataValidation>
    <dataValidation type="list" allowBlank="1" showInputMessage="1" showErrorMessage="1" sqref="B4" xr:uid="{00000000-0002-0000-0000-00000A000000}">
      <formula1>Races</formula1>
    </dataValidation>
    <dataValidation type="whole" allowBlank="1" showInputMessage="1" showErrorMessage="1" sqref="B13:B16" xr:uid="{00000000-0002-0000-0000-00000B000000}">
      <formula1>0</formula1>
      <formula2>12</formula2>
    </dataValidation>
    <dataValidation type="list" allowBlank="1" showInputMessage="1" showErrorMessage="1" sqref="F15:G15" xr:uid="{00000000-0002-0000-0000-00000C000000}">
      <formula1>HelixDamageType</formula1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K68"/>
  <sheetViews>
    <sheetView workbookViewId="0">
      <selection activeCell="B3" sqref="B3"/>
    </sheetView>
  </sheetViews>
  <sheetFormatPr defaultRowHeight="12.75" x14ac:dyDescent="0.2"/>
  <cols>
    <col min="1" max="1" width="10.42578125" customWidth="1"/>
    <col min="2" max="2" width="19" customWidth="1"/>
    <col min="3" max="3" width="4.7109375" customWidth="1"/>
    <col min="4" max="4" width="4.42578125" customWidth="1"/>
    <col min="5" max="5" width="4.28515625" customWidth="1"/>
    <col min="6" max="7" width="4.5703125" customWidth="1"/>
    <col min="8" max="8" width="5.5703125" customWidth="1"/>
    <col min="9" max="9" width="4.85546875" customWidth="1"/>
    <col min="10" max="11" width="6.7109375" customWidth="1"/>
    <col min="12" max="12" width="6.28515625" customWidth="1"/>
    <col min="13" max="13" width="6.42578125" customWidth="1"/>
    <col min="14" max="14" width="7.140625" customWidth="1"/>
    <col min="15" max="15" width="7.42578125" customWidth="1"/>
    <col min="16" max="16" width="8.42578125" customWidth="1"/>
    <col min="17" max="17" width="6" customWidth="1"/>
    <col min="18" max="18" width="3.42578125" customWidth="1"/>
    <col min="19" max="19" width="2.7109375" customWidth="1"/>
    <col min="20" max="20" width="1" style="65" customWidth="1"/>
    <col min="21" max="21" width="2.7109375" customWidth="1"/>
    <col min="22" max="22" width="8.7109375" customWidth="1"/>
    <col min="23" max="30" width="7.7109375" customWidth="1"/>
    <col min="31" max="31" width="2.7109375" customWidth="1"/>
    <col min="32" max="32" width="1" style="65" customWidth="1"/>
    <col min="33" max="33" width="2.7109375" customWidth="1"/>
    <col min="34" max="34" width="9.7109375" customWidth="1"/>
    <col min="35" max="35" width="12.28515625" customWidth="1"/>
    <col min="36" max="36" width="8.7109375" customWidth="1"/>
    <col min="37" max="37" width="3.42578125" customWidth="1"/>
  </cols>
  <sheetData>
    <row r="1" spans="1:37" x14ac:dyDescent="0.2">
      <c r="A1" s="19" t="s">
        <v>596</v>
      </c>
      <c r="AH1" t="s">
        <v>559</v>
      </c>
    </row>
    <row r="2" spans="1:37" x14ac:dyDescent="0.2">
      <c r="A2" t="s">
        <v>8</v>
      </c>
      <c r="B2" t="s">
        <v>14</v>
      </c>
      <c r="C2" t="s">
        <v>26</v>
      </c>
      <c r="D2" s="19" t="s">
        <v>645</v>
      </c>
      <c r="E2" s="19" t="s">
        <v>676</v>
      </c>
      <c r="F2" t="s">
        <v>120</v>
      </c>
      <c r="G2" s="19" t="s">
        <v>121</v>
      </c>
      <c r="H2" s="19" t="s">
        <v>651</v>
      </c>
      <c r="I2" t="s">
        <v>272</v>
      </c>
      <c r="J2" s="19" t="s">
        <v>595</v>
      </c>
      <c r="K2" t="s">
        <v>390</v>
      </c>
      <c r="L2" t="s">
        <v>392</v>
      </c>
      <c r="M2" t="s">
        <v>275</v>
      </c>
      <c r="N2" t="s">
        <v>515</v>
      </c>
      <c r="O2" s="21" t="s">
        <v>516</v>
      </c>
      <c r="P2" t="s">
        <v>312</v>
      </c>
      <c r="Q2" t="s">
        <v>11</v>
      </c>
      <c r="S2" s="9"/>
      <c r="V2" s="8" t="s">
        <v>305</v>
      </c>
      <c r="W2" s="8" t="s">
        <v>278</v>
      </c>
      <c r="X2" s="8" t="s">
        <v>290</v>
      </c>
      <c r="Y2" s="14" t="s">
        <v>291</v>
      </c>
      <c r="Z2" s="14" t="s">
        <v>292</v>
      </c>
      <c r="AA2" s="14" t="s">
        <v>293</v>
      </c>
      <c r="AB2" s="14" t="s">
        <v>294</v>
      </c>
      <c r="AC2" s="77" t="s">
        <v>644</v>
      </c>
      <c r="AD2" s="77" t="s">
        <v>645</v>
      </c>
      <c r="AH2" t="s">
        <v>8</v>
      </c>
      <c r="AI2" t="s">
        <v>14</v>
      </c>
      <c r="AJ2" t="s">
        <v>312</v>
      </c>
      <c r="AK2" s="9"/>
    </row>
    <row r="3" spans="1:37" x14ac:dyDescent="0.2">
      <c r="A3" t="s">
        <v>45</v>
      </c>
      <c r="B3" s="22" t="s">
        <v>759</v>
      </c>
      <c r="C3">
        <f t="shared" ref="C3:Q17" ca="1" si="0">IF(ISBLANK($B3), 0, VLOOKUP($B3, INDIRECT($A3), MATCH(C$2, StatHeader, 0), 0))</f>
        <v>0</v>
      </c>
      <c r="D3">
        <f t="shared" ca="1" si="0"/>
        <v>0</v>
      </c>
      <c r="E3">
        <f t="shared" ca="1" si="0"/>
        <v>0</v>
      </c>
      <c r="F3">
        <f t="shared" ca="1" si="0"/>
        <v>27</v>
      </c>
      <c r="G3">
        <f t="shared" ca="1" si="0"/>
        <v>12</v>
      </c>
      <c r="H3">
        <f t="shared" ref="H3:H17" ca="1" si="1">IF(ISBLANK($B3), 0, VLOOKUP($B3, INDIRECT($A3), MATCH(H$2, StatHeader, 0), 0))</f>
        <v>0</v>
      </c>
      <c r="I3">
        <f t="shared" ca="1" si="0"/>
        <v>63</v>
      </c>
      <c r="J3">
        <f t="shared" ref="J3:J17" ca="1" si="2">IF(ISBLANK($B3), 0, VLOOKUP($B3, INDIRECT($A3), MATCH(J$2, StatHeader, 0), 0))</f>
        <v>232</v>
      </c>
      <c r="K3" s="31">
        <f t="shared" ca="1" si="0"/>
        <v>0</v>
      </c>
      <c r="L3">
        <f t="shared" ca="1" si="0"/>
        <v>0</v>
      </c>
      <c r="M3" s="31">
        <f t="shared" ref="M3:M17" ca="1" si="3">IF(ISBLANK($B3), 0, VLOOKUP($B3, INDIRECT($A3), MATCH(M$2, StatHeader, 0), 0))</f>
        <v>0</v>
      </c>
      <c r="N3" s="31">
        <f t="shared" ca="1" si="0"/>
        <v>0</v>
      </c>
      <c r="O3" s="31">
        <f t="shared" ca="1" si="0"/>
        <v>0</v>
      </c>
      <c r="P3" s="31">
        <f t="shared" ca="1" si="0"/>
        <v>0</v>
      </c>
      <c r="Q3">
        <f t="shared" ca="1" si="0"/>
        <v>0</v>
      </c>
      <c r="R3" t="str">
        <f t="shared" ref="R3:R17" si="4">IF(B27=B3, "=", "-")</f>
        <v>=</v>
      </c>
      <c r="V3" t="s">
        <v>279</v>
      </c>
      <c r="W3" s="60">
        <f t="shared" ref="W3:AD16" ca="1" si="5">VLOOKUP($V3, INDIRECT(VLOOKUP($W$22, TypeDescription, 2, 0)&amp;"1"), MATCH(W$2, ElementHeader, 0), 0)</f>
        <v>1614.26</v>
      </c>
      <c r="X3" s="60">
        <f t="shared" ca="1" si="5"/>
        <v>1634.26</v>
      </c>
      <c r="Y3" s="60">
        <f t="shared" ca="1" si="5"/>
        <v>1653.29</v>
      </c>
      <c r="Z3" s="60">
        <f t="shared" ca="1" si="5"/>
        <v>1672.32</v>
      </c>
      <c r="AA3" s="60">
        <f t="shared" ca="1" si="5"/>
        <v>1718.32</v>
      </c>
      <c r="AB3" s="60">
        <f t="shared" ca="1" si="5"/>
        <v>1746.35</v>
      </c>
      <c r="AC3" s="60">
        <f t="shared" ca="1" si="5"/>
        <v>1212.9599999999998</v>
      </c>
      <c r="AD3" s="60">
        <f t="shared" ca="1" si="5"/>
        <v>0</v>
      </c>
      <c r="AH3" t="s">
        <v>45</v>
      </c>
      <c r="AI3" s="22" t="s">
        <v>741</v>
      </c>
      <c r="AJ3" s="31">
        <f t="shared" ref="AJ3:AJ17" ca="1" si="6">IF(ISBLANK($AI3), 0, VLOOKUP($AI3, INDIRECT($AH3), MATCH(P$2, StatHeader, 0), 0))</f>
        <v>0.02</v>
      </c>
      <c r="AK3" t="str">
        <f>IF(AI27=AI3, "=", "-")</f>
        <v>=</v>
      </c>
    </row>
    <row r="4" spans="1:37" x14ac:dyDescent="0.2">
      <c r="A4" t="s">
        <v>615</v>
      </c>
      <c r="B4" s="20" t="s">
        <v>692</v>
      </c>
      <c r="C4">
        <f t="shared" ca="1" si="0"/>
        <v>0</v>
      </c>
      <c r="D4">
        <f t="shared" ca="1" si="0"/>
        <v>0</v>
      </c>
      <c r="E4">
        <f t="shared" ca="1" si="0"/>
        <v>0</v>
      </c>
      <c r="F4">
        <f t="shared" ca="1" si="0"/>
        <v>0</v>
      </c>
      <c r="G4">
        <f t="shared" ca="1" si="0"/>
        <v>0</v>
      </c>
      <c r="H4">
        <f t="shared" ca="1" si="1"/>
        <v>0</v>
      </c>
      <c r="I4">
        <f t="shared" ca="1" si="0"/>
        <v>0</v>
      </c>
      <c r="J4">
        <f t="shared" ca="1" si="2"/>
        <v>10</v>
      </c>
      <c r="K4" s="31">
        <f t="shared" ca="1" si="0"/>
        <v>0</v>
      </c>
      <c r="L4">
        <f t="shared" ca="1" si="0"/>
        <v>0</v>
      </c>
      <c r="M4" s="31">
        <f t="shared" ca="1" si="3"/>
        <v>0</v>
      </c>
      <c r="N4" s="31">
        <f t="shared" ca="1" si="0"/>
        <v>0</v>
      </c>
      <c r="O4" s="31">
        <f t="shared" ca="1" si="0"/>
        <v>0</v>
      </c>
      <c r="P4" s="31">
        <f t="shared" ca="1" si="0"/>
        <v>0</v>
      </c>
      <c r="Q4">
        <f t="shared" ca="1" si="0"/>
        <v>0</v>
      </c>
      <c r="R4" t="str">
        <f t="shared" si="4"/>
        <v>=</v>
      </c>
      <c r="V4" t="s">
        <v>280</v>
      </c>
      <c r="W4" s="60">
        <f t="shared" ca="1" si="5"/>
        <v>2315.7999999999997</v>
      </c>
      <c r="X4" s="60">
        <f t="shared" ca="1" si="5"/>
        <v>2334.7999999999997</v>
      </c>
      <c r="Y4" s="60">
        <f t="shared" ca="1" si="5"/>
        <v>2357.83</v>
      </c>
      <c r="Z4" s="60">
        <f t="shared" ca="1" si="5"/>
        <v>2381.83</v>
      </c>
      <c r="AA4" s="60">
        <f t="shared" ca="1" si="5"/>
        <v>2441.8599999999997</v>
      </c>
      <c r="AB4" s="60">
        <f t="shared" ca="1" si="5"/>
        <v>2477.89</v>
      </c>
      <c r="AC4" s="60">
        <f t="shared" ca="1" si="5"/>
        <v>1525.2</v>
      </c>
      <c r="AD4" s="60">
        <f t="shared" ca="1" si="5"/>
        <v>0</v>
      </c>
      <c r="AH4" t="s">
        <v>80</v>
      </c>
      <c r="AI4" s="20"/>
      <c r="AJ4" s="31">
        <f t="shared" ca="1" si="6"/>
        <v>0</v>
      </c>
      <c r="AK4" t="str">
        <f t="shared" ref="AK4:AK17" si="7">IF(AI28=AI4, "=", "-")</f>
        <v>=</v>
      </c>
    </row>
    <row r="5" spans="1:37" x14ac:dyDescent="0.2">
      <c r="A5" t="s">
        <v>15</v>
      </c>
      <c r="B5" s="20" t="s">
        <v>738</v>
      </c>
      <c r="C5">
        <f t="shared" ca="1" si="0"/>
        <v>0</v>
      </c>
      <c r="D5">
        <f t="shared" ca="1" si="0"/>
        <v>0</v>
      </c>
      <c r="E5">
        <f t="shared" ca="1" si="0"/>
        <v>0</v>
      </c>
      <c r="F5">
        <f t="shared" ca="1" si="0"/>
        <v>6</v>
      </c>
      <c r="G5">
        <f t="shared" ca="1" si="0"/>
        <v>0</v>
      </c>
      <c r="H5">
        <f t="shared" ca="1" si="1"/>
        <v>0</v>
      </c>
      <c r="I5">
        <f t="shared" ca="1" si="0"/>
        <v>3</v>
      </c>
      <c r="J5">
        <f t="shared" ca="1" si="2"/>
        <v>0</v>
      </c>
      <c r="K5" s="31">
        <f t="shared" ca="1" si="0"/>
        <v>0</v>
      </c>
      <c r="L5">
        <f t="shared" ca="1" si="0"/>
        <v>0</v>
      </c>
      <c r="M5" s="31">
        <f t="shared" ca="1" si="3"/>
        <v>0</v>
      </c>
      <c r="N5" s="31">
        <f t="shared" ca="1" si="0"/>
        <v>0</v>
      </c>
      <c r="O5" s="31">
        <f t="shared" ca="1" si="0"/>
        <v>0.04</v>
      </c>
      <c r="P5" s="31">
        <f t="shared" ca="1" si="0"/>
        <v>0</v>
      </c>
      <c r="Q5">
        <f t="shared" ca="1" si="0"/>
        <v>0</v>
      </c>
      <c r="R5" t="str">
        <f t="shared" si="4"/>
        <v>=</v>
      </c>
      <c r="V5" t="s">
        <v>281</v>
      </c>
      <c r="W5" s="60">
        <f t="shared" ca="1" si="5"/>
        <v>3055.37</v>
      </c>
      <c r="X5" s="60">
        <f t="shared" ca="1" si="5"/>
        <v>3094.3999999999996</v>
      </c>
      <c r="Y5" s="60">
        <f t="shared" ca="1" si="5"/>
        <v>3136.43</v>
      </c>
      <c r="Z5" s="60">
        <f t="shared" ca="1" si="5"/>
        <v>3179.46</v>
      </c>
      <c r="AA5" s="60">
        <f t="shared" ca="1" si="5"/>
        <v>3271.49</v>
      </c>
      <c r="AB5" s="60">
        <f t="shared" ca="1" si="5"/>
        <v>3331.55</v>
      </c>
      <c r="AC5" s="60">
        <f t="shared" ca="1" si="5"/>
        <v>2045.59</v>
      </c>
      <c r="AD5" s="60">
        <f t="shared" ca="1" si="5"/>
        <v>0</v>
      </c>
      <c r="AH5" t="s">
        <v>15</v>
      </c>
      <c r="AI5" s="20" t="s">
        <v>738</v>
      </c>
      <c r="AJ5" s="31">
        <f t="shared" ca="1" si="6"/>
        <v>0</v>
      </c>
      <c r="AK5" t="str">
        <f t="shared" si="7"/>
        <v>-</v>
      </c>
    </row>
    <row r="6" spans="1:37" x14ac:dyDescent="0.2">
      <c r="A6" t="s">
        <v>16</v>
      </c>
      <c r="B6" s="20" t="s">
        <v>750</v>
      </c>
      <c r="C6">
        <f t="shared" ca="1" si="0"/>
        <v>0</v>
      </c>
      <c r="D6">
        <f t="shared" ca="1" si="0"/>
        <v>0</v>
      </c>
      <c r="E6">
        <f t="shared" ca="1" si="0"/>
        <v>0</v>
      </c>
      <c r="F6">
        <f t="shared" ca="1" si="0"/>
        <v>21</v>
      </c>
      <c r="G6">
        <f t="shared" ca="1" si="0"/>
        <v>22</v>
      </c>
      <c r="H6">
        <f t="shared" ca="1" si="1"/>
        <v>7</v>
      </c>
      <c r="I6">
        <f t="shared" ca="1" si="0"/>
        <v>32</v>
      </c>
      <c r="J6">
        <f t="shared" ca="1" si="2"/>
        <v>0</v>
      </c>
      <c r="K6" s="31">
        <f t="shared" ca="1" si="0"/>
        <v>0</v>
      </c>
      <c r="L6">
        <f t="shared" ca="1" si="0"/>
        <v>0</v>
      </c>
      <c r="M6" s="31">
        <f t="shared" ca="1" si="3"/>
        <v>0</v>
      </c>
      <c r="N6" s="31">
        <f t="shared" ca="1" si="0"/>
        <v>0</v>
      </c>
      <c r="O6" s="31">
        <f t="shared" ca="1" si="0"/>
        <v>0.03</v>
      </c>
      <c r="P6" s="31">
        <f t="shared" ca="1" si="0"/>
        <v>0</v>
      </c>
      <c r="Q6">
        <f t="shared" ca="1" si="0"/>
        <v>51</v>
      </c>
      <c r="R6" t="str">
        <f t="shared" si="4"/>
        <v>=</v>
      </c>
      <c r="V6" t="s">
        <v>282</v>
      </c>
      <c r="W6" s="60">
        <f t="shared" ca="1" si="5"/>
        <v>4182.24</v>
      </c>
      <c r="X6" s="60">
        <f t="shared" ca="1" si="5"/>
        <v>4260.3</v>
      </c>
      <c r="Y6" s="60">
        <f t="shared" ca="1" si="5"/>
        <v>4341.3599999999997</v>
      </c>
      <c r="Z6" s="60">
        <f t="shared" ca="1" si="5"/>
        <v>4441.45</v>
      </c>
      <c r="AA6" s="60">
        <f t="shared" ca="1" si="5"/>
        <v>4593.51</v>
      </c>
      <c r="AB6" s="60">
        <f t="shared" ca="1" si="5"/>
        <v>4699.57</v>
      </c>
      <c r="AC6" s="60">
        <f t="shared" ca="1" si="5"/>
        <v>0</v>
      </c>
      <c r="AD6" s="60">
        <f t="shared" ca="1" si="5"/>
        <v>0</v>
      </c>
      <c r="AH6" t="s">
        <v>16</v>
      </c>
      <c r="AI6" s="20" t="s">
        <v>403</v>
      </c>
      <c r="AJ6" s="31">
        <f t="shared" ca="1" si="6"/>
        <v>0.1</v>
      </c>
      <c r="AK6" t="str">
        <f t="shared" si="7"/>
        <v>-</v>
      </c>
    </row>
    <row r="7" spans="1:37" x14ac:dyDescent="0.2">
      <c r="A7" t="s">
        <v>17</v>
      </c>
      <c r="B7" s="20" t="s">
        <v>413</v>
      </c>
      <c r="C7">
        <f t="shared" ca="1" si="0"/>
        <v>0</v>
      </c>
      <c r="D7">
        <f t="shared" ca="1" si="0"/>
        <v>0</v>
      </c>
      <c r="E7">
        <f t="shared" ca="1" si="0"/>
        <v>0</v>
      </c>
      <c r="F7">
        <f t="shared" ca="1" si="0"/>
        <v>0</v>
      </c>
      <c r="G7">
        <f t="shared" ca="1" si="0"/>
        <v>0</v>
      </c>
      <c r="H7">
        <f t="shared" ca="1" si="1"/>
        <v>5</v>
      </c>
      <c r="I7">
        <f t="shared" ca="1" si="0"/>
        <v>11</v>
      </c>
      <c r="J7">
        <f t="shared" ca="1" si="2"/>
        <v>0</v>
      </c>
      <c r="K7" s="31">
        <f t="shared" ca="1" si="0"/>
        <v>0</v>
      </c>
      <c r="L7">
        <f t="shared" ca="1" si="0"/>
        <v>0</v>
      </c>
      <c r="M7" s="31">
        <f t="shared" ca="1" si="3"/>
        <v>0</v>
      </c>
      <c r="N7" s="31">
        <f t="shared" ca="1" si="0"/>
        <v>0</v>
      </c>
      <c r="O7" s="31">
        <f t="shared" ca="1" si="0"/>
        <v>0</v>
      </c>
      <c r="P7" s="31">
        <f t="shared" ca="1" si="0"/>
        <v>0</v>
      </c>
      <c r="Q7">
        <f t="shared" ca="1" si="0"/>
        <v>0</v>
      </c>
      <c r="R7" t="str">
        <f t="shared" si="4"/>
        <v>=</v>
      </c>
      <c r="V7" s="8" t="s">
        <v>283</v>
      </c>
      <c r="W7" s="61">
        <f t="shared" ca="1" si="5"/>
        <v>5503.2599999999993</v>
      </c>
      <c r="X7" s="61">
        <f t="shared" ca="1" si="5"/>
        <v>5576.32</v>
      </c>
      <c r="Y7" s="61">
        <f t="shared" ca="1" si="5"/>
        <v>5654.38</v>
      </c>
      <c r="Z7" s="61">
        <f t="shared" ca="1" si="5"/>
        <v>5727.44</v>
      </c>
      <c r="AA7" s="61">
        <f t="shared" ca="1" si="5"/>
        <v>5899.5</v>
      </c>
      <c r="AB7" s="61">
        <f t="shared" ca="1" si="5"/>
        <v>6004.53</v>
      </c>
      <c r="AC7" s="61">
        <f t="shared" ca="1" si="5"/>
        <v>0</v>
      </c>
      <c r="AD7" s="61">
        <f t="shared" ca="1" si="5"/>
        <v>0</v>
      </c>
      <c r="AH7" t="s">
        <v>17</v>
      </c>
      <c r="AI7" s="20" t="s">
        <v>414</v>
      </c>
      <c r="AJ7" s="31">
        <f t="shared" ca="1" si="6"/>
        <v>0.03</v>
      </c>
      <c r="AK7" t="str">
        <f t="shared" si="7"/>
        <v>=</v>
      </c>
    </row>
    <row r="8" spans="1:37" x14ac:dyDescent="0.2">
      <c r="A8" t="s">
        <v>43</v>
      </c>
      <c r="B8" s="20" t="s">
        <v>423</v>
      </c>
      <c r="C8">
        <f t="shared" ca="1" si="0"/>
        <v>0</v>
      </c>
      <c r="D8">
        <f t="shared" ca="1" si="0"/>
        <v>0</v>
      </c>
      <c r="E8">
        <f t="shared" ca="1" si="0"/>
        <v>0</v>
      </c>
      <c r="F8">
        <f t="shared" ca="1" si="0"/>
        <v>0</v>
      </c>
      <c r="G8">
        <f t="shared" ca="1" si="0"/>
        <v>0</v>
      </c>
      <c r="H8">
        <f t="shared" ca="1" si="1"/>
        <v>0</v>
      </c>
      <c r="I8">
        <f t="shared" ca="1" si="0"/>
        <v>6</v>
      </c>
      <c r="J8">
        <f t="shared" ca="1" si="2"/>
        <v>0</v>
      </c>
      <c r="K8" s="31">
        <f t="shared" ca="1" si="0"/>
        <v>0.03</v>
      </c>
      <c r="L8">
        <f t="shared" ca="1" si="0"/>
        <v>0</v>
      </c>
      <c r="M8" s="31">
        <f t="shared" ca="1" si="3"/>
        <v>0</v>
      </c>
      <c r="N8" s="31">
        <f t="shared" ca="1" si="0"/>
        <v>0</v>
      </c>
      <c r="O8" s="31">
        <f t="shared" ca="1" si="0"/>
        <v>0</v>
      </c>
      <c r="P8" s="31">
        <f t="shared" ca="1" si="0"/>
        <v>0</v>
      </c>
      <c r="Q8">
        <f t="shared" ca="1" si="0"/>
        <v>0</v>
      </c>
      <c r="R8" t="str">
        <f t="shared" si="4"/>
        <v>=</v>
      </c>
      <c r="V8" t="s">
        <v>284</v>
      </c>
      <c r="W8" s="60">
        <f t="shared" ca="1" si="5"/>
        <v>2160.6799999999998</v>
      </c>
      <c r="X8" s="60">
        <f t="shared" ca="1" si="5"/>
        <v>2179.71</v>
      </c>
      <c r="Y8" s="60">
        <f t="shared" ca="1" si="5"/>
        <v>2203.6799999999998</v>
      </c>
      <c r="Z8" s="60">
        <f t="shared" ca="1" si="5"/>
        <v>2226.71</v>
      </c>
      <c r="AA8" s="60">
        <f t="shared" ca="1" si="5"/>
        <v>2362.83</v>
      </c>
      <c r="AB8" s="60">
        <f t="shared" ca="1" si="5"/>
        <v>2477.89</v>
      </c>
      <c r="AC8" s="60">
        <f t="shared" ca="1" si="5"/>
        <v>1390.08</v>
      </c>
      <c r="AD8" s="60">
        <f t="shared" ca="1" si="5"/>
        <v>0</v>
      </c>
      <c r="AH8" t="s">
        <v>43</v>
      </c>
      <c r="AI8" s="20" t="s">
        <v>563</v>
      </c>
      <c r="AJ8" s="31">
        <f t="shared" ca="1" si="6"/>
        <v>0.02</v>
      </c>
      <c r="AK8" t="str">
        <f t="shared" si="7"/>
        <v>=</v>
      </c>
    </row>
    <row r="9" spans="1:37" x14ac:dyDescent="0.2">
      <c r="A9" t="s">
        <v>43</v>
      </c>
      <c r="B9" s="20" t="s">
        <v>694</v>
      </c>
      <c r="C9">
        <f t="shared" ca="1" si="0"/>
        <v>0</v>
      </c>
      <c r="D9">
        <f t="shared" ca="1" si="0"/>
        <v>0</v>
      </c>
      <c r="E9">
        <f t="shared" ca="1" si="0"/>
        <v>0</v>
      </c>
      <c r="F9">
        <f t="shared" ca="1" si="0"/>
        <v>0</v>
      </c>
      <c r="G9">
        <f t="shared" ca="1" si="0"/>
        <v>0</v>
      </c>
      <c r="H9">
        <f t="shared" ca="1" si="1"/>
        <v>0</v>
      </c>
      <c r="I9">
        <f t="shared" ca="1" si="0"/>
        <v>10</v>
      </c>
      <c r="J9">
        <f t="shared" ca="1" si="2"/>
        <v>0</v>
      </c>
      <c r="K9" s="31">
        <f t="shared" ca="1" si="0"/>
        <v>0</v>
      </c>
      <c r="L9">
        <f t="shared" ca="1" si="0"/>
        <v>0</v>
      </c>
      <c r="M9" s="31">
        <f t="shared" ca="1" si="3"/>
        <v>0</v>
      </c>
      <c r="N9" s="31">
        <f t="shared" ca="1" si="0"/>
        <v>0</v>
      </c>
      <c r="O9" s="31">
        <f t="shared" ca="1" si="0"/>
        <v>0</v>
      </c>
      <c r="P9" s="31">
        <f t="shared" ca="1" si="0"/>
        <v>0</v>
      </c>
      <c r="Q9">
        <f t="shared" ca="1" si="0"/>
        <v>0</v>
      </c>
      <c r="R9" t="str">
        <f t="shared" si="4"/>
        <v>=</v>
      </c>
      <c r="V9" t="s">
        <v>285</v>
      </c>
      <c r="W9" s="60">
        <f t="shared" ca="1" si="5"/>
        <v>3248.52</v>
      </c>
      <c r="X9" s="60">
        <f t="shared" ca="1" si="5"/>
        <v>3287.5499999999997</v>
      </c>
      <c r="Y9" s="60">
        <f t="shared" ca="1" si="5"/>
        <v>3330.58</v>
      </c>
      <c r="Z9" s="60">
        <f t="shared" ca="1" si="5"/>
        <v>3372.61</v>
      </c>
      <c r="AA9" s="60">
        <f t="shared" ca="1" si="5"/>
        <v>3468.64</v>
      </c>
      <c r="AB9" s="60">
        <f t="shared" ca="1" si="5"/>
        <v>3529.67</v>
      </c>
      <c r="AC9" s="60">
        <f t="shared" ca="1" si="5"/>
        <v>1891.47</v>
      </c>
      <c r="AD9" s="60">
        <f t="shared" ca="1" si="5"/>
        <v>0</v>
      </c>
      <c r="AH9" t="s">
        <v>43</v>
      </c>
      <c r="AI9" s="20"/>
      <c r="AJ9" s="31">
        <f t="shared" ca="1" si="6"/>
        <v>0</v>
      </c>
      <c r="AK9" t="str">
        <f t="shared" si="7"/>
        <v>=</v>
      </c>
    </row>
    <row r="10" spans="1:37" x14ac:dyDescent="0.2">
      <c r="A10" t="s">
        <v>18</v>
      </c>
      <c r="B10" s="20" t="s">
        <v>728</v>
      </c>
      <c r="C10">
        <f t="shared" ca="1" si="0"/>
        <v>0</v>
      </c>
      <c r="D10">
        <f t="shared" ca="1" si="0"/>
        <v>0</v>
      </c>
      <c r="E10">
        <f t="shared" ca="1" si="0"/>
        <v>0</v>
      </c>
      <c r="F10">
        <f t="shared" ca="1" si="0"/>
        <v>29</v>
      </c>
      <c r="G10">
        <f t="shared" ca="1" si="0"/>
        <v>29</v>
      </c>
      <c r="H10">
        <f t="shared" ca="1" si="1"/>
        <v>10</v>
      </c>
      <c r="I10">
        <f t="shared" ca="1" si="0"/>
        <v>0</v>
      </c>
      <c r="J10">
        <f t="shared" ca="1" si="2"/>
        <v>0</v>
      </c>
      <c r="K10" s="31">
        <f t="shared" ca="1" si="0"/>
        <v>0</v>
      </c>
      <c r="L10">
        <f t="shared" ca="1" si="0"/>
        <v>0</v>
      </c>
      <c r="M10" s="31">
        <f t="shared" ca="1" si="3"/>
        <v>0</v>
      </c>
      <c r="N10" s="31">
        <f t="shared" ca="1" si="0"/>
        <v>0</v>
      </c>
      <c r="O10" s="31">
        <f t="shared" ca="1" si="0"/>
        <v>0</v>
      </c>
      <c r="P10" s="31">
        <f t="shared" ca="1" si="0"/>
        <v>0</v>
      </c>
      <c r="Q10">
        <f t="shared" ca="1" si="0"/>
        <v>30</v>
      </c>
      <c r="R10" t="str">
        <f t="shared" si="4"/>
        <v>=</v>
      </c>
      <c r="V10" t="s">
        <v>286</v>
      </c>
      <c r="W10" s="60">
        <f t="shared" ca="1" si="5"/>
        <v>4569.5399999999991</v>
      </c>
      <c r="X10" s="60">
        <f t="shared" ca="1" si="5"/>
        <v>4647.6000000000004</v>
      </c>
      <c r="Y10" s="60">
        <f t="shared" ca="1" si="5"/>
        <v>4728.66</v>
      </c>
      <c r="Z10" s="60">
        <f t="shared" ca="1" si="5"/>
        <v>4828.75</v>
      </c>
      <c r="AA10" s="60">
        <f t="shared" ca="1" si="5"/>
        <v>4986.8100000000004</v>
      </c>
      <c r="AB10" s="60">
        <f t="shared" ca="1" si="5"/>
        <v>5094.87</v>
      </c>
      <c r="AC10" s="60">
        <f t="shared" ca="1" si="5"/>
        <v>0</v>
      </c>
      <c r="AD10" s="60">
        <f t="shared" ca="1" si="5"/>
        <v>0</v>
      </c>
      <c r="AH10" t="s">
        <v>18</v>
      </c>
      <c r="AI10" s="20"/>
      <c r="AJ10" s="31">
        <f t="shared" ca="1" si="6"/>
        <v>0</v>
      </c>
      <c r="AK10" t="str">
        <f t="shared" si="7"/>
        <v>=</v>
      </c>
    </row>
    <row r="11" spans="1:37" x14ac:dyDescent="0.2">
      <c r="A11" t="s">
        <v>19</v>
      </c>
      <c r="B11" s="20" t="s">
        <v>753</v>
      </c>
      <c r="C11">
        <f t="shared" ca="1" si="0"/>
        <v>0</v>
      </c>
      <c r="D11">
        <f t="shared" ca="1" si="0"/>
        <v>0</v>
      </c>
      <c r="E11">
        <f t="shared" ca="1" si="0"/>
        <v>0</v>
      </c>
      <c r="F11">
        <f t="shared" ca="1" si="0"/>
        <v>17</v>
      </c>
      <c r="G11">
        <f t="shared" ca="1" si="0"/>
        <v>30</v>
      </c>
      <c r="H11">
        <f t="shared" ca="1" si="1"/>
        <v>0</v>
      </c>
      <c r="I11">
        <f t="shared" ca="1" si="0"/>
        <v>29</v>
      </c>
      <c r="J11">
        <f t="shared" ca="1" si="2"/>
        <v>0</v>
      </c>
      <c r="K11" s="31">
        <f t="shared" ca="1" si="0"/>
        <v>0</v>
      </c>
      <c r="L11">
        <f t="shared" ca="1" si="0"/>
        <v>0</v>
      </c>
      <c r="M11" s="31">
        <f t="shared" ca="1" si="3"/>
        <v>0</v>
      </c>
      <c r="N11" s="31">
        <f t="shared" ca="1" si="0"/>
        <v>0</v>
      </c>
      <c r="O11" s="31">
        <f t="shared" ca="1" si="0"/>
        <v>0</v>
      </c>
      <c r="P11" s="31">
        <f t="shared" ca="1" si="0"/>
        <v>0</v>
      </c>
      <c r="Q11">
        <f t="shared" ca="1" si="0"/>
        <v>30</v>
      </c>
      <c r="R11" t="str">
        <f t="shared" si="4"/>
        <v>=</v>
      </c>
      <c r="V11" s="8" t="s">
        <v>287</v>
      </c>
      <c r="W11" s="61">
        <f t="shared" ca="1" si="5"/>
        <v>5890.56</v>
      </c>
      <c r="X11" s="61">
        <f t="shared" ca="1" si="5"/>
        <v>5963.62</v>
      </c>
      <c r="Y11" s="61">
        <f t="shared" ca="1" si="5"/>
        <v>6041.6799999999994</v>
      </c>
      <c r="Z11" s="61">
        <f t="shared" ca="1" si="5"/>
        <v>6118.74</v>
      </c>
      <c r="AA11" s="61">
        <f t="shared" ca="1" si="5"/>
        <v>6292.7999999999993</v>
      </c>
      <c r="AB11" s="61">
        <f t="shared" ca="1" si="5"/>
        <v>6399.83</v>
      </c>
      <c r="AC11" s="61">
        <f t="shared" ca="1" si="5"/>
        <v>0</v>
      </c>
      <c r="AD11" s="61">
        <f t="shared" ca="1" si="5"/>
        <v>7893.61</v>
      </c>
      <c r="AH11" t="s">
        <v>19</v>
      </c>
      <c r="AI11" s="20" t="s">
        <v>454</v>
      </c>
      <c r="AJ11" s="31">
        <f t="shared" ca="1" si="6"/>
        <v>0.02</v>
      </c>
      <c r="AK11" t="str">
        <f t="shared" si="7"/>
        <v>=</v>
      </c>
    </row>
    <row r="12" spans="1:37" x14ac:dyDescent="0.2">
      <c r="A12" t="s">
        <v>44</v>
      </c>
      <c r="B12" s="20" t="s">
        <v>739</v>
      </c>
      <c r="C12">
        <f t="shared" ca="1" si="0"/>
        <v>0</v>
      </c>
      <c r="D12">
        <f t="shared" ca="1" si="0"/>
        <v>0</v>
      </c>
      <c r="E12">
        <f t="shared" ca="1" si="0"/>
        <v>0</v>
      </c>
      <c r="F12">
        <f t="shared" ca="1" si="0"/>
        <v>9</v>
      </c>
      <c r="G12">
        <f t="shared" ca="1" si="0"/>
        <v>0</v>
      </c>
      <c r="H12">
        <f t="shared" ca="1" si="1"/>
        <v>0</v>
      </c>
      <c r="I12">
        <f t="shared" ca="1" si="0"/>
        <v>3</v>
      </c>
      <c r="J12">
        <f t="shared" ca="1" si="2"/>
        <v>0</v>
      </c>
      <c r="K12" s="31">
        <f t="shared" ca="1" si="0"/>
        <v>0</v>
      </c>
      <c r="L12">
        <f t="shared" ca="1" si="0"/>
        <v>0</v>
      </c>
      <c r="M12" s="31">
        <f t="shared" ca="1" si="3"/>
        <v>0</v>
      </c>
      <c r="N12" s="31">
        <f t="shared" ca="1" si="0"/>
        <v>0</v>
      </c>
      <c r="O12" s="31">
        <f t="shared" ca="1" si="0"/>
        <v>0</v>
      </c>
      <c r="P12" s="31">
        <f t="shared" ca="1" si="0"/>
        <v>0</v>
      </c>
      <c r="Q12">
        <f t="shared" ca="1" si="0"/>
        <v>0</v>
      </c>
      <c r="R12" t="str">
        <f t="shared" si="4"/>
        <v>=</v>
      </c>
      <c r="V12" s="73" t="s">
        <v>617</v>
      </c>
      <c r="W12" s="68">
        <f t="shared" ca="1" si="5"/>
        <v>1595.23</v>
      </c>
      <c r="X12" s="68">
        <f t="shared" ca="1" si="5"/>
        <v>1595.23</v>
      </c>
      <c r="Y12" s="68">
        <f t="shared" ca="1" si="5"/>
        <v>1595.23</v>
      </c>
      <c r="Z12" s="68">
        <f t="shared" ca="1" si="5"/>
        <v>1595.23</v>
      </c>
      <c r="AA12" s="68">
        <f t="shared" ca="1" si="5"/>
        <v>1620.23</v>
      </c>
      <c r="AB12" s="68">
        <f t="shared" ca="1" si="5"/>
        <v>1628.23</v>
      </c>
      <c r="AC12" s="61">
        <f t="shared" ca="1" si="5"/>
        <v>0</v>
      </c>
      <c r="AD12" s="61">
        <f t="shared" ca="1" si="5"/>
        <v>2465.92</v>
      </c>
      <c r="AH12" t="s">
        <v>44</v>
      </c>
      <c r="AI12" s="20" t="s">
        <v>564</v>
      </c>
      <c r="AJ12" s="31">
        <f t="shared" ca="1" si="6"/>
        <v>0.02</v>
      </c>
      <c r="AK12" t="str">
        <f t="shared" si="7"/>
        <v>=</v>
      </c>
    </row>
    <row r="13" spans="1:37" x14ac:dyDescent="0.2">
      <c r="A13" t="s">
        <v>44</v>
      </c>
      <c r="B13" s="20" t="s">
        <v>629</v>
      </c>
      <c r="C13">
        <f t="shared" ca="1" si="0"/>
        <v>0</v>
      </c>
      <c r="D13">
        <f t="shared" ca="1" si="0"/>
        <v>0</v>
      </c>
      <c r="E13">
        <f t="shared" ca="1" si="0"/>
        <v>0</v>
      </c>
      <c r="F13">
        <f t="shared" ca="1" si="0"/>
        <v>10</v>
      </c>
      <c r="G13">
        <f t="shared" ca="1" si="0"/>
        <v>17</v>
      </c>
      <c r="H13">
        <f t="shared" ca="1" si="1"/>
        <v>0</v>
      </c>
      <c r="I13">
        <f t="shared" ca="1" si="0"/>
        <v>0</v>
      </c>
      <c r="J13">
        <f t="shared" ca="1" si="2"/>
        <v>0</v>
      </c>
      <c r="K13" s="31">
        <f t="shared" ca="1" si="0"/>
        <v>0</v>
      </c>
      <c r="L13">
        <f t="shared" ca="1" si="0"/>
        <v>0</v>
      </c>
      <c r="M13" s="31">
        <f t="shared" ca="1" si="3"/>
        <v>0</v>
      </c>
      <c r="N13" s="31">
        <f t="shared" ca="1" si="0"/>
        <v>0</v>
      </c>
      <c r="O13" s="31">
        <f t="shared" ca="1" si="0"/>
        <v>0</v>
      </c>
      <c r="P13" s="31">
        <f t="shared" ca="1" si="0"/>
        <v>0</v>
      </c>
      <c r="Q13">
        <f t="shared" ca="1" si="0"/>
        <v>30</v>
      </c>
      <c r="R13" t="str">
        <f t="shared" si="4"/>
        <v>=</v>
      </c>
      <c r="V13" t="s">
        <v>289</v>
      </c>
      <c r="W13" s="60">
        <f t="shared" ca="1" si="5"/>
        <v>2508.9499999999998</v>
      </c>
      <c r="X13" s="60">
        <f t="shared" ca="1" si="5"/>
        <v>2567.0099999999998</v>
      </c>
      <c r="Y13" s="60">
        <f t="shared" ca="1" si="5"/>
        <v>2629.04</v>
      </c>
      <c r="Z13" s="60">
        <f t="shared" ca="1" si="5"/>
        <v>2691.1</v>
      </c>
      <c r="AA13" s="60">
        <f t="shared" ca="1" si="5"/>
        <v>2796.1299999999997</v>
      </c>
      <c r="AB13" s="60">
        <f t="shared" ca="1" si="5"/>
        <v>2873.19</v>
      </c>
      <c r="AC13" s="60">
        <f t="shared" ca="1" si="5"/>
        <v>0</v>
      </c>
      <c r="AD13" s="60">
        <f t="shared" ca="1" si="5"/>
        <v>0</v>
      </c>
      <c r="AH13" t="s">
        <v>44</v>
      </c>
      <c r="AI13" s="20" t="s">
        <v>629</v>
      </c>
      <c r="AJ13" s="31">
        <f t="shared" ca="1" si="6"/>
        <v>0</v>
      </c>
      <c r="AK13" t="str">
        <f t="shared" si="7"/>
        <v>=</v>
      </c>
    </row>
    <row r="14" spans="1:37" x14ac:dyDescent="0.2">
      <c r="A14" t="s">
        <v>20</v>
      </c>
      <c r="B14" s="20" t="s">
        <v>695</v>
      </c>
      <c r="C14">
        <f t="shared" ca="1" si="0"/>
        <v>0</v>
      </c>
      <c r="D14">
        <f t="shared" ca="1" si="0"/>
        <v>0</v>
      </c>
      <c r="E14">
        <f t="shared" ca="1" si="0"/>
        <v>0</v>
      </c>
      <c r="F14">
        <f t="shared" ca="1" si="0"/>
        <v>8</v>
      </c>
      <c r="G14">
        <f t="shared" ca="1" si="0"/>
        <v>0</v>
      </c>
      <c r="H14">
        <f t="shared" ca="1" si="1"/>
        <v>0</v>
      </c>
      <c r="I14">
        <f t="shared" ca="1" si="0"/>
        <v>10</v>
      </c>
      <c r="J14">
        <f t="shared" ca="1" si="2"/>
        <v>0</v>
      </c>
      <c r="K14" s="31">
        <f t="shared" ca="1" si="0"/>
        <v>0</v>
      </c>
      <c r="L14">
        <f t="shared" ca="1" si="0"/>
        <v>0</v>
      </c>
      <c r="M14" s="31">
        <f t="shared" ca="1" si="3"/>
        <v>0</v>
      </c>
      <c r="N14" s="31">
        <f t="shared" ca="1" si="0"/>
        <v>0</v>
      </c>
      <c r="O14" s="31">
        <f t="shared" ca="1" si="0"/>
        <v>0</v>
      </c>
      <c r="P14" s="31">
        <f t="shared" ca="1" si="0"/>
        <v>0</v>
      </c>
      <c r="Q14">
        <f t="shared" ca="1" si="0"/>
        <v>0</v>
      </c>
      <c r="R14" t="str">
        <f t="shared" si="4"/>
        <v>=</v>
      </c>
      <c r="V14" s="8" t="s">
        <v>298</v>
      </c>
      <c r="W14" s="61">
        <f t="shared" ca="1" si="5"/>
        <v>3635.8199999999997</v>
      </c>
      <c r="X14" s="61">
        <f t="shared" ca="1" si="5"/>
        <v>3713.88</v>
      </c>
      <c r="Y14" s="61">
        <f t="shared" ca="1" si="5"/>
        <v>3794.9399999999996</v>
      </c>
      <c r="Z14" s="61">
        <f t="shared" ca="1" si="5"/>
        <v>3876</v>
      </c>
      <c r="AA14" s="61">
        <f t="shared" ca="1" si="5"/>
        <v>4019.06</v>
      </c>
      <c r="AB14" s="61">
        <f t="shared" ca="1" si="5"/>
        <v>4122.1499999999996</v>
      </c>
      <c r="AC14" s="61">
        <f t="shared" ca="1" si="5"/>
        <v>0</v>
      </c>
      <c r="AD14" s="61">
        <f t="shared" ca="1" si="5"/>
        <v>0</v>
      </c>
      <c r="AH14" t="s">
        <v>20</v>
      </c>
      <c r="AI14" s="20" t="s">
        <v>429</v>
      </c>
      <c r="AJ14" s="31">
        <f t="shared" ca="1" si="6"/>
        <v>0.03</v>
      </c>
      <c r="AK14" t="str">
        <f t="shared" si="7"/>
        <v>=</v>
      </c>
    </row>
    <row r="15" spans="1:37" x14ac:dyDescent="0.2">
      <c r="A15" t="s">
        <v>21</v>
      </c>
      <c r="B15" s="20" t="s">
        <v>743</v>
      </c>
      <c r="C15">
        <f t="shared" ca="1" si="0"/>
        <v>0</v>
      </c>
      <c r="D15">
        <f t="shared" ca="1" si="0"/>
        <v>0</v>
      </c>
      <c r="E15">
        <f t="shared" ca="1" si="0"/>
        <v>0</v>
      </c>
      <c r="F15">
        <f t="shared" ca="1" si="0"/>
        <v>6</v>
      </c>
      <c r="G15">
        <f t="shared" ca="1" si="0"/>
        <v>0</v>
      </c>
      <c r="H15">
        <f t="shared" ca="1" si="1"/>
        <v>2</v>
      </c>
      <c r="I15">
        <f t="shared" ca="1" si="0"/>
        <v>5</v>
      </c>
      <c r="J15">
        <f t="shared" ca="1" si="2"/>
        <v>0</v>
      </c>
      <c r="K15" s="31">
        <f t="shared" ca="1" si="0"/>
        <v>0</v>
      </c>
      <c r="L15">
        <f t="shared" ca="1" si="0"/>
        <v>0</v>
      </c>
      <c r="M15" s="31">
        <f t="shared" ca="1" si="3"/>
        <v>0</v>
      </c>
      <c r="N15" s="31">
        <f t="shared" ca="1" si="0"/>
        <v>0</v>
      </c>
      <c r="O15" s="31">
        <f t="shared" ca="1" si="0"/>
        <v>0</v>
      </c>
      <c r="P15" s="31">
        <f t="shared" ca="1" si="0"/>
        <v>0</v>
      </c>
      <c r="Q15">
        <f t="shared" ca="1" si="0"/>
        <v>0</v>
      </c>
      <c r="R15" t="str">
        <f t="shared" si="4"/>
        <v>=</v>
      </c>
      <c r="V15" t="s">
        <v>288</v>
      </c>
      <c r="W15" s="60">
        <f t="shared" ca="1" si="5"/>
        <v>4445.45</v>
      </c>
      <c r="X15" s="60">
        <f t="shared" ca="1" si="5"/>
        <v>4445.45</v>
      </c>
      <c r="Y15" s="60">
        <f t="shared" ca="1" si="5"/>
        <v>4445.45</v>
      </c>
      <c r="Z15" s="60">
        <f t="shared" ca="1" si="5"/>
        <v>4445.45</v>
      </c>
      <c r="AA15" s="60">
        <f t="shared" ca="1" si="5"/>
        <v>4514.45</v>
      </c>
      <c r="AB15" s="60">
        <f t="shared" ca="1" si="5"/>
        <v>4537.45</v>
      </c>
      <c r="AC15" s="60">
        <f t="shared" ca="1" si="5"/>
        <v>1679.32</v>
      </c>
      <c r="AD15" s="60">
        <f t="shared" ca="1" si="5"/>
        <v>4422.4500000000007</v>
      </c>
      <c r="AH15" t="s">
        <v>21</v>
      </c>
      <c r="AI15" s="20" t="s">
        <v>442</v>
      </c>
      <c r="AJ15" s="31">
        <f t="shared" ca="1" si="6"/>
        <v>0.03</v>
      </c>
      <c r="AK15" t="str">
        <f t="shared" si="7"/>
        <v>=</v>
      </c>
    </row>
    <row r="16" spans="1:37" x14ac:dyDescent="0.2">
      <c r="A16" t="s">
        <v>22</v>
      </c>
      <c r="B16" s="20" t="s">
        <v>716</v>
      </c>
      <c r="C16">
        <f t="shared" ca="1" si="0"/>
        <v>0</v>
      </c>
      <c r="D16">
        <f t="shared" ca="1" si="0"/>
        <v>0</v>
      </c>
      <c r="E16">
        <f t="shared" ca="1" si="0"/>
        <v>0</v>
      </c>
      <c r="F16">
        <f t="shared" ca="1" si="0"/>
        <v>27</v>
      </c>
      <c r="G16">
        <f t="shared" ca="1" si="0"/>
        <v>19</v>
      </c>
      <c r="H16">
        <f t="shared" ca="1" si="1"/>
        <v>0</v>
      </c>
      <c r="I16">
        <f t="shared" ca="1" si="0"/>
        <v>53</v>
      </c>
      <c r="J16">
        <f t="shared" ca="1" si="2"/>
        <v>10</v>
      </c>
      <c r="K16" s="31">
        <f t="shared" ca="1" si="0"/>
        <v>0</v>
      </c>
      <c r="L16">
        <f t="shared" ca="1" si="0"/>
        <v>0</v>
      </c>
      <c r="M16" s="31">
        <f t="shared" ca="1" si="3"/>
        <v>0</v>
      </c>
      <c r="N16" s="31">
        <f t="shared" ca="1" si="0"/>
        <v>0</v>
      </c>
      <c r="O16" s="31">
        <f t="shared" ca="1" si="0"/>
        <v>0</v>
      </c>
      <c r="P16" s="31">
        <f t="shared" ca="1" si="0"/>
        <v>0</v>
      </c>
      <c r="Q16">
        <f t="shared" ca="1" si="0"/>
        <v>40</v>
      </c>
      <c r="R16" t="str">
        <f t="shared" si="4"/>
        <v>=</v>
      </c>
      <c r="V16" t="s">
        <v>299</v>
      </c>
      <c r="W16" s="60">
        <f t="shared" ca="1" si="5"/>
        <v>4832.75</v>
      </c>
      <c r="X16" s="60">
        <f t="shared" ca="1" si="5"/>
        <v>4832.75</v>
      </c>
      <c r="Y16" s="60">
        <f t="shared" ca="1" si="5"/>
        <v>4832.75</v>
      </c>
      <c r="Z16" s="60">
        <f t="shared" ca="1" si="5"/>
        <v>4832.75</v>
      </c>
      <c r="AA16" s="60">
        <f t="shared" ca="1" si="5"/>
        <v>4907.75</v>
      </c>
      <c r="AB16" s="60">
        <f t="shared" ca="1" si="5"/>
        <v>4932.75</v>
      </c>
      <c r="AC16" s="60">
        <f t="shared" ca="1" si="5"/>
        <v>2334.7999999999997</v>
      </c>
      <c r="AD16" s="60">
        <f t="shared" ca="1" si="5"/>
        <v>6237.8600000000006</v>
      </c>
      <c r="AH16" t="s">
        <v>22</v>
      </c>
      <c r="AI16" s="20" t="s">
        <v>705</v>
      </c>
      <c r="AJ16" s="31">
        <f t="shared" ca="1" si="6"/>
        <v>0.05</v>
      </c>
      <c r="AK16" t="str">
        <f t="shared" si="7"/>
        <v>=</v>
      </c>
    </row>
    <row r="17" spans="1:37" x14ac:dyDescent="0.2">
      <c r="A17" t="s">
        <v>23</v>
      </c>
      <c r="B17" s="20" t="s">
        <v>757</v>
      </c>
      <c r="C17">
        <f t="shared" ca="1" si="0"/>
        <v>0</v>
      </c>
      <c r="D17">
        <f t="shared" ca="1" si="0"/>
        <v>0</v>
      </c>
      <c r="E17">
        <f t="shared" ca="1" si="0"/>
        <v>0</v>
      </c>
      <c r="F17">
        <f t="shared" ca="1" si="0"/>
        <v>24</v>
      </c>
      <c r="G17">
        <f t="shared" ca="1" si="0"/>
        <v>23</v>
      </c>
      <c r="H17">
        <f t="shared" ca="1" si="1"/>
        <v>0</v>
      </c>
      <c r="I17">
        <f t="shared" ca="1" si="0"/>
        <v>15</v>
      </c>
      <c r="J17">
        <f t="shared" ca="1" si="2"/>
        <v>14</v>
      </c>
      <c r="K17" s="31">
        <f t="shared" ca="1" si="0"/>
        <v>0</v>
      </c>
      <c r="L17" t="str">
        <f t="shared" ca="1" si="0"/>
        <v xml:space="preserve"> </v>
      </c>
      <c r="M17" s="31">
        <f t="shared" ca="1" si="3"/>
        <v>0</v>
      </c>
      <c r="N17" s="31">
        <f t="shared" ca="1" si="0"/>
        <v>0</v>
      </c>
      <c r="O17" s="31">
        <f t="shared" ca="1" si="0"/>
        <v>0.04</v>
      </c>
      <c r="P17" s="31">
        <f t="shared" ca="1" si="0"/>
        <v>0.05</v>
      </c>
      <c r="Q17">
        <f t="shared" ca="1" si="0"/>
        <v>30</v>
      </c>
      <c r="R17" t="str">
        <f t="shared" si="4"/>
        <v>-</v>
      </c>
      <c r="AH17" t="s">
        <v>23</v>
      </c>
      <c r="AI17" s="20" t="s">
        <v>757</v>
      </c>
      <c r="AJ17" s="31">
        <f t="shared" ca="1" si="6"/>
        <v>0.05</v>
      </c>
      <c r="AK17" t="str">
        <f t="shared" si="7"/>
        <v>=</v>
      </c>
    </row>
    <row r="18" spans="1:37" x14ac:dyDescent="0.2">
      <c r="A18" t="s">
        <v>24</v>
      </c>
      <c r="B18" s="47"/>
      <c r="C18">
        <f t="shared" ref="C18:Q18" si="8">SUMIF(INDEX(SetBonusLookup, 0, 1), "="&amp;C2, INDEX(SetBonusLookup, 0, MATCH("SpellSet1Gear", INDEX(SetBonusLookup, 1, 0), 0)))</f>
        <v>0</v>
      </c>
      <c r="D18">
        <f t="shared" ref="D18:E18" si="9">SUMIF(INDEX(SetBonusLookup, 0, 1), "="&amp;D2, INDEX(SetBonusLookup, 0, MATCH("SpellSet1Gear", INDEX(SetBonusLookup, 1, 0), 0)))</f>
        <v>0</v>
      </c>
      <c r="E18">
        <f t="shared" si="9"/>
        <v>0</v>
      </c>
      <c r="F18">
        <f t="shared" ca="1" si="8"/>
        <v>0</v>
      </c>
      <c r="G18">
        <f t="shared" ref="G18" ca="1" si="10">SUMIF(INDEX(SetBonusLookup, 0, 1), "="&amp;G2, INDEX(SetBonusLookup, 0, MATCH("SpellSet1Gear", INDEX(SetBonusLookup, 1, 0), 0)))</f>
        <v>0</v>
      </c>
      <c r="H18">
        <f ca="1">SUMIF(INDEX(SetBonusLookup, 0, 1), "="&amp;H2, INDEX(SetBonusLookup, 0, MATCH("SpellSet1Gear", INDEX(SetBonusLookup, 1, 0), 0)))</f>
        <v>0</v>
      </c>
      <c r="I18">
        <f t="shared" ca="1" si="8"/>
        <v>0</v>
      </c>
      <c r="J18">
        <f>SUMIF(INDEX(SetBonusLookup, 0, 1), "="&amp;J2, INDEX(SetBonusLookup, 0, MATCH("SpellSet1Gear", INDEX(SetBonusLookup, 1, 0), 0)))</f>
        <v>0</v>
      </c>
      <c r="K18" s="31">
        <f t="shared" si="8"/>
        <v>0</v>
      </c>
      <c r="L18">
        <f t="shared" si="8"/>
        <v>0</v>
      </c>
      <c r="M18" s="31">
        <f>SUMIF(INDEX(SetBonusLookup, 0, 1), "="&amp;M2, INDEX(SetBonusLookup, 0, MATCH("SpellSet1Gear", INDEX(SetBonusLookup, 1, 0), 0)))</f>
        <v>0</v>
      </c>
      <c r="N18" s="31">
        <f t="shared" si="8"/>
        <v>0</v>
      </c>
      <c r="O18" s="31">
        <f t="shared" si="8"/>
        <v>0</v>
      </c>
      <c r="P18" s="31">
        <f t="shared" ca="1" si="8"/>
        <v>0</v>
      </c>
      <c r="Q18">
        <f t="shared" si="8"/>
        <v>0</v>
      </c>
      <c r="R18" t="str">
        <f ca="1">IF(AND(C18=C42, D18=D42, E18=E42, F18=F42, G18=G42, H18=H42, I18=I42, J18=J42, K18=K42, L18=L42, M18=M42, N18=N42, O18=O42, P18=P42, Q18=Q42), "=", "-")</f>
        <v>=</v>
      </c>
      <c r="AH18" t="s">
        <v>24</v>
      </c>
      <c r="AI18" s="47"/>
      <c r="AJ18" s="31">
        <f ca="1">SUMIF(INDEX(SetBonusLookup, 0, 1), "="&amp;AJ2, INDEX(SetBonusLookup, 0, MATCH("SpellSet1Gear", INDEX(SetBonusLookup, 1, 0), 0)))</f>
        <v>0</v>
      </c>
      <c r="AK18" t="str">
        <f ca="1">IF(AND(AJ18=AJ42), "=", "-")</f>
        <v>=</v>
      </c>
    </row>
    <row r="19" spans="1:37" x14ac:dyDescent="0.2">
      <c r="A19" t="s">
        <v>257</v>
      </c>
      <c r="C19" s="20"/>
      <c r="D19" s="20"/>
      <c r="E19" s="20"/>
      <c r="F19" s="20"/>
      <c r="G19" s="20"/>
      <c r="H19" s="20"/>
      <c r="I19" s="20"/>
      <c r="J19" s="20"/>
      <c r="K19" s="54"/>
      <c r="L19" s="20"/>
      <c r="M19" s="54"/>
      <c r="N19" s="54"/>
      <c r="O19" s="54"/>
      <c r="P19" s="54"/>
      <c r="Q19" s="54"/>
      <c r="R19" t="str">
        <f>IF(AND(C19=C43, D19=D43, E19=E43, F19=F43, G19=G43, H19=H43, I19=I43, J19=J43, K19=K43, L19=L43, M19=M43, N19=N43, O19=O43, P19=P43, Q19=Q43), "=", "-")</f>
        <v>=</v>
      </c>
      <c r="V19" t="s">
        <v>465</v>
      </c>
      <c r="W19" s="63"/>
      <c r="X19" s="63"/>
      <c r="Y19" s="63"/>
      <c r="Z19" s="63"/>
      <c r="AA19" s="63"/>
      <c r="AB19" s="63"/>
      <c r="AC19" s="63"/>
      <c r="AD19" s="63"/>
      <c r="AH19" t="s">
        <v>257</v>
      </c>
      <c r="AJ19" s="54"/>
      <c r="AK19" t="str">
        <f>IF(AND(AJ19=AJ43), "=", "-")</f>
        <v>=</v>
      </c>
    </row>
    <row r="20" spans="1:37" x14ac:dyDescent="0.2">
      <c r="N20" s="31"/>
      <c r="Q20" s="31"/>
      <c r="S20" s="9"/>
      <c r="U20" s="9"/>
      <c r="V20" s="47"/>
      <c r="AK20" s="9"/>
    </row>
    <row r="21" spans="1:37" x14ac:dyDescent="0.2">
      <c r="A21" t="s">
        <v>7</v>
      </c>
      <c r="C21">
        <f t="shared" ref="C21:P21" ca="1" si="11">SUM(C3:C19)</f>
        <v>0</v>
      </c>
      <c r="D21">
        <f t="shared" ref="D21:E21" ca="1" si="12">SUM(D3:D19)</f>
        <v>0</v>
      </c>
      <c r="E21">
        <f t="shared" ca="1" si="12"/>
        <v>0</v>
      </c>
      <c r="F21">
        <f t="shared" ca="1" si="11"/>
        <v>184</v>
      </c>
      <c r="G21">
        <f t="shared" ref="G21" ca="1" si="13">SUM(G3:G19)</f>
        <v>152</v>
      </c>
      <c r="H21">
        <f ca="1">SUM(H3:H19)</f>
        <v>24</v>
      </c>
      <c r="I21">
        <f t="shared" ca="1" si="11"/>
        <v>240</v>
      </c>
      <c r="J21">
        <f ca="1">SUM(J3:J19)</f>
        <v>266</v>
      </c>
      <c r="K21" s="31">
        <f t="shared" ca="1" si="11"/>
        <v>0.03</v>
      </c>
      <c r="L21">
        <f t="shared" ca="1" si="11"/>
        <v>0</v>
      </c>
      <c r="M21" s="31">
        <f ca="1">SUM(M3:M19)</f>
        <v>0</v>
      </c>
      <c r="N21" s="31">
        <f t="shared" ca="1" si="11"/>
        <v>0</v>
      </c>
      <c r="O21" s="31">
        <f t="shared" ca="1" si="11"/>
        <v>0.11000000000000001</v>
      </c>
      <c r="P21" s="31">
        <f t="shared" ca="1" si="11"/>
        <v>0.05</v>
      </c>
      <c r="Q21" s="53">
        <f ca="1">MIN(256, SUM(Q3:Q19))</f>
        <v>211</v>
      </c>
      <c r="S21" s="57"/>
      <c r="T21" s="66"/>
      <c r="U21" s="57"/>
      <c r="V21" s="9"/>
      <c r="AF21" s="66"/>
      <c r="AH21" t="s">
        <v>7</v>
      </c>
      <c r="AJ21" s="31">
        <f ca="1">SUM(AJ3:AJ19)</f>
        <v>0.37</v>
      </c>
      <c r="AK21" s="57"/>
    </row>
    <row r="22" spans="1:37" x14ac:dyDescent="0.2">
      <c r="A22" t="s">
        <v>456</v>
      </c>
      <c r="B22" s="3">
        <f ca="1">Data!B38</f>
        <v>91</v>
      </c>
      <c r="V22" s="9" t="s">
        <v>314</v>
      </c>
      <c r="W22" s="20" t="s">
        <v>306</v>
      </c>
      <c r="X22" t="str">
        <f>VLOOKUP(W22, TypeDescription, 3, 0)</f>
        <v>Average damage per spell (including magical crits)</v>
      </c>
    </row>
    <row r="23" spans="1:37" x14ac:dyDescent="0.2">
      <c r="A23" s="19" t="s">
        <v>658</v>
      </c>
      <c r="B23" s="19" t="s">
        <v>658</v>
      </c>
    </row>
    <row r="25" spans="1:37" x14ac:dyDescent="0.2">
      <c r="A25" s="19" t="s">
        <v>597</v>
      </c>
      <c r="AH25" t="s">
        <v>560</v>
      </c>
    </row>
    <row r="26" spans="1:37" x14ac:dyDescent="0.2">
      <c r="A26" t="s">
        <v>8</v>
      </c>
      <c r="B26" t="s">
        <v>14</v>
      </c>
      <c r="C26" t="s">
        <v>26</v>
      </c>
      <c r="D26" s="19" t="s">
        <v>645</v>
      </c>
      <c r="E26" s="19" t="s">
        <v>676</v>
      </c>
      <c r="F26" t="s">
        <v>120</v>
      </c>
      <c r="G26" s="19" t="s">
        <v>121</v>
      </c>
      <c r="H26" t="s">
        <v>651</v>
      </c>
      <c r="I26" t="s">
        <v>272</v>
      </c>
      <c r="J26" s="19" t="s">
        <v>595</v>
      </c>
      <c r="K26" t="s">
        <v>390</v>
      </c>
      <c r="L26" t="s">
        <v>392</v>
      </c>
      <c r="M26" t="s">
        <v>275</v>
      </c>
      <c r="N26" t="s">
        <v>515</v>
      </c>
      <c r="O26" s="21" t="s">
        <v>516</v>
      </c>
      <c r="P26" t="s">
        <v>312</v>
      </c>
      <c r="Q26" t="s">
        <v>11</v>
      </c>
      <c r="V26" s="8" t="s">
        <v>305</v>
      </c>
      <c r="W26" s="8" t="s">
        <v>278</v>
      </c>
      <c r="X26" s="8" t="s">
        <v>290</v>
      </c>
      <c r="Y26" s="14" t="s">
        <v>291</v>
      </c>
      <c r="Z26" s="14" t="s">
        <v>292</v>
      </c>
      <c r="AA26" s="14" t="s">
        <v>293</v>
      </c>
      <c r="AB26" s="14" t="s">
        <v>294</v>
      </c>
      <c r="AC26" s="77" t="s">
        <v>644</v>
      </c>
      <c r="AD26" s="77" t="s">
        <v>645</v>
      </c>
      <c r="AH26" t="s">
        <v>8</v>
      </c>
      <c r="AI26" t="s">
        <v>14</v>
      </c>
      <c r="AJ26" t="s">
        <v>312</v>
      </c>
    </row>
    <row r="27" spans="1:37" x14ac:dyDescent="0.2">
      <c r="A27" t="s">
        <v>45</v>
      </c>
      <c r="B27" s="22" t="s">
        <v>759</v>
      </c>
      <c r="C27">
        <f t="shared" ref="C27:Q41" ca="1" si="14">IF(ISBLANK($B27), 0, VLOOKUP($B27, INDIRECT($A27), MATCH(C$26, StatHeader, 0), 0))</f>
        <v>0</v>
      </c>
      <c r="D27">
        <f t="shared" ca="1" si="14"/>
        <v>0</v>
      </c>
      <c r="E27">
        <f t="shared" ca="1" si="14"/>
        <v>0</v>
      </c>
      <c r="F27">
        <f t="shared" ca="1" si="14"/>
        <v>27</v>
      </c>
      <c r="G27">
        <f t="shared" ca="1" si="14"/>
        <v>12</v>
      </c>
      <c r="H27">
        <f t="shared" ref="H27:H41" ca="1" si="15">IF(ISBLANK($B27), 0, VLOOKUP($B27, INDIRECT($A27), MATCH(H$26, StatHeader, 0), 0))</f>
        <v>0</v>
      </c>
      <c r="I27">
        <f t="shared" ca="1" si="14"/>
        <v>63</v>
      </c>
      <c r="J27">
        <f t="shared" ref="J27:J41" ca="1" si="16">IF(ISBLANK($B27), 0, VLOOKUP($B27, INDIRECT($A27), MATCH(J$26, StatHeader, 0), 0))</f>
        <v>232</v>
      </c>
      <c r="K27" s="31">
        <f t="shared" ca="1" si="14"/>
        <v>0</v>
      </c>
      <c r="L27">
        <f t="shared" ca="1" si="14"/>
        <v>0</v>
      </c>
      <c r="M27" s="31">
        <f t="shared" ref="M27:M41" ca="1" si="17">IF(ISBLANK($B27), 0, VLOOKUP($B27, INDIRECT($A27), MATCH(M$26, StatHeader, 0), 0))</f>
        <v>0</v>
      </c>
      <c r="N27" s="31">
        <f t="shared" ca="1" si="14"/>
        <v>0</v>
      </c>
      <c r="O27" s="31">
        <f t="shared" ca="1" si="14"/>
        <v>0</v>
      </c>
      <c r="P27" s="31">
        <f t="shared" ca="1" si="14"/>
        <v>0</v>
      </c>
      <c r="Q27">
        <f t="shared" ca="1" si="14"/>
        <v>0</v>
      </c>
      <c r="V27" t="s">
        <v>279</v>
      </c>
      <c r="W27" s="60">
        <f t="shared" ref="W27:AD39" ca="1" si="18">VLOOKUP($V3, INDIRECT(VLOOKUP($W$22, TypeDescription, 2, 0)&amp;"2"), MATCH(W$26, ElementHeader, 0), 0)</f>
        <v>1608.23</v>
      </c>
      <c r="X27" s="60">
        <f t="shared" ca="1" si="18"/>
        <v>1628.23</v>
      </c>
      <c r="Y27" s="60">
        <f t="shared" ca="1" si="18"/>
        <v>1648.26</v>
      </c>
      <c r="Z27" s="60">
        <f t="shared" ca="1" si="18"/>
        <v>1668.26</v>
      </c>
      <c r="AA27" s="60">
        <f t="shared" ca="1" si="18"/>
        <v>1714.26</v>
      </c>
      <c r="AB27" s="60">
        <f t="shared" ca="1" si="18"/>
        <v>1742.29</v>
      </c>
      <c r="AC27" s="60">
        <f t="shared" ca="1" si="18"/>
        <v>1194.93</v>
      </c>
      <c r="AD27" s="60">
        <f t="shared" ca="1" si="18"/>
        <v>0</v>
      </c>
      <c r="AH27" t="s">
        <v>45</v>
      </c>
      <c r="AI27" s="22" t="s">
        <v>741</v>
      </c>
      <c r="AJ27" s="31">
        <f t="shared" ref="AJ27:AJ41" ca="1" si="19">IF(ISBLANK($AI27), 0, VLOOKUP($AI27, INDIRECT($AH27), MATCH(P$26, StatHeader, 0), 0))</f>
        <v>0.02</v>
      </c>
    </row>
    <row r="28" spans="1:37" x14ac:dyDescent="0.2">
      <c r="A28" t="s">
        <v>615</v>
      </c>
      <c r="B28" s="20" t="s">
        <v>692</v>
      </c>
      <c r="C28">
        <f t="shared" ca="1" si="14"/>
        <v>0</v>
      </c>
      <c r="D28">
        <f t="shared" ca="1" si="14"/>
        <v>0</v>
      </c>
      <c r="E28">
        <f t="shared" ca="1" si="14"/>
        <v>0</v>
      </c>
      <c r="F28">
        <f t="shared" ca="1" si="14"/>
        <v>0</v>
      </c>
      <c r="G28">
        <f t="shared" ca="1" si="14"/>
        <v>0</v>
      </c>
      <c r="H28">
        <f t="shared" ca="1" si="15"/>
        <v>0</v>
      </c>
      <c r="I28">
        <f t="shared" ca="1" si="14"/>
        <v>0</v>
      </c>
      <c r="J28">
        <f t="shared" ca="1" si="16"/>
        <v>10</v>
      </c>
      <c r="K28" s="31">
        <f t="shared" ca="1" si="14"/>
        <v>0</v>
      </c>
      <c r="L28">
        <f t="shared" ca="1" si="14"/>
        <v>0</v>
      </c>
      <c r="M28" s="31">
        <f t="shared" ca="1" si="17"/>
        <v>0</v>
      </c>
      <c r="N28" s="31">
        <f t="shared" ca="1" si="14"/>
        <v>0</v>
      </c>
      <c r="O28" s="31">
        <f t="shared" ca="1" si="14"/>
        <v>0</v>
      </c>
      <c r="P28" s="31">
        <f t="shared" ca="1" si="14"/>
        <v>0</v>
      </c>
      <c r="Q28">
        <f t="shared" ca="1" si="14"/>
        <v>0</v>
      </c>
      <c r="V28" t="s">
        <v>280</v>
      </c>
      <c r="W28" s="60">
        <f t="shared" ca="1" si="18"/>
        <v>2331.7399999999998</v>
      </c>
      <c r="X28" s="60">
        <f t="shared" ca="1" si="18"/>
        <v>2351.77</v>
      </c>
      <c r="Y28" s="60">
        <f t="shared" ca="1" si="18"/>
        <v>2375.7699999999995</v>
      </c>
      <c r="Z28" s="60">
        <f t="shared" ca="1" si="18"/>
        <v>2398.83</v>
      </c>
      <c r="AA28" s="60">
        <f t="shared" ca="1" si="18"/>
        <v>2459.83</v>
      </c>
      <c r="AB28" s="60">
        <f t="shared" ca="1" si="18"/>
        <v>2495.8599999999997</v>
      </c>
      <c r="AC28" s="60">
        <f t="shared" ca="1" si="18"/>
        <v>1517.1399999999999</v>
      </c>
      <c r="AD28" s="60">
        <f t="shared" ca="1" si="18"/>
        <v>0</v>
      </c>
      <c r="AH28" t="s">
        <v>80</v>
      </c>
      <c r="AI28" s="20"/>
      <c r="AJ28" s="31">
        <f t="shared" ca="1" si="19"/>
        <v>0</v>
      </c>
    </row>
    <row r="29" spans="1:37" x14ac:dyDescent="0.2">
      <c r="A29" t="s">
        <v>15</v>
      </c>
      <c r="B29" s="20" t="s">
        <v>738</v>
      </c>
      <c r="C29">
        <f t="shared" ca="1" si="14"/>
        <v>0</v>
      </c>
      <c r="D29">
        <f t="shared" ca="1" si="14"/>
        <v>0</v>
      </c>
      <c r="E29">
        <f t="shared" ca="1" si="14"/>
        <v>0</v>
      </c>
      <c r="F29">
        <f t="shared" ca="1" si="14"/>
        <v>6</v>
      </c>
      <c r="G29">
        <f t="shared" ca="1" si="14"/>
        <v>0</v>
      </c>
      <c r="H29">
        <f t="shared" ca="1" si="15"/>
        <v>0</v>
      </c>
      <c r="I29">
        <f t="shared" ca="1" si="14"/>
        <v>3</v>
      </c>
      <c r="J29">
        <f t="shared" ca="1" si="16"/>
        <v>0</v>
      </c>
      <c r="K29" s="31">
        <f t="shared" ca="1" si="14"/>
        <v>0</v>
      </c>
      <c r="L29">
        <f t="shared" ca="1" si="14"/>
        <v>0</v>
      </c>
      <c r="M29" s="31">
        <f t="shared" ca="1" si="17"/>
        <v>0</v>
      </c>
      <c r="N29" s="31">
        <f t="shared" ca="1" si="14"/>
        <v>0</v>
      </c>
      <c r="O29" s="31">
        <f t="shared" ca="1" si="14"/>
        <v>0.04</v>
      </c>
      <c r="P29" s="31">
        <f t="shared" ca="1" si="14"/>
        <v>0</v>
      </c>
      <c r="Q29">
        <f t="shared" ca="1" si="14"/>
        <v>0</v>
      </c>
      <c r="V29" t="s">
        <v>281</v>
      </c>
      <c r="W29" s="60">
        <f t="shared" ca="1" si="18"/>
        <v>3094.31</v>
      </c>
      <c r="X29" s="60">
        <f t="shared" ca="1" si="18"/>
        <v>3134.34</v>
      </c>
      <c r="Y29" s="60">
        <f t="shared" ca="1" si="18"/>
        <v>3178.37</v>
      </c>
      <c r="Z29" s="60">
        <f t="shared" ca="1" si="18"/>
        <v>3221.43</v>
      </c>
      <c r="AA29" s="60">
        <f t="shared" ca="1" si="18"/>
        <v>3314.46</v>
      </c>
      <c r="AB29" s="60">
        <f t="shared" ca="1" si="18"/>
        <v>3376.4599999999996</v>
      </c>
      <c r="AC29" s="60">
        <f t="shared" ca="1" si="18"/>
        <v>2053.56</v>
      </c>
      <c r="AD29" s="60">
        <f t="shared" ca="1" si="18"/>
        <v>0</v>
      </c>
      <c r="AH29" t="s">
        <v>15</v>
      </c>
      <c r="AI29" s="20"/>
      <c r="AJ29" s="31">
        <f t="shared" ca="1" si="19"/>
        <v>0</v>
      </c>
    </row>
    <row r="30" spans="1:37" x14ac:dyDescent="0.2">
      <c r="A30" t="s">
        <v>16</v>
      </c>
      <c r="B30" s="20" t="s">
        <v>750</v>
      </c>
      <c r="C30">
        <f t="shared" ca="1" si="14"/>
        <v>0</v>
      </c>
      <c r="D30">
        <f t="shared" ca="1" si="14"/>
        <v>0</v>
      </c>
      <c r="E30">
        <f t="shared" ca="1" si="14"/>
        <v>0</v>
      </c>
      <c r="F30">
        <f t="shared" ca="1" si="14"/>
        <v>21</v>
      </c>
      <c r="G30">
        <f t="shared" ca="1" si="14"/>
        <v>22</v>
      </c>
      <c r="H30">
        <f t="shared" ca="1" si="15"/>
        <v>7</v>
      </c>
      <c r="I30">
        <f t="shared" ca="1" si="14"/>
        <v>32</v>
      </c>
      <c r="J30">
        <f t="shared" ca="1" si="16"/>
        <v>0</v>
      </c>
      <c r="K30" s="31">
        <f t="shared" ca="1" si="14"/>
        <v>0</v>
      </c>
      <c r="L30">
        <f t="shared" ca="1" si="14"/>
        <v>0</v>
      </c>
      <c r="M30" s="31">
        <f t="shared" ca="1" si="17"/>
        <v>0</v>
      </c>
      <c r="N30" s="31">
        <f t="shared" ca="1" si="14"/>
        <v>0</v>
      </c>
      <c r="O30" s="31">
        <f t="shared" ca="1" si="14"/>
        <v>0.03</v>
      </c>
      <c r="P30" s="31">
        <f t="shared" ca="1" si="14"/>
        <v>0</v>
      </c>
      <c r="Q30">
        <f t="shared" ca="1" si="14"/>
        <v>51</v>
      </c>
      <c r="V30" t="s">
        <v>282</v>
      </c>
      <c r="W30" s="60">
        <f t="shared" ca="1" si="18"/>
        <v>4256.18</v>
      </c>
      <c r="X30" s="60">
        <f t="shared" ca="1" si="18"/>
        <v>4336.24</v>
      </c>
      <c r="Y30" s="60">
        <f t="shared" ca="1" si="18"/>
        <v>4419.33</v>
      </c>
      <c r="Z30" s="60">
        <f t="shared" ca="1" si="18"/>
        <v>4523.3899999999994</v>
      </c>
      <c r="AA30" s="60">
        <f t="shared" ca="1" si="18"/>
        <v>4676.4799999999996</v>
      </c>
      <c r="AB30" s="60">
        <f t="shared" ca="1" si="18"/>
        <v>4785.51</v>
      </c>
      <c r="AC30" s="60">
        <f t="shared" ca="1" si="18"/>
        <v>0</v>
      </c>
      <c r="AD30" s="60">
        <f t="shared" ca="1" si="18"/>
        <v>0</v>
      </c>
      <c r="AH30" t="s">
        <v>16</v>
      </c>
      <c r="AI30" s="20" t="s">
        <v>408</v>
      </c>
      <c r="AJ30" s="31">
        <f t="shared" ca="1" si="19"/>
        <v>0</v>
      </c>
    </row>
    <row r="31" spans="1:37" x14ac:dyDescent="0.2">
      <c r="A31" t="s">
        <v>17</v>
      </c>
      <c r="B31" s="20" t="s">
        <v>413</v>
      </c>
      <c r="C31">
        <f t="shared" ca="1" si="14"/>
        <v>0</v>
      </c>
      <c r="D31">
        <f t="shared" ca="1" si="14"/>
        <v>0</v>
      </c>
      <c r="E31">
        <f t="shared" ca="1" si="14"/>
        <v>0</v>
      </c>
      <c r="F31">
        <f t="shared" ca="1" si="14"/>
        <v>0</v>
      </c>
      <c r="G31">
        <f t="shared" ca="1" si="14"/>
        <v>0</v>
      </c>
      <c r="H31">
        <f t="shared" ca="1" si="15"/>
        <v>5</v>
      </c>
      <c r="I31">
        <f t="shared" ca="1" si="14"/>
        <v>11</v>
      </c>
      <c r="J31">
        <f t="shared" ca="1" si="16"/>
        <v>0</v>
      </c>
      <c r="K31" s="31">
        <f t="shared" ca="1" si="14"/>
        <v>0</v>
      </c>
      <c r="L31">
        <f t="shared" ca="1" si="14"/>
        <v>0</v>
      </c>
      <c r="M31" s="31">
        <f t="shared" ca="1" si="17"/>
        <v>0</v>
      </c>
      <c r="N31" s="31">
        <f t="shared" ca="1" si="14"/>
        <v>0</v>
      </c>
      <c r="O31" s="31">
        <f t="shared" ca="1" si="14"/>
        <v>0</v>
      </c>
      <c r="P31" s="31">
        <f t="shared" ca="1" si="14"/>
        <v>0</v>
      </c>
      <c r="Q31">
        <f t="shared" ca="1" si="14"/>
        <v>0</v>
      </c>
      <c r="V31" s="8" t="s">
        <v>283</v>
      </c>
      <c r="W31" s="61">
        <f t="shared" ca="1" si="18"/>
        <v>5617.23</v>
      </c>
      <c r="X31" s="61">
        <f t="shared" ca="1" si="18"/>
        <v>5693.29</v>
      </c>
      <c r="Y31" s="61">
        <f t="shared" ca="1" si="18"/>
        <v>5773.35</v>
      </c>
      <c r="Z31" s="61">
        <f t="shared" ca="1" si="18"/>
        <v>5849.3799999999992</v>
      </c>
      <c r="AA31" s="61">
        <f t="shared" ca="1" si="18"/>
        <v>6022.44</v>
      </c>
      <c r="AB31" s="61">
        <f t="shared" ca="1" si="18"/>
        <v>6129.5</v>
      </c>
      <c r="AC31" s="61">
        <f t="shared" ca="1" si="18"/>
        <v>0</v>
      </c>
      <c r="AD31" s="61">
        <f t="shared" ca="1" si="18"/>
        <v>0</v>
      </c>
      <c r="AH31" t="s">
        <v>17</v>
      </c>
      <c r="AI31" s="20" t="s">
        <v>414</v>
      </c>
      <c r="AJ31" s="31">
        <f t="shared" ca="1" si="19"/>
        <v>0.03</v>
      </c>
    </row>
    <row r="32" spans="1:37" x14ac:dyDescent="0.2">
      <c r="A32" t="s">
        <v>43</v>
      </c>
      <c r="B32" s="20" t="s">
        <v>423</v>
      </c>
      <c r="C32">
        <f t="shared" ca="1" si="14"/>
        <v>0</v>
      </c>
      <c r="D32">
        <f t="shared" ca="1" si="14"/>
        <v>0</v>
      </c>
      <c r="E32">
        <f t="shared" ca="1" si="14"/>
        <v>0</v>
      </c>
      <c r="F32">
        <f t="shared" ca="1" si="14"/>
        <v>0</v>
      </c>
      <c r="G32">
        <f t="shared" ca="1" si="14"/>
        <v>0</v>
      </c>
      <c r="H32">
        <f t="shared" ca="1" si="15"/>
        <v>0</v>
      </c>
      <c r="I32">
        <f t="shared" ca="1" si="14"/>
        <v>6</v>
      </c>
      <c r="J32">
        <f t="shared" ca="1" si="16"/>
        <v>0</v>
      </c>
      <c r="K32" s="31">
        <f t="shared" ca="1" si="14"/>
        <v>0.03</v>
      </c>
      <c r="L32">
        <f t="shared" ca="1" si="14"/>
        <v>0</v>
      </c>
      <c r="M32" s="31">
        <f t="shared" ca="1" si="17"/>
        <v>0</v>
      </c>
      <c r="N32" s="31">
        <f t="shared" ca="1" si="14"/>
        <v>0</v>
      </c>
      <c r="O32" s="31">
        <f t="shared" ca="1" si="14"/>
        <v>0</v>
      </c>
      <c r="P32" s="31">
        <f t="shared" ca="1" si="14"/>
        <v>0</v>
      </c>
      <c r="Q32">
        <f t="shared" ca="1" si="14"/>
        <v>0</v>
      </c>
      <c r="V32" t="s">
        <v>284</v>
      </c>
      <c r="W32" s="60">
        <f t="shared" ca="1" si="18"/>
        <v>2171.62</v>
      </c>
      <c r="X32" s="60">
        <f t="shared" ca="1" si="18"/>
        <v>2191.6499999999996</v>
      </c>
      <c r="Y32" s="60">
        <f t="shared" ca="1" si="18"/>
        <v>2215.65</v>
      </c>
      <c r="Z32" s="60">
        <f t="shared" ca="1" si="18"/>
        <v>2239.6800000000003</v>
      </c>
      <c r="AA32" s="60">
        <f t="shared" ca="1" si="18"/>
        <v>2378.77</v>
      </c>
      <c r="AB32" s="60">
        <f t="shared" ca="1" si="18"/>
        <v>2495.8599999999997</v>
      </c>
      <c r="AC32" s="60">
        <f t="shared" ca="1" si="18"/>
        <v>1378.05</v>
      </c>
      <c r="AD32" s="60">
        <f t="shared" ca="1" si="18"/>
        <v>0</v>
      </c>
      <c r="AH32" t="s">
        <v>43</v>
      </c>
      <c r="AI32" s="20" t="s">
        <v>563</v>
      </c>
      <c r="AJ32" s="31">
        <f t="shared" ca="1" si="19"/>
        <v>0.02</v>
      </c>
    </row>
    <row r="33" spans="1:37" x14ac:dyDescent="0.2">
      <c r="A33" t="s">
        <v>43</v>
      </c>
      <c r="B33" s="20" t="s">
        <v>694</v>
      </c>
      <c r="C33">
        <f t="shared" ca="1" si="14"/>
        <v>0</v>
      </c>
      <c r="D33">
        <f t="shared" ca="1" si="14"/>
        <v>0</v>
      </c>
      <c r="E33">
        <f t="shared" ca="1" si="14"/>
        <v>0</v>
      </c>
      <c r="F33">
        <f t="shared" ca="1" si="14"/>
        <v>0</v>
      </c>
      <c r="G33">
        <f t="shared" ca="1" si="14"/>
        <v>0</v>
      </c>
      <c r="H33">
        <f t="shared" ca="1" si="15"/>
        <v>0</v>
      </c>
      <c r="I33">
        <f t="shared" ca="1" si="14"/>
        <v>10</v>
      </c>
      <c r="J33">
        <f t="shared" ca="1" si="16"/>
        <v>0</v>
      </c>
      <c r="K33" s="31">
        <f t="shared" ca="1" si="14"/>
        <v>0</v>
      </c>
      <c r="L33">
        <f t="shared" ca="1" si="14"/>
        <v>0</v>
      </c>
      <c r="M33" s="31">
        <f t="shared" ca="1" si="17"/>
        <v>0</v>
      </c>
      <c r="N33" s="31">
        <f t="shared" ca="1" si="14"/>
        <v>0</v>
      </c>
      <c r="O33" s="31">
        <f t="shared" ca="1" si="14"/>
        <v>0</v>
      </c>
      <c r="P33" s="31">
        <f t="shared" ca="1" si="14"/>
        <v>0</v>
      </c>
      <c r="Q33">
        <f t="shared" ca="1" si="14"/>
        <v>0</v>
      </c>
      <c r="V33" t="s">
        <v>285</v>
      </c>
      <c r="W33" s="60">
        <f t="shared" ca="1" si="18"/>
        <v>3293.49</v>
      </c>
      <c r="X33" s="60">
        <f t="shared" ca="1" si="18"/>
        <v>3333.5199999999995</v>
      </c>
      <c r="Y33" s="60">
        <f t="shared" ca="1" si="18"/>
        <v>3377.55</v>
      </c>
      <c r="Z33" s="60">
        <f t="shared" ca="1" si="18"/>
        <v>3421.58</v>
      </c>
      <c r="AA33" s="60">
        <f t="shared" ca="1" si="18"/>
        <v>3517.6099999999997</v>
      </c>
      <c r="AB33" s="60">
        <f t="shared" ca="1" si="18"/>
        <v>3579.64</v>
      </c>
      <c r="AC33" s="60">
        <f t="shared" ca="1" si="18"/>
        <v>1894.44</v>
      </c>
      <c r="AD33" s="60">
        <f t="shared" ca="1" si="18"/>
        <v>0</v>
      </c>
      <c r="AH33" t="s">
        <v>43</v>
      </c>
      <c r="AI33" s="20"/>
      <c r="AJ33" s="31">
        <f t="shared" ca="1" si="19"/>
        <v>0</v>
      </c>
    </row>
    <row r="34" spans="1:37" x14ac:dyDescent="0.2">
      <c r="A34" t="s">
        <v>18</v>
      </c>
      <c r="B34" s="20" t="s">
        <v>728</v>
      </c>
      <c r="C34">
        <f t="shared" ca="1" si="14"/>
        <v>0</v>
      </c>
      <c r="D34">
        <f t="shared" ca="1" si="14"/>
        <v>0</v>
      </c>
      <c r="E34">
        <f t="shared" ca="1" si="14"/>
        <v>0</v>
      </c>
      <c r="F34">
        <f t="shared" ca="1" si="14"/>
        <v>29</v>
      </c>
      <c r="G34">
        <f t="shared" ca="1" si="14"/>
        <v>29</v>
      </c>
      <c r="H34">
        <f t="shared" ca="1" si="15"/>
        <v>10</v>
      </c>
      <c r="I34">
        <f t="shared" ca="1" si="14"/>
        <v>0</v>
      </c>
      <c r="J34">
        <f t="shared" ca="1" si="16"/>
        <v>0</v>
      </c>
      <c r="K34" s="31">
        <f t="shared" ca="1" si="14"/>
        <v>0</v>
      </c>
      <c r="L34">
        <f t="shared" ca="1" si="14"/>
        <v>0</v>
      </c>
      <c r="M34" s="31">
        <f t="shared" ca="1" si="17"/>
        <v>0</v>
      </c>
      <c r="N34" s="31">
        <f t="shared" ca="1" si="14"/>
        <v>0</v>
      </c>
      <c r="O34" s="31">
        <f t="shared" ca="1" si="14"/>
        <v>0</v>
      </c>
      <c r="P34" s="31">
        <f t="shared" ca="1" si="14"/>
        <v>0</v>
      </c>
      <c r="Q34">
        <f t="shared" ca="1" si="14"/>
        <v>30</v>
      </c>
      <c r="V34" t="s">
        <v>286</v>
      </c>
      <c r="W34" s="60">
        <f t="shared" ca="1" si="18"/>
        <v>4655.4799999999996</v>
      </c>
      <c r="X34" s="60">
        <f t="shared" ca="1" si="18"/>
        <v>4735.54</v>
      </c>
      <c r="Y34" s="60">
        <f t="shared" ca="1" si="18"/>
        <v>4818.63</v>
      </c>
      <c r="Z34" s="60">
        <f t="shared" ca="1" si="18"/>
        <v>4922.6900000000005</v>
      </c>
      <c r="AA34" s="60">
        <f t="shared" ca="1" si="18"/>
        <v>5081.78</v>
      </c>
      <c r="AB34" s="60">
        <f t="shared" ca="1" si="18"/>
        <v>5192.8099999999995</v>
      </c>
      <c r="AC34" s="60">
        <f t="shared" ca="1" si="18"/>
        <v>0</v>
      </c>
      <c r="AD34" s="60">
        <f t="shared" ca="1" si="18"/>
        <v>0</v>
      </c>
      <c r="AH34" t="s">
        <v>18</v>
      </c>
      <c r="AI34" s="20"/>
      <c r="AJ34" s="31">
        <f t="shared" ca="1" si="19"/>
        <v>0</v>
      </c>
    </row>
    <row r="35" spans="1:37" x14ac:dyDescent="0.2">
      <c r="A35" t="s">
        <v>19</v>
      </c>
      <c r="B35" s="20" t="s">
        <v>753</v>
      </c>
      <c r="C35">
        <f t="shared" ca="1" si="14"/>
        <v>0</v>
      </c>
      <c r="D35">
        <f t="shared" ca="1" si="14"/>
        <v>0</v>
      </c>
      <c r="E35">
        <f t="shared" ca="1" si="14"/>
        <v>0</v>
      </c>
      <c r="F35">
        <f t="shared" ca="1" si="14"/>
        <v>17</v>
      </c>
      <c r="G35">
        <f t="shared" ca="1" si="14"/>
        <v>30</v>
      </c>
      <c r="H35">
        <f t="shared" ca="1" si="15"/>
        <v>0</v>
      </c>
      <c r="I35">
        <f t="shared" ca="1" si="14"/>
        <v>29</v>
      </c>
      <c r="J35">
        <f t="shared" ca="1" si="16"/>
        <v>0</v>
      </c>
      <c r="K35" s="31">
        <f t="shared" ca="1" si="14"/>
        <v>0</v>
      </c>
      <c r="L35">
        <f t="shared" ca="1" si="14"/>
        <v>0</v>
      </c>
      <c r="M35" s="31">
        <f t="shared" ca="1" si="17"/>
        <v>0</v>
      </c>
      <c r="N35" s="31">
        <f t="shared" ca="1" si="14"/>
        <v>0</v>
      </c>
      <c r="O35" s="31">
        <f t="shared" ca="1" si="14"/>
        <v>0</v>
      </c>
      <c r="P35" s="31">
        <f t="shared" ca="1" si="14"/>
        <v>0</v>
      </c>
      <c r="Q35">
        <f t="shared" ca="1" si="14"/>
        <v>30</v>
      </c>
      <c r="V35" s="8" t="s">
        <v>287</v>
      </c>
      <c r="W35" s="61">
        <f t="shared" ca="1" si="18"/>
        <v>6016.53</v>
      </c>
      <c r="X35" s="61">
        <f t="shared" ca="1" si="18"/>
        <v>6092.5899999999992</v>
      </c>
      <c r="Y35" s="61">
        <f t="shared" ca="1" si="18"/>
        <v>6172.65</v>
      </c>
      <c r="Z35" s="61">
        <f t="shared" ca="1" si="18"/>
        <v>6252.6799999999994</v>
      </c>
      <c r="AA35" s="61">
        <f t="shared" ca="1" si="18"/>
        <v>6427.74</v>
      </c>
      <c r="AB35" s="61">
        <f t="shared" ca="1" si="18"/>
        <v>6536.8</v>
      </c>
      <c r="AC35" s="61">
        <f t="shared" ca="1" si="18"/>
        <v>0</v>
      </c>
      <c r="AD35" s="61">
        <f t="shared" ca="1" si="18"/>
        <v>7999.61</v>
      </c>
      <c r="AH35" t="s">
        <v>19</v>
      </c>
      <c r="AI35" s="20" t="s">
        <v>454</v>
      </c>
      <c r="AJ35" s="31">
        <f t="shared" ca="1" si="19"/>
        <v>0.02</v>
      </c>
    </row>
    <row r="36" spans="1:37" x14ac:dyDescent="0.2">
      <c r="A36" t="s">
        <v>44</v>
      </c>
      <c r="B36" s="20" t="s">
        <v>739</v>
      </c>
      <c r="C36">
        <f t="shared" ca="1" si="14"/>
        <v>0</v>
      </c>
      <c r="D36">
        <f t="shared" ca="1" si="14"/>
        <v>0</v>
      </c>
      <c r="E36">
        <f t="shared" ca="1" si="14"/>
        <v>0</v>
      </c>
      <c r="F36">
        <f t="shared" ca="1" si="14"/>
        <v>9</v>
      </c>
      <c r="G36">
        <f t="shared" ca="1" si="14"/>
        <v>0</v>
      </c>
      <c r="H36">
        <f t="shared" ca="1" si="15"/>
        <v>0</v>
      </c>
      <c r="I36">
        <f t="shared" ca="1" si="14"/>
        <v>3</v>
      </c>
      <c r="J36">
        <f t="shared" ca="1" si="16"/>
        <v>0</v>
      </c>
      <c r="K36" s="31">
        <f t="shared" ca="1" si="14"/>
        <v>0</v>
      </c>
      <c r="L36">
        <f t="shared" ca="1" si="14"/>
        <v>0</v>
      </c>
      <c r="M36" s="31">
        <f t="shared" ca="1" si="17"/>
        <v>0</v>
      </c>
      <c r="N36" s="31">
        <f t="shared" ca="1" si="14"/>
        <v>0</v>
      </c>
      <c r="O36" s="31">
        <f t="shared" ca="1" si="14"/>
        <v>0</v>
      </c>
      <c r="P36" s="31">
        <f t="shared" ca="1" si="14"/>
        <v>0</v>
      </c>
      <c r="Q36">
        <f t="shared" ca="1" si="14"/>
        <v>0</v>
      </c>
      <c r="V36" s="73" t="s">
        <v>617</v>
      </c>
      <c r="W36" s="68">
        <f t="shared" ca="1" si="18"/>
        <v>1589.1699999999998</v>
      </c>
      <c r="X36" s="68">
        <f t="shared" ca="1" si="18"/>
        <v>1589.1699999999998</v>
      </c>
      <c r="Y36" s="68">
        <f t="shared" ca="1" si="18"/>
        <v>1589.1699999999998</v>
      </c>
      <c r="Z36" s="68">
        <f t="shared" ca="1" si="18"/>
        <v>1589.1699999999998</v>
      </c>
      <c r="AA36" s="68">
        <f t="shared" ca="1" si="18"/>
        <v>1612.1999999999998</v>
      </c>
      <c r="AB36" s="68">
        <f t="shared" ca="1" si="18"/>
        <v>1620.2</v>
      </c>
      <c r="AC36" s="61">
        <f t="shared" ca="1" si="18"/>
        <v>0</v>
      </c>
      <c r="AD36" s="61">
        <f t="shared" ca="1" si="18"/>
        <v>2541.9199999999996</v>
      </c>
      <c r="AH36" t="s">
        <v>44</v>
      </c>
      <c r="AI36" s="20" t="s">
        <v>564</v>
      </c>
      <c r="AJ36" s="31">
        <f t="shared" ca="1" si="19"/>
        <v>0.02</v>
      </c>
    </row>
    <row r="37" spans="1:37" x14ac:dyDescent="0.2">
      <c r="A37" t="s">
        <v>44</v>
      </c>
      <c r="B37" s="20" t="s">
        <v>629</v>
      </c>
      <c r="C37">
        <f t="shared" ca="1" si="14"/>
        <v>0</v>
      </c>
      <c r="D37">
        <f t="shared" ca="1" si="14"/>
        <v>0</v>
      </c>
      <c r="E37">
        <f t="shared" ca="1" si="14"/>
        <v>0</v>
      </c>
      <c r="F37">
        <f t="shared" ca="1" si="14"/>
        <v>10</v>
      </c>
      <c r="G37">
        <f t="shared" ca="1" si="14"/>
        <v>17</v>
      </c>
      <c r="H37">
        <f t="shared" ca="1" si="15"/>
        <v>0</v>
      </c>
      <c r="I37">
        <f t="shared" ca="1" si="14"/>
        <v>0</v>
      </c>
      <c r="J37">
        <f t="shared" ca="1" si="16"/>
        <v>0</v>
      </c>
      <c r="K37" s="31">
        <f t="shared" ca="1" si="14"/>
        <v>0</v>
      </c>
      <c r="L37">
        <f t="shared" ca="1" si="14"/>
        <v>0</v>
      </c>
      <c r="M37" s="31">
        <f t="shared" ca="1" si="17"/>
        <v>0</v>
      </c>
      <c r="N37" s="31">
        <f t="shared" ca="1" si="14"/>
        <v>0</v>
      </c>
      <c r="O37" s="31">
        <f t="shared" ca="1" si="14"/>
        <v>0</v>
      </c>
      <c r="P37" s="31">
        <f t="shared" ca="1" si="14"/>
        <v>0</v>
      </c>
      <c r="Q37">
        <f t="shared" ca="1" si="14"/>
        <v>30</v>
      </c>
      <c r="V37" t="s">
        <v>289</v>
      </c>
      <c r="W37" s="60">
        <f t="shared" ca="1" si="18"/>
        <v>2530.92</v>
      </c>
      <c r="X37" s="60">
        <f t="shared" ca="1" si="18"/>
        <v>2590.9499999999998</v>
      </c>
      <c r="Y37" s="60">
        <f t="shared" ca="1" si="18"/>
        <v>2654.98</v>
      </c>
      <c r="Z37" s="60">
        <f t="shared" ca="1" si="18"/>
        <v>2719.04</v>
      </c>
      <c r="AA37" s="60">
        <f t="shared" ca="1" si="18"/>
        <v>2824.1000000000004</v>
      </c>
      <c r="AB37" s="60">
        <f t="shared" ca="1" si="18"/>
        <v>2903.16</v>
      </c>
      <c r="AC37" s="60">
        <f t="shared" ca="1" si="18"/>
        <v>0</v>
      </c>
      <c r="AD37" s="60">
        <f t="shared" ca="1" si="18"/>
        <v>0</v>
      </c>
      <c r="AH37" t="s">
        <v>44</v>
      </c>
      <c r="AI37" s="20" t="s">
        <v>629</v>
      </c>
      <c r="AJ37" s="31">
        <f t="shared" ca="1" si="19"/>
        <v>0</v>
      </c>
    </row>
    <row r="38" spans="1:37" x14ac:dyDescent="0.2">
      <c r="A38" t="s">
        <v>20</v>
      </c>
      <c r="B38" s="20" t="s">
        <v>695</v>
      </c>
      <c r="C38">
        <f t="shared" ca="1" si="14"/>
        <v>0</v>
      </c>
      <c r="D38">
        <f t="shared" ca="1" si="14"/>
        <v>0</v>
      </c>
      <c r="E38">
        <f t="shared" ca="1" si="14"/>
        <v>0</v>
      </c>
      <c r="F38">
        <f t="shared" ca="1" si="14"/>
        <v>8</v>
      </c>
      <c r="G38">
        <f t="shared" ca="1" si="14"/>
        <v>0</v>
      </c>
      <c r="H38">
        <f t="shared" ca="1" si="15"/>
        <v>0</v>
      </c>
      <c r="I38">
        <f t="shared" ca="1" si="14"/>
        <v>10</v>
      </c>
      <c r="J38">
        <f t="shared" ca="1" si="16"/>
        <v>0</v>
      </c>
      <c r="K38" s="31">
        <f t="shared" ca="1" si="14"/>
        <v>0</v>
      </c>
      <c r="L38">
        <f t="shared" ca="1" si="14"/>
        <v>0</v>
      </c>
      <c r="M38" s="31">
        <f t="shared" ca="1" si="17"/>
        <v>0</v>
      </c>
      <c r="N38" s="31">
        <f t="shared" ca="1" si="14"/>
        <v>0</v>
      </c>
      <c r="O38" s="31">
        <f t="shared" ca="1" si="14"/>
        <v>0</v>
      </c>
      <c r="P38" s="31">
        <f t="shared" ca="1" si="14"/>
        <v>0</v>
      </c>
      <c r="Q38">
        <f t="shared" ca="1" si="14"/>
        <v>0</v>
      </c>
      <c r="V38" s="8" t="s">
        <v>298</v>
      </c>
      <c r="W38" s="61">
        <f t="shared" ca="1" si="18"/>
        <v>3692.7899999999995</v>
      </c>
      <c r="X38" s="61">
        <f t="shared" ca="1" si="18"/>
        <v>3772.85</v>
      </c>
      <c r="Y38" s="61">
        <f t="shared" ca="1" si="18"/>
        <v>3856.88</v>
      </c>
      <c r="Z38" s="61">
        <f t="shared" ca="1" si="18"/>
        <v>3940.9399999999996</v>
      </c>
      <c r="AA38" s="61">
        <f t="shared" ca="1" si="18"/>
        <v>4085.0299999999997</v>
      </c>
      <c r="AB38" s="61">
        <f t="shared" ca="1" si="18"/>
        <v>4191.0599999999995</v>
      </c>
      <c r="AC38" s="61">
        <f t="shared" ca="1" si="18"/>
        <v>0</v>
      </c>
      <c r="AD38" s="61">
        <f t="shared" ca="1" si="18"/>
        <v>0</v>
      </c>
      <c r="AH38" t="s">
        <v>20</v>
      </c>
      <c r="AI38" s="20" t="s">
        <v>429</v>
      </c>
      <c r="AJ38" s="31">
        <f t="shared" ca="1" si="19"/>
        <v>0.03</v>
      </c>
    </row>
    <row r="39" spans="1:37" x14ac:dyDescent="0.2">
      <c r="A39" t="s">
        <v>21</v>
      </c>
      <c r="B39" s="20" t="s">
        <v>743</v>
      </c>
      <c r="C39">
        <f t="shared" ca="1" si="14"/>
        <v>0</v>
      </c>
      <c r="D39">
        <f t="shared" ca="1" si="14"/>
        <v>0</v>
      </c>
      <c r="E39">
        <f t="shared" ca="1" si="14"/>
        <v>0</v>
      </c>
      <c r="F39">
        <f t="shared" ca="1" si="14"/>
        <v>6</v>
      </c>
      <c r="G39">
        <f t="shared" ca="1" si="14"/>
        <v>0</v>
      </c>
      <c r="H39">
        <f t="shared" ca="1" si="15"/>
        <v>2</v>
      </c>
      <c r="I39">
        <f t="shared" ca="1" si="14"/>
        <v>5</v>
      </c>
      <c r="J39">
        <f t="shared" ca="1" si="16"/>
        <v>0</v>
      </c>
      <c r="K39" s="31">
        <f t="shared" ca="1" si="14"/>
        <v>0</v>
      </c>
      <c r="L39">
        <f t="shared" ca="1" si="14"/>
        <v>0</v>
      </c>
      <c r="M39" s="31">
        <f t="shared" ca="1" si="17"/>
        <v>0</v>
      </c>
      <c r="N39" s="31">
        <f t="shared" ca="1" si="14"/>
        <v>0</v>
      </c>
      <c r="O39" s="31">
        <f t="shared" ca="1" si="14"/>
        <v>0</v>
      </c>
      <c r="P39" s="31">
        <f t="shared" ca="1" si="14"/>
        <v>0</v>
      </c>
      <c r="Q39">
        <f t="shared" ca="1" si="14"/>
        <v>0</v>
      </c>
      <c r="V39" t="s">
        <v>288</v>
      </c>
      <c r="W39" s="60">
        <f t="shared" ca="1" si="18"/>
        <v>4527.42</v>
      </c>
      <c r="X39" s="60">
        <f t="shared" ca="1" si="18"/>
        <v>4527.42</v>
      </c>
      <c r="Y39" s="60">
        <f t="shared" ca="1" si="18"/>
        <v>4527.42</v>
      </c>
      <c r="Z39" s="60">
        <f t="shared" ca="1" si="18"/>
        <v>4527.42</v>
      </c>
      <c r="AA39" s="60">
        <f t="shared" ca="1" si="18"/>
        <v>4595.42</v>
      </c>
      <c r="AB39" s="60">
        <f t="shared" ca="1" si="18"/>
        <v>4618.3900000000003</v>
      </c>
      <c r="AC39" s="60">
        <f t="shared" ca="1" si="18"/>
        <v>1676.26</v>
      </c>
      <c r="AD39" s="60">
        <f t="shared" ca="1" si="18"/>
        <v>4504.42</v>
      </c>
      <c r="AH39" t="s">
        <v>21</v>
      </c>
      <c r="AI39" s="20" t="s">
        <v>442</v>
      </c>
      <c r="AJ39" s="31">
        <f t="shared" ca="1" si="19"/>
        <v>0.03</v>
      </c>
    </row>
    <row r="40" spans="1:37" x14ac:dyDescent="0.2">
      <c r="A40" t="s">
        <v>22</v>
      </c>
      <c r="B40" s="20" t="s">
        <v>716</v>
      </c>
      <c r="C40">
        <f t="shared" ca="1" si="14"/>
        <v>0</v>
      </c>
      <c r="D40">
        <f t="shared" ca="1" si="14"/>
        <v>0</v>
      </c>
      <c r="E40">
        <f t="shared" ca="1" si="14"/>
        <v>0</v>
      </c>
      <c r="F40">
        <f t="shared" ca="1" si="14"/>
        <v>27</v>
      </c>
      <c r="G40">
        <f t="shared" ca="1" si="14"/>
        <v>19</v>
      </c>
      <c r="H40">
        <f t="shared" ca="1" si="15"/>
        <v>0</v>
      </c>
      <c r="I40">
        <f t="shared" ca="1" si="14"/>
        <v>53</v>
      </c>
      <c r="J40">
        <f t="shared" ca="1" si="16"/>
        <v>10</v>
      </c>
      <c r="K40" s="31">
        <f t="shared" ca="1" si="14"/>
        <v>0</v>
      </c>
      <c r="L40">
        <f t="shared" ca="1" si="14"/>
        <v>0</v>
      </c>
      <c r="M40" s="31">
        <f t="shared" ca="1" si="17"/>
        <v>0</v>
      </c>
      <c r="N40" s="31">
        <f t="shared" ca="1" si="14"/>
        <v>0</v>
      </c>
      <c r="O40" s="31">
        <f t="shared" ca="1" si="14"/>
        <v>0</v>
      </c>
      <c r="P40" s="31">
        <f t="shared" ca="1" si="14"/>
        <v>0</v>
      </c>
      <c r="Q40">
        <f t="shared" ca="1" si="14"/>
        <v>40</v>
      </c>
      <c r="V40" t="s">
        <v>299</v>
      </c>
      <c r="W40" s="60">
        <f t="shared" ref="W40:AB40" ca="1" si="20">VLOOKUP($V16, INDIRECT(VLOOKUP($W$22, TypeDescription, 2, 0)&amp;"2"), MATCH(W$26, ElementHeader, 0), 0)</f>
        <v>4926.7199999999993</v>
      </c>
      <c r="X40" s="60">
        <f t="shared" ca="1" si="20"/>
        <v>4926.7199999999993</v>
      </c>
      <c r="Y40" s="60">
        <f t="shared" ca="1" si="20"/>
        <v>4926.7199999999993</v>
      </c>
      <c r="Z40" s="60">
        <f t="shared" ca="1" si="20"/>
        <v>4926.7199999999993</v>
      </c>
      <c r="AA40" s="60">
        <f t="shared" ca="1" si="20"/>
        <v>5000.72</v>
      </c>
      <c r="AB40" s="60">
        <f t="shared" ca="1" si="20"/>
        <v>5025.6900000000005</v>
      </c>
      <c r="AC40" s="60">
        <f t="shared" ref="AC40:AD40" ca="1" si="21">VLOOKUP($V16, INDIRECT(VLOOKUP($W$22, TypeDescription, 2, 0)&amp;"2"), MATCH(AC$26, ElementHeader, 0), 0)</f>
        <v>2351.77</v>
      </c>
      <c r="AD40" s="60">
        <f t="shared" ca="1" si="21"/>
        <v>6375.83</v>
      </c>
      <c r="AH40" t="s">
        <v>22</v>
      </c>
      <c r="AI40" s="20" t="s">
        <v>705</v>
      </c>
      <c r="AJ40" s="31">
        <f t="shared" ca="1" si="19"/>
        <v>0.05</v>
      </c>
    </row>
    <row r="41" spans="1:37" x14ac:dyDescent="0.2">
      <c r="A41" t="s">
        <v>23</v>
      </c>
      <c r="B41" s="20" t="s">
        <v>758</v>
      </c>
      <c r="C41">
        <f t="shared" ca="1" si="14"/>
        <v>0</v>
      </c>
      <c r="D41">
        <f t="shared" ca="1" si="14"/>
        <v>0</v>
      </c>
      <c r="E41">
        <f t="shared" ca="1" si="14"/>
        <v>0</v>
      </c>
      <c r="F41">
        <f t="shared" ca="1" si="14"/>
        <v>24</v>
      </c>
      <c r="G41">
        <f t="shared" ca="1" si="14"/>
        <v>23</v>
      </c>
      <c r="H41">
        <f t="shared" ca="1" si="15"/>
        <v>0</v>
      </c>
      <c r="I41">
        <f t="shared" ca="1" si="14"/>
        <v>27</v>
      </c>
      <c r="J41">
        <f t="shared" ca="1" si="16"/>
        <v>0</v>
      </c>
      <c r="K41" s="31">
        <f t="shared" ca="1" si="14"/>
        <v>0</v>
      </c>
      <c r="L41" t="str">
        <f t="shared" ca="1" si="14"/>
        <v xml:space="preserve"> </v>
      </c>
      <c r="M41" s="31">
        <f t="shared" ca="1" si="17"/>
        <v>0</v>
      </c>
      <c r="N41" s="31">
        <f t="shared" ca="1" si="14"/>
        <v>0.1</v>
      </c>
      <c r="O41" s="31">
        <f t="shared" ca="1" si="14"/>
        <v>0.04</v>
      </c>
      <c r="P41" s="31">
        <f t="shared" ca="1" si="14"/>
        <v>0.05</v>
      </c>
      <c r="Q41">
        <f t="shared" ca="1" si="14"/>
        <v>30</v>
      </c>
      <c r="AH41" t="s">
        <v>23</v>
      </c>
      <c r="AI41" s="20" t="s">
        <v>757</v>
      </c>
      <c r="AJ41" s="31">
        <f t="shared" ca="1" si="19"/>
        <v>0.05</v>
      </c>
    </row>
    <row r="42" spans="1:37" x14ac:dyDescent="0.2">
      <c r="A42" t="s">
        <v>24</v>
      </c>
      <c r="B42" s="47"/>
      <c r="C42">
        <f t="shared" ref="C42:Q42" si="22">SUMIF(INDEX(SetBonusLookup, 0, 1), "="&amp;C26, INDEX(SetBonusLookup, 0, MATCH("SpellSet2Gear", INDEX(SetBonusLookup, 1, 0), 0)))</f>
        <v>0</v>
      </c>
      <c r="D42">
        <f t="shared" ref="D42:E42" si="23">SUMIF(INDEX(SetBonusLookup, 0, 1), "="&amp;D26, INDEX(SetBonusLookup, 0, MATCH("SpellSet2Gear", INDEX(SetBonusLookup, 1, 0), 0)))</f>
        <v>0</v>
      </c>
      <c r="E42">
        <f t="shared" si="23"/>
        <v>0</v>
      </c>
      <c r="F42">
        <f t="shared" ca="1" si="22"/>
        <v>0</v>
      </c>
      <c r="G42">
        <f t="shared" ref="G42" ca="1" si="24">SUMIF(INDEX(SetBonusLookup, 0, 1), "="&amp;G26, INDEX(SetBonusLookup, 0, MATCH("SpellSet2Gear", INDEX(SetBonusLookup, 1, 0), 0)))</f>
        <v>0</v>
      </c>
      <c r="H42">
        <f ca="1">SUMIF(INDEX(SetBonusLookup, 0, 1), "="&amp;H26, INDEX(SetBonusLookup, 0, MATCH("SpellSet2Gear", INDEX(SetBonusLookup, 1, 0), 0)))</f>
        <v>0</v>
      </c>
      <c r="I42">
        <f t="shared" ca="1" si="22"/>
        <v>0</v>
      </c>
      <c r="J42">
        <f>SUMIF(INDEX(SetBonusLookup, 0, 1), "="&amp;J26, INDEX(SetBonusLookup, 0, MATCH("SpellSet2Gear", INDEX(SetBonusLookup, 1, 0), 0)))</f>
        <v>0</v>
      </c>
      <c r="K42" s="31">
        <f t="shared" si="22"/>
        <v>0</v>
      </c>
      <c r="L42">
        <f t="shared" si="22"/>
        <v>0</v>
      </c>
      <c r="M42" s="31">
        <f>SUMIF(INDEX(SetBonusLookup, 0, 1), "="&amp;M26, INDEX(SetBonusLookup, 0, MATCH("SpellSet2Gear", INDEX(SetBonusLookup, 1, 0), 0)))</f>
        <v>0</v>
      </c>
      <c r="N42" s="31">
        <f t="shared" si="22"/>
        <v>0</v>
      </c>
      <c r="O42" s="31">
        <f t="shared" si="22"/>
        <v>0</v>
      </c>
      <c r="P42" s="31">
        <f t="shared" ca="1" si="22"/>
        <v>0</v>
      </c>
      <c r="Q42">
        <f t="shared" si="22"/>
        <v>0</v>
      </c>
      <c r="AH42" t="s">
        <v>24</v>
      </c>
      <c r="AI42" s="47"/>
      <c r="AJ42" s="31">
        <f ca="1">SUMIF(INDEX(SetBonusLookup, 0, 1), "="&amp;AJ26, INDEX(SetBonusLookup, 0, MATCH("SpellSet2Gear", INDEX(SetBonusLookup, 1, 0), 0)))</f>
        <v>0</v>
      </c>
    </row>
    <row r="43" spans="1:37" x14ac:dyDescent="0.2">
      <c r="A43" t="s">
        <v>257</v>
      </c>
      <c r="C43" s="20"/>
      <c r="D43" s="20"/>
      <c r="E43" s="20"/>
      <c r="F43" s="20"/>
      <c r="G43" s="20"/>
      <c r="H43" s="20"/>
      <c r="I43" s="20"/>
      <c r="J43" s="20"/>
      <c r="K43" s="67"/>
      <c r="L43" s="20"/>
      <c r="M43" s="20"/>
      <c r="N43" s="54"/>
      <c r="O43" s="20"/>
      <c r="P43" s="20"/>
      <c r="Q43" s="54"/>
      <c r="V43" t="s">
        <v>465</v>
      </c>
      <c r="W43" s="63"/>
      <c r="X43" s="63"/>
      <c r="Y43" s="63"/>
      <c r="Z43" s="63"/>
      <c r="AA43" s="63"/>
      <c r="AB43" s="63"/>
      <c r="AC43" s="63"/>
      <c r="AD43" s="63"/>
      <c r="AH43" t="s">
        <v>257</v>
      </c>
      <c r="AJ43" s="20"/>
    </row>
    <row r="44" spans="1:37" x14ac:dyDescent="0.2">
      <c r="N44" s="31"/>
      <c r="Q44" s="31"/>
    </row>
    <row r="45" spans="1:37" x14ac:dyDescent="0.2">
      <c r="A45" t="s">
        <v>7</v>
      </c>
      <c r="C45" s="53">
        <f t="shared" ref="C45:Q45" ca="1" si="25">SUM(C27:C43)</f>
        <v>0</v>
      </c>
      <c r="D45" s="53">
        <f t="shared" ref="D45:E45" ca="1" si="26">SUM(D27:D43)</f>
        <v>0</v>
      </c>
      <c r="E45" s="53">
        <f t="shared" ca="1" si="26"/>
        <v>0</v>
      </c>
      <c r="F45" s="53">
        <f t="shared" ca="1" si="25"/>
        <v>184</v>
      </c>
      <c r="G45" s="53">
        <f t="shared" ref="G45" ca="1" si="27">SUM(G27:G43)</f>
        <v>152</v>
      </c>
      <c r="H45" s="53">
        <f ca="1">SUM(H27:H43)</f>
        <v>24</v>
      </c>
      <c r="I45" s="53">
        <f t="shared" ca="1" si="25"/>
        <v>252</v>
      </c>
      <c r="J45" s="53">
        <f ca="1">SUM(J27:J43)</f>
        <v>252</v>
      </c>
      <c r="K45" s="31">
        <f t="shared" ca="1" si="25"/>
        <v>0.03</v>
      </c>
      <c r="L45" s="31">
        <f t="shared" ca="1" si="25"/>
        <v>0</v>
      </c>
      <c r="M45" s="31">
        <f ca="1">SUM(M27:M43)</f>
        <v>0</v>
      </c>
      <c r="N45" s="31">
        <f t="shared" ca="1" si="25"/>
        <v>0.1</v>
      </c>
      <c r="O45" s="31">
        <f t="shared" ca="1" si="25"/>
        <v>0.11000000000000001</v>
      </c>
      <c r="P45" s="31">
        <f t="shared" ca="1" si="25"/>
        <v>0.05</v>
      </c>
      <c r="Q45" s="53">
        <f t="shared" ca="1" si="25"/>
        <v>211</v>
      </c>
      <c r="AH45" t="s">
        <v>7</v>
      </c>
      <c r="AJ45" s="31">
        <f ca="1">SUM(AJ27:AJ43)</f>
        <v>0.27</v>
      </c>
    </row>
    <row r="46" spans="1:37" x14ac:dyDescent="0.2">
      <c r="A46" t="s">
        <v>456</v>
      </c>
      <c r="B46" s="3">
        <f ca="1">Data!C38</f>
        <v>91</v>
      </c>
      <c r="V46" s="37" t="s">
        <v>646</v>
      </c>
      <c r="Y46" s="19" t="s">
        <v>656</v>
      </c>
    </row>
    <row r="47" spans="1:37" x14ac:dyDescent="0.2">
      <c r="A47" s="19" t="s">
        <v>658</v>
      </c>
      <c r="B47" s="3">
        <f ca="1">Data!C40</f>
        <v>45</v>
      </c>
      <c r="S47" s="9"/>
      <c r="U47" s="56"/>
      <c r="V47" s="19" t="s">
        <v>649</v>
      </c>
      <c r="X47" s="9"/>
      <c r="Y47" s="37" t="s">
        <v>657</v>
      </c>
      <c r="Z47" s="9"/>
      <c r="AA47" s="9"/>
      <c r="AI47" s="9"/>
      <c r="AJ47" s="9"/>
      <c r="AK47" s="9"/>
    </row>
    <row r="48" spans="1:37" x14ac:dyDescent="0.2">
      <c r="O48" s="3" t="str">
        <f>IF($W$22="DPS (Per Tier)", SUM(Data!B325:G325), "")</f>
        <v/>
      </c>
      <c r="S48" s="9"/>
      <c r="U48" s="57"/>
      <c r="V48" s="75" t="s">
        <v>647</v>
      </c>
      <c r="W48" s="9"/>
      <c r="X48" s="9"/>
      <c r="Y48" s="9"/>
      <c r="Z48" s="9"/>
      <c r="AA48" s="9"/>
      <c r="AI48" s="57"/>
      <c r="AJ48" s="57"/>
      <c r="AK48" s="9"/>
    </row>
    <row r="49" spans="12:30" x14ac:dyDescent="0.2">
      <c r="L49" s="58"/>
      <c r="N49" s="58"/>
      <c r="O49" s="58"/>
      <c r="P49" s="47"/>
      <c r="Q49" s="47"/>
      <c r="R49" s="47"/>
      <c r="V49" s="19" t="s">
        <v>648</v>
      </c>
    </row>
    <row r="50" spans="12:30" x14ac:dyDescent="0.2">
      <c r="L50" s="9"/>
      <c r="N50" s="57"/>
      <c r="O50" s="57"/>
      <c r="P50" s="9"/>
      <c r="Q50" s="9"/>
      <c r="R50" s="9"/>
    </row>
    <row r="51" spans="12:30" x14ac:dyDescent="0.2">
      <c r="L51" s="57"/>
      <c r="N51" s="57"/>
      <c r="O51" s="59"/>
      <c r="P51" s="9"/>
      <c r="Q51" s="9"/>
      <c r="R51" s="9"/>
      <c r="W51" s="9"/>
    </row>
    <row r="52" spans="12:30" x14ac:dyDescent="0.2">
      <c r="V52" s="19" t="s">
        <v>718</v>
      </c>
    </row>
    <row r="54" spans="12:30" x14ac:dyDescent="0.2">
      <c r="V54" s="8" t="s">
        <v>305</v>
      </c>
      <c r="W54" s="8" t="s">
        <v>278</v>
      </c>
      <c r="X54" s="8" t="s">
        <v>290</v>
      </c>
      <c r="Y54" s="14" t="s">
        <v>291</v>
      </c>
      <c r="Z54" s="14" t="s">
        <v>292</v>
      </c>
      <c r="AA54" s="14" t="s">
        <v>293</v>
      </c>
      <c r="AB54" s="14" t="s">
        <v>294</v>
      </c>
      <c r="AC54" s="77" t="s">
        <v>644</v>
      </c>
      <c r="AD54" s="77" t="s">
        <v>645</v>
      </c>
    </row>
    <row r="55" spans="12:30" x14ac:dyDescent="0.2">
      <c r="V55" t="s">
        <v>279</v>
      </c>
      <c r="W55" s="85">
        <f ca="1">IF(W27&gt;0, W3/W27, 0)</f>
        <v>1.0037494636961131</v>
      </c>
      <c r="X55" s="85">
        <f t="shared" ref="X55:AD55" ca="1" si="28">IF(X27&gt;0, X3/X27, 0)</f>
        <v>1.003703407995185</v>
      </c>
      <c r="Y55" s="85">
        <f t="shared" ca="1" si="28"/>
        <v>1.0030517030080206</v>
      </c>
      <c r="Z55" s="85">
        <f t="shared" ca="1" si="28"/>
        <v>1.0024336734082218</v>
      </c>
      <c r="AA55" s="85">
        <f t="shared" ca="1" si="28"/>
        <v>1.0023683688588663</v>
      </c>
      <c r="AB55" s="85">
        <f t="shared" ca="1" si="28"/>
        <v>1.0023302664883573</v>
      </c>
      <c r="AC55" s="85">
        <f t="shared" ca="1" si="28"/>
        <v>1.0150887499686172</v>
      </c>
      <c r="AD55" s="85">
        <f t="shared" ca="1" si="28"/>
        <v>0</v>
      </c>
    </row>
    <row r="56" spans="12:30" x14ac:dyDescent="0.2">
      <c r="V56" t="s">
        <v>280</v>
      </c>
      <c r="W56" s="85">
        <f t="shared" ref="W56:AD56" ca="1" si="29">IF(W28&gt;0, W4/W28, 0)</f>
        <v>0.99316390335114546</v>
      </c>
      <c r="X56" s="85">
        <f t="shared" ca="1" si="29"/>
        <v>0.99278415831480105</v>
      </c>
      <c r="Y56" s="85">
        <f t="shared" ca="1" si="29"/>
        <v>0.99244876397967829</v>
      </c>
      <c r="Z56" s="85">
        <f t="shared" ca="1" si="29"/>
        <v>0.99291321185744719</v>
      </c>
      <c r="AA56" s="85">
        <f t="shared" ca="1" si="29"/>
        <v>0.99269461710768625</v>
      </c>
      <c r="AB56" s="85">
        <f t="shared" ca="1" si="29"/>
        <v>0.99280007692739181</v>
      </c>
      <c r="AC56" s="85">
        <f t="shared" ca="1" si="29"/>
        <v>1.0053126277073969</v>
      </c>
      <c r="AD56" s="85">
        <f t="shared" ca="1" si="29"/>
        <v>0</v>
      </c>
    </row>
    <row r="57" spans="12:30" x14ac:dyDescent="0.2">
      <c r="V57" t="s">
        <v>281</v>
      </c>
      <c r="W57" s="85">
        <f t="shared" ref="W57:AD57" ca="1" si="30">IF(W29&gt;0, W5/W29, 0)</f>
        <v>0.98741561123481481</v>
      </c>
      <c r="X57" s="85">
        <f t="shared" ca="1" si="30"/>
        <v>0.98725728542532065</v>
      </c>
      <c r="Y57" s="85">
        <f t="shared" ca="1" si="30"/>
        <v>0.98680455705282899</v>
      </c>
      <c r="Z57" s="85">
        <f t="shared" ca="1" si="30"/>
        <v>0.98697162440282737</v>
      </c>
      <c r="AA57" s="85">
        <f t="shared" ca="1" si="30"/>
        <v>0.98703559554195852</v>
      </c>
      <c r="AB57" s="85">
        <f t="shared" ca="1" si="30"/>
        <v>0.98669908720968136</v>
      </c>
      <c r="AC57" s="85">
        <f t="shared" ca="1" si="30"/>
        <v>0.99611893492276826</v>
      </c>
      <c r="AD57" s="85">
        <f t="shared" ca="1" si="30"/>
        <v>0</v>
      </c>
    </row>
    <row r="58" spans="12:30" x14ac:dyDescent="0.2">
      <c r="V58" t="s">
        <v>282</v>
      </c>
      <c r="W58" s="85">
        <f t="shared" ref="W58:AD58" ca="1" si="31">IF(W30&gt;0, W6/W30, 0)</f>
        <v>0.98262761443359992</v>
      </c>
      <c r="X58" s="85">
        <f t="shared" ca="1" si="31"/>
        <v>0.98248713170857715</v>
      </c>
      <c r="Y58" s="85">
        <f t="shared" ca="1" si="31"/>
        <v>0.98235705412358876</v>
      </c>
      <c r="Z58" s="85">
        <f t="shared" ca="1" si="31"/>
        <v>0.98188526746533034</v>
      </c>
      <c r="AA58" s="85">
        <f t="shared" ca="1" si="31"/>
        <v>0.98225802312850707</v>
      </c>
      <c r="AB58" s="85">
        <f t="shared" ca="1" si="31"/>
        <v>0.98204162147817042</v>
      </c>
      <c r="AC58" s="85">
        <f t="shared" ca="1" si="31"/>
        <v>0</v>
      </c>
      <c r="AD58" s="85">
        <f t="shared" ca="1" si="31"/>
        <v>0</v>
      </c>
    </row>
    <row r="59" spans="12:30" x14ac:dyDescent="0.2">
      <c r="V59" s="8" t="s">
        <v>283</v>
      </c>
      <c r="W59" s="86">
        <f t="shared" ref="W59:AD59" ca="1" si="32">IF(W31&gt;0, W7/W31, 0)</f>
        <v>0.97971064029779797</v>
      </c>
      <c r="X59" s="86">
        <f t="shared" ca="1" si="32"/>
        <v>0.97945476165802192</v>
      </c>
      <c r="Y59" s="86">
        <f t="shared" ca="1" si="32"/>
        <v>0.97939324655529281</v>
      </c>
      <c r="Z59" s="86">
        <f t="shared" ca="1" si="32"/>
        <v>0.97915334616660232</v>
      </c>
      <c r="AA59" s="86">
        <f t="shared" ca="1" si="32"/>
        <v>0.97958634706198822</v>
      </c>
      <c r="AB59" s="86">
        <f t="shared" ca="1" si="32"/>
        <v>0.97961171384289092</v>
      </c>
      <c r="AC59" s="86">
        <f t="shared" ca="1" si="32"/>
        <v>0</v>
      </c>
      <c r="AD59" s="86">
        <f t="shared" ca="1" si="32"/>
        <v>0</v>
      </c>
    </row>
    <row r="60" spans="12:30" x14ac:dyDescent="0.2">
      <c r="V60" t="s">
        <v>284</v>
      </c>
      <c r="W60" s="85">
        <f t="shared" ref="W60:AD60" ca="1" si="33">IF(W32&gt;0, W8/W32, 0)</f>
        <v>0.99496228621950433</v>
      </c>
      <c r="X60" s="85">
        <f t="shared" ca="1" si="33"/>
        <v>0.99455204982547418</v>
      </c>
      <c r="Y60" s="85">
        <f t="shared" ca="1" si="33"/>
        <v>0.99459752217182307</v>
      </c>
      <c r="Z60" s="85">
        <f t="shared" ca="1" si="33"/>
        <v>0.99420899414202013</v>
      </c>
      <c r="AA60" s="85">
        <f t="shared" ca="1" si="33"/>
        <v>0.99329905791648621</v>
      </c>
      <c r="AB60" s="85">
        <f t="shared" ca="1" si="33"/>
        <v>0.99280007692739181</v>
      </c>
      <c r="AC60" s="85">
        <f t="shared" ca="1" si="33"/>
        <v>1.0087297267878523</v>
      </c>
      <c r="AD60" s="85">
        <f t="shared" ca="1" si="33"/>
        <v>0</v>
      </c>
    </row>
    <row r="61" spans="12:30" x14ac:dyDescent="0.2">
      <c r="V61" t="s">
        <v>285</v>
      </c>
      <c r="W61" s="85">
        <f t="shared" ref="W61:AD61" ca="1" si="34">IF(W33&gt;0, W9/W33, 0)</f>
        <v>0.98634579124272437</v>
      </c>
      <c r="X61" s="85">
        <f t="shared" ca="1" si="34"/>
        <v>0.98620977225275386</v>
      </c>
      <c r="Y61" s="85">
        <f t="shared" ca="1" si="34"/>
        <v>0.98609347011887305</v>
      </c>
      <c r="Z61" s="85">
        <f t="shared" ca="1" si="34"/>
        <v>0.98568789857317385</v>
      </c>
      <c r="AA61" s="85">
        <f t="shared" ca="1" si="34"/>
        <v>0.98607861587839474</v>
      </c>
      <c r="AB61" s="85">
        <f t="shared" ca="1" si="34"/>
        <v>0.98604049569230434</v>
      </c>
      <c r="AC61" s="85">
        <f t="shared" ca="1" si="34"/>
        <v>0.9984322543865205</v>
      </c>
      <c r="AD61" s="85">
        <f t="shared" ca="1" si="34"/>
        <v>0</v>
      </c>
    </row>
    <row r="62" spans="12:30" x14ac:dyDescent="0.2">
      <c r="V62" t="s">
        <v>286</v>
      </c>
      <c r="W62" s="85">
        <f t="shared" ref="W62:AD62" ca="1" si="35">IF(W34&gt;0, W10/W34, 0)</f>
        <v>0.98154003453993988</v>
      </c>
      <c r="X62" s="85">
        <f t="shared" ca="1" si="35"/>
        <v>0.98142978414288562</v>
      </c>
      <c r="Y62" s="85">
        <f t="shared" ca="1" si="35"/>
        <v>0.98132871791359777</v>
      </c>
      <c r="Z62" s="85">
        <f t="shared" ca="1" si="35"/>
        <v>0.98091693769057153</v>
      </c>
      <c r="AA62" s="85">
        <f t="shared" ca="1" si="35"/>
        <v>0.98131166638461342</v>
      </c>
      <c r="AB62" s="85">
        <f t="shared" ca="1" si="35"/>
        <v>0.98113930607898237</v>
      </c>
      <c r="AC62" s="85">
        <f t="shared" ca="1" si="35"/>
        <v>0</v>
      </c>
      <c r="AD62" s="85">
        <f t="shared" ca="1" si="35"/>
        <v>0</v>
      </c>
    </row>
    <row r="63" spans="12:30" x14ac:dyDescent="0.2">
      <c r="V63" s="8" t="s">
        <v>287</v>
      </c>
      <c r="W63" s="86">
        <f t="shared" ref="W63:AD63" ca="1" si="36">IF(W35&gt;0, W11/W35, 0)</f>
        <v>0.97906268231023541</v>
      </c>
      <c r="X63" s="86">
        <f t="shared" ca="1" si="36"/>
        <v>0.97883166272471978</v>
      </c>
      <c r="Y63" s="86">
        <f t="shared" ca="1" si="36"/>
        <v>0.97878220861380438</v>
      </c>
      <c r="Z63" s="86">
        <f t="shared" ca="1" si="36"/>
        <v>0.97857878541681331</v>
      </c>
      <c r="AA63" s="86">
        <f t="shared" ca="1" si="36"/>
        <v>0.97900661818928569</v>
      </c>
      <c r="AB63" s="86">
        <f t="shared" ca="1" si="36"/>
        <v>0.97904632235956424</v>
      </c>
      <c r="AC63" s="86">
        <f t="shared" ca="1" si="36"/>
        <v>0</v>
      </c>
      <c r="AD63" s="86">
        <f t="shared" ca="1" si="36"/>
        <v>0.98674935403100905</v>
      </c>
    </row>
    <row r="64" spans="12:30" x14ac:dyDescent="0.2">
      <c r="V64" s="73" t="s">
        <v>617</v>
      </c>
      <c r="W64" s="86">
        <f t="shared" ref="W64:AD64" ca="1" si="37">IF(W36&gt;0, W12/W36, 0)</f>
        <v>1.0038133113512087</v>
      </c>
      <c r="X64" s="86">
        <f t="shared" ca="1" si="37"/>
        <v>1.0038133113512087</v>
      </c>
      <c r="Y64" s="86">
        <f t="shared" ca="1" si="37"/>
        <v>1.0038133113512087</v>
      </c>
      <c r="Z64" s="86">
        <f t="shared" ca="1" si="37"/>
        <v>1.0038133113512087</v>
      </c>
      <c r="AA64" s="86">
        <f t="shared" ca="1" si="37"/>
        <v>1.004980771616425</v>
      </c>
      <c r="AB64" s="86">
        <f t="shared" ca="1" si="37"/>
        <v>1.0049561782495988</v>
      </c>
      <c r="AC64" s="86">
        <f t="shared" ca="1" si="37"/>
        <v>0</v>
      </c>
      <c r="AD64" s="86">
        <f t="shared" ca="1" si="37"/>
        <v>0.97010134071882692</v>
      </c>
    </row>
    <row r="65" spans="22:30" x14ac:dyDescent="0.2">
      <c r="V65" t="s">
        <v>289</v>
      </c>
      <c r="W65" s="85">
        <f t="shared" ref="W65:AD65" ca="1" si="38">IF(W37&gt;0, W13/W37, 0)</f>
        <v>0.99131936212918614</v>
      </c>
      <c r="X65" s="85">
        <f t="shared" ca="1" si="38"/>
        <v>0.99076014589243322</v>
      </c>
      <c r="Y65" s="85">
        <f t="shared" ca="1" si="38"/>
        <v>0.99022968157952218</v>
      </c>
      <c r="Z65" s="85">
        <f t="shared" ca="1" si="38"/>
        <v>0.98972431446392839</v>
      </c>
      <c r="AA65" s="85">
        <f t="shared" ca="1" si="38"/>
        <v>0.99009595977479525</v>
      </c>
      <c r="AB65" s="85">
        <f t="shared" ca="1" si="38"/>
        <v>0.98967676600669618</v>
      </c>
      <c r="AC65" s="85">
        <f t="shared" ca="1" si="38"/>
        <v>0</v>
      </c>
      <c r="AD65" s="85">
        <f t="shared" ca="1" si="38"/>
        <v>0</v>
      </c>
    </row>
    <row r="66" spans="22:30" x14ac:dyDescent="0.2">
      <c r="V66" s="8" t="s">
        <v>298</v>
      </c>
      <c r="W66" s="86">
        <f t="shared" ref="W66:AD66" ca="1" si="39">IF(W38&gt;0, W14/W38, 0)</f>
        <v>0.98457264019887403</v>
      </c>
      <c r="X66" s="86">
        <f t="shared" ca="1" si="39"/>
        <v>0.98436990603920116</v>
      </c>
      <c r="Y66" s="86">
        <f t="shared" ca="1" si="39"/>
        <v>0.98394038704859876</v>
      </c>
      <c r="Z66" s="86">
        <f t="shared" ca="1" si="39"/>
        <v>0.98352169786903643</v>
      </c>
      <c r="AA66" s="86">
        <f t="shared" ca="1" si="39"/>
        <v>0.98385079179345081</v>
      </c>
      <c r="AB66" s="86">
        <f t="shared" ca="1" si="39"/>
        <v>0.98355785887102554</v>
      </c>
      <c r="AC66" s="86">
        <f t="shared" ca="1" si="39"/>
        <v>0</v>
      </c>
      <c r="AD66" s="86">
        <f t="shared" ca="1" si="39"/>
        <v>0</v>
      </c>
    </row>
    <row r="67" spans="22:30" x14ac:dyDescent="0.2">
      <c r="V67" t="s">
        <v>288</v>
      </c>
      <c r="W67" s="85">
        <f t="shared" ref="W67:AD67" ca="1" si="40">IF(W39&gt;0, W15/W39, 0)</f>
        <v>0.98189476567228129</v>
      </c>
      <c r="X67" s="85">
        <f t="shared" ca="1" si="40"/>
        <v>0.98189476567228129</v>
      </c>
      <c r="Y67" s="85">
        <f t="shared" ca="1" si="40"/>
        <v>0.98189476567228129</v>
      </c>
      <c r="Z67" s="85">
        <f t="shared" ca="1" si="40"/>
        <v>0.98189476567228129</v>
      </c>
      <c r="AA67" s="85">
        <f t="shared" ca="1" si="40"/>
        <v>0.98238028297739921</v>
      </c>
      <c r="AB67" s="85">
        <f t="shared" ca="1" si="40"/>
        <v>0.98247441207866804</v>
      </c>
      <c r="AC67" s="85">
        <f t="shared" ca="1" si="40"/>
        <v>1.0018254924653693</v>
      </c>
      <c r="AD67" s="85">
        <f t="shared" ca="1" si="40"/>
        <v>0.98180231861149725</v>
      </c>
    </row>
    <row r="68" spans="22:30" x14ac:dyDescent="0.2">
      <c r="V68" t="s">
        <v>299</v>
      </c>
      <c r="W68" s="85">
        <f t="shared" ref="W68:AD68" ca="1" si="41">IF(W40&gt;0, W16/W40, 0)</f>
        <v>0.98092645817095359</v>
      </c>
      <c r="X68" s="85">
        <f t="shared" ca="1" si="41"/>
        <v>0.98092645817095359</v>
      </c>
      <c r="Y68" s="85">
        <f t="shared" ca="1" si="41"/>
        <v>0.98092645817095359</v>
      </c>
      <c r="Z68" s="85">
        <f t="shared" ca="1" si="41"/>
        <v>0.98092645817095359</v>
      </c>
      <c r="AA68" s="85">
        <f t="shared" ca="1" si="41"/>
        <v>0.98140867715049029</v>
      </c>
      <c r="AB68" s="85">
        <f t="shared" ca="1" si="41"/>
        <v>0.98150701694692655</v>
      </c>
      <c r="AC68" s="85">
        <f t="shared" ca="1" si="41"/>
        <v>0.99278415831480105</v>
      </c>
      <c r="AD68" s="85">
        <f t="shared" ca="1" si="41"/>
        <v>0.97836046444149238</v>
      </c>
    </row>
  </sheetData>
  <phoneticPr fontId="2" type="noConversion"/>
  <conditionalFormatting sqref="AK3:AK19 AF3:AF19 R3:T19">
    <cfRule type="cellIs" dxfId="5" priority="13" stopIfTrue="1" operator="equal">
      <formula>"="</formula>
    </cfRule>
    <cfRule type="cellIs" dxfId="4" priority="14" stopIfTrue="1" operator="equal">
      <formula>"-"</formula>
    </cfRule>
  </conditionalFormatting>
  <conditionalFormatting sqref="W3:AB16">
    <cfRule type="cellIs" dxfId="3" priority="27" stopIfTrue="1" operator="greaterThan">
      <formula>W27</formula>
    </cfRule>
  </conditionalFormatting>
  <conditionalFormatting sqref="W27:AB40">
    <cfRule type="cellIs" dxfId="2" priority="35" stopIfTrue="1" operator="greaterThan">
      <formula>W3</formula>
    </cfRule>
  </conditionalFormatting>
  <conditionalFormatting sqref="AC3:AD16">
    <cfRule type="cellIs" dxfId="1" priority="7" stopIfTrue="1" operator="greaterThan">
      <formula>AC27</formula>
    </cfRule>
  </conditionalFormatting>
  <conditionalFormatting sqref="AC27:AD40">
    <cfRule type="cellIs" dxfId="0" priority="6" stopIfTrue="1" operator="greaterThan">
      <formula>AC3</formula>
    </cfRule>
  </conditionalFormatting>
  <conditionalFormatting sqref="W55:AB68 AD63 AD67:AD68">
    <cfRule type="colorScale" priority="1">
      <colorScale>
        <cfvo type="min"/>
        <cfvo type="max"/>
        <color theme="6" tint="-0.499984740745262"/>
        <color rgb="FFFFC000"/>
      </colorScale>
    </cfRule>
  </conditionalFormatting>
  <dataValidations count="14">
    <dataValidation type="list" allowBlank="1" showInputMessage="1" showErrorMessage="1" sqref="AI29 AI5 B29 B5" xr:uid="{00000000-0002-0000-0100-000000000000}">
      <formula1>AmmoList</formula1>
    </dataValidation>
    <dataValidation type="list" allowBlank="1" showInputMessage="1" showErrorMessage="1" sqref="AI30 AI6 B30 B6" xr:uid="{00000000-0002-0000-0100-000001000000}">
      <formula1>HeadList</formula1>
    </dataValidation>
    <dataValidation type="list" allowBlank="1" showInputMessage="1" showErrorMessage="1" sqref="AI31 AI7 B31 B7" xr:uid="{00000000-0002-0000-0100-000002000000}">
      <formula1>NeckList</formula1>
    </dataValidation>
    <dataValidation type="list" allowBlank="1" showInputMessage="1" showErrorMessage="1" sqref="AI32:AI33 AI8:AI9 B32:B33 B8:B9" xr:uid="{00000000-0002-0000-0100-000003000000}">
      <formula1>EarringList</formula1>
    </dataValidation>
    <dataValidation type="list" allowBlank="1" showInputMessage="1" showErrorMessage="1" sqref="AI34 AI10 B34 B10" xr:uid="{00000000-0002-0000-0100-000004000000}">
      <formula1>BodyList</formula1>
    </dataValidation>
    <dataValidation type="list" allowBlank="1" showInputMessage="1" showErrorMessage="1" sqref="AI35 AI11 B35 B11" xr:uid="{00000000-0002-0000-0100-000005000000}">
      <formula1>HandsList</formula1>
    </dataValidation>
    <dataValidation type="list" allowBlank="1" showInputMessage="1" showErrorMessage="1" sqref="AI36:AI37 AI12:AI13 B36:B37 B12:B13" xr:uid="{00000000-0002-0000-0100-000006000000}">
      <formula1>RingList</formula1>
    </dataValidation>
    <dataValidation type="list" allowBlank="1" showInputMessage="1" showErrorMessage="1" sqref="AI38 AI14 B38 B14" xr:uid="{00000000-0002-0000-0100-000007000000}">
      <formula1>BackList</formula1>
    </dataValidation>
    <dataValidation type="list" allowBlank="1" showInputMessage="1" showErrorMessage="1" sqref="AI39 AI15 B39 B15" xr:uid="{00000000-0002-0000-0100-000008000000}">
      <formula1>WaistList</formula1>
    </dataValidation>
    <dataValidation type="list" allowBlank="1" showInputMessage="1" showErrorMessage="1" sqref="AI40 AI16 B40 B16" xr:uid="{00000000-0002-0000-0100-000009000000}">
      <formula1>LegsList</formula1>
    </dataValidation>
    <dataValidation type="list" allowBlank="1" showInputMessage="1" showErrorMessage="1" sqref="AI41 AI17 B41 B17" xr:uid="{00000000-0002-0000-0100-00000A000000}">
      <formula1>FeetList</formula1>
    </dataValidation>
    <dataValidation type="list" allowBlank="1" showInputMessage="1" showErrorMessage="1" sqref="AI28 AI4 B28 B4" xr:uid="{00000000-0002-0000-0100-00000B000000}">
      <formula1>SubList</formula1>
    </dataValidation>
    <dataValidation type="list" allowBlank="1" showInputMessage="1" showErrorMessage="1" sqref="AI27 AI3 B27 B3" xr:uid="{00000000-0002-0000-0100-00000C000000}">
      <formula1>WeaponList</formula1>
    </dataValidation>
    <dataValidation type="list" allowBlank="1" showInputMessage="1" showErrorMessage="1" sqref="W22" xr:uid="{00000000-0002-0000-0100-00000D000000}">
      <formula1>DetailTypes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indexed="41"/>
  </sheetPr>
  <dimension ref="A1:N622"/>
  <sheetViews>
    <sheetView topLeftCell="A19" workbookViewId="0">
      <selection activeCell="B33" sqref="B33"/>
    </sheetView>
  </sheetViews>
  <sheetFormatPr defaultRowHeight="12.75" x14ac:dyDescent="0.2"/>
  <cols>
    <col min="1" max="1" width="19.85546875" customWidth="1"/>
    <col min="2" max="14" width="12.7109375" customWidth="1"/>
  </cols>
  <sheetData>
    <row r="1" spans="1:14" x14ac:dyDescent="0.2">
      <c r="A1" t="str">
        <f>Setup!B4</f>
        <v>Hume</v>
      </c>
      <c r="B1">
        <f>Setup!B5</f>
        <v>99</v>
      </c>
      <c r="C1" s="4" t="str">
        <f>Setup!B6</f>
        <v>Blm</v>
      </c>
      <c r="D1" t="str">
        <f>Setup!B7</f>
        <v>Sch</v>
      </c>
      <c r="E1" t="str">
        <f>Setup!B8</f>
        <v>None</v>
      </c>
      <c r="K1" t="s">
        <v>27</v>
      </c>
      <c r="L1" t="str">
        <f>Setup!N1</f>
        <v>Tojil</v>
      </c>
      <c r="M1" t="s">
        <v>31</v>
      </c>
      <c r="N1" t="s">
        <v>32</v>
      </c>
    </row>
    <row r="2" spans="1:14" x14ac:dyDescent="0.2">
      <c r="B2" t="s">
        <v>123</v>
      </c>
      <c r="C2" t="s">
        <v>224</v>
      </c>
      <c r="D2" t="s">
        <v>225</v>
      </c>
      <c r="E2" t="s">
        <v>46</v>
      </c>
      <c r="F2" t="s">
        <v>124</v>
      </c>
      <c r="G2" t="s">
        <v>125</v>
      </c>
      <c r="H2" t="s">
        <v>126</v>
      </c>
      <c r="I2" t="s">
        <v>127</v>
      </c>
      <c r="K2" t="s">
        <v>28</v>
      </c>
      <c r="L2">
        <f t="shared" ref="L2:L8" si="0">VLOOKUP($L$1,Mobs,MATCH($K2,MobHeader,0), FALSE)</f>
        <v>130</v>
      </c>
    </row>
    <row r="3" spans="1:14" x14ac:dyDescent="0.2">
      <c r="A3" t="s">
        <v>3</v>
      </c>
      <c r="B3">
        <f>HLOOKUP(A3, PlayerStats, 2, 0) + Setup!B13</f>
        <v>87</v>
      </c>
      <c r="C3">
        <f>IF(Setup!F$20=1, Setup!F$21, 0)</f>
        <v>0</v>
      </c>
      <c r="D3">
        <f>IF(Setup!G$20=1, Setup!G$21, 0)</f>
        <v>0</v>
      </c>
      <c r="E3" s="3">
        <f>IF(ISBLANK($E$1), 0, VLOOKUP($E$1, Food, MATCH(A3, FoodHeader, 0), 0))</f>
        <v>0</v>
      </c>
      <c r="F3" s="23">
        <f>IF(Setup!F$20=1, IF(ISBLANK($L$15),0,VLOOKUP($L$15,AtmaList,MATCH($A3,AtmaHeader,0), FALSE))+IF(ISBLANK($L$16),0,VLOOKUP($L$16,AtmaList,MATCH($A3,AtmaHeader,0), FALSE))+IF(ISBLANK($L$17),0,VLOOKUP($L$17,AtmaList,MATCH($A3,AtmaHeader,0), FALSE)), 0)</f>
        <v>0</v>
      </c>
      <c r="G3" s="23">
        <f>B3+C3+E3+F3</f>
        <v>87</v>
      </c>
      <c r="H3" s="23">
        <f>IF(Setup!G$20=1, IF(ISBLANK($M$15),0,VLOOKUP($M$15,AtmaList,MATCH($A3,AtmaHeader,0), FALSE))+IF(ISBLANK($M$16),0,VLOOKUP($M$16,AtmaList,MATCH($A3,AtmaHeader,0), FALSE))+IF(ISBLANK($M$17),0,VLOOKUP($M$17,AtmaList,MATCH($A3,AtmaHeader,0), FALSE)), 0)</f>
        <v>0</v>
      </c>
      <c r="I3" s="23">
        <f>B3+D3+E3+H3</f>
        <v>87</v>
      </c>
      <c r="K3" t="s">
        <v>29</v>
      </c>
      <c r="L3">
        <f t="shared" si="0"/>
        <v>1900</v>
      </c>
      <c r="M3">
        <f>L3-TRUNC(L3*Setup!N4)</f>
        <v>1900</v>
      </c>
      <c r="N3">
        <f>IF(VLOOKUP($L$1,Mobs,MATCH("Level Correct",MobHeader,0),FALSE) = "Yes", IF(L2&gt;($B$1+1),0.05*(L2-($B$1+1)),0), 0)</f>
        <v>0</v>
      </c>
    </row>
    <row r="4" spans="1:14" x14ac:dyDescent="0.2">
      <c r="A4" t="s">
        <v>4</v>
      </c>
      <c r="B4">
        <f>HLOOKUP(A4, PlayerStats, 2, 0) + Setup!B14</f>
        <v>99</v>
      </c>
      <c r="C4">
        <f>IF(Setup!F$20=1, Setup!F$21, 0)</f>
        <v>0</v>
      </c>
      <c r="D4">
        <f>IF(Setup!G$20=1, Setup!G$21, 0)</f>
        <v>0</v>
      </c>
      <c r="E4" s="3">
        <f>IF(ISBLANK($E$1), 0, VLOOKUP($E$1, Food, MATCH(A4, FoodHeader, 0), 0))</f>
        <v>0</v>
      </c>
      <c r="F4" s="23">
        <f>IF(Setup!F$20=1, IF(ISBLANK($L$15),0,VLOOKUP($L$15,AtmaList,MATCH($A4,AtmaHeader,0), FALSE))+IF(ISBLANK($L$16),0,VLOOKUP($L$16,AtmaList,MATCH($A4,AtmaHeader,0), FALSE))+IF(ISBLANK($L$17),0,VLOOKUP($L$17,AtmaList,MATCH($A4,AtmaHeader,0), FALSE)), 0)</f>
        <v>0</v>
      </c>
      <c r="G4" s="23">
        <f>B4+C4+E4+F4</f>
        <v>99</v>
      </c>
      <c r="H4" s="23">
        <f>IF(Setup!G$20=1, IF(ISBLANK($M$15),0,VLOOKUP($M$15,AtmaList,MATCH($A4,AtmaHeader,0), FALSE))+IF(ISBLANK($M$16),0,VLOOKUP($M$16,AtmaList,MATCH($A4,AtmaHeader,0), FALSE))+IF(ISBLANK($M$17),0,VLOOKUP($M$17,AtmaList,MATCH($A4,AtmaHeader,0), FALSE)), 0)</f>
        <v>0</v>
      </c>
      <c r="I4" s="23">
        <f>B4+D4+E4+H4</f>
        <v>99</v>
      </c>
      <c r="K4" t="s">
        <v>30</v>
      </c>
      <c r="L4">
        <f t="shared" si="0"/>
        <v>870</v>
      </c>
      <c r="M4">
        <f>L4</f>
        <v>870</v>
      </c>
      <c r="N4">
        <f>IF(VLOOKUP($L$1,Mobs,MATCH("Level Correct",MobHeader,0),FALSE)="Yes",MAX((L2-($B$1+1))*4,0),0)</f>
        <v>0</v>
      </c>
    </row>
    <row r="5" spans="1:14" x14ac:dyDescent="0.2">
      <c r="A5" t="s">
        <v>120</v>
      </c>
      <c r="B5">
        <f>HLOOKUP(A5, PlayerStats, 2, 0) + Setup!B15</f>
        <v>107</v>
      </c>
      <c r="C5">
        <f>IF(Setup!F$20=1, Setup!F$21, 0)</f>
        <v>0</v>
      </c>
      <c r="D5">
        <f>IF(Setup!G$20=1, Setup!G$21, 0)</f>
        <v>0</v>
      </c>
      <c r="E5" s="3">
        <f>IF(ISBLANK($E$1), 0, VLOOKUP($E$1, Food, MATCH(A5, FoodHeader, 0), 0))</f>
        <v>0</v>
      </c>
      <c r="F5" s="23">
        <f>IF(Setup!F$20=1, IF(ISBLANK($L$15),0,VLOOKUP($L$15,AtmaList,MATCH($A5,AtmaHeader,0), FALSE))+IF(ISBLANK($L$16),0,VLOOKUP($L$16,AtmaList,MATCH($A5,AtmaHeader,0), FALSE))+IF(ISBLANK($L$17),0,VLOOKUP($L$17,AtmaList,MATCH($A5,AtmaHeader,0), FALSE)), 0)</f>
        <v>0</v>
      </c>
      <c r="G5" s="23">
        <f>B5+C5+E5+F5</f>
        <v>107</v>
      </c>
      <c r="H5" s="23">
        <f>IF(Setup!G$20=1, IF(ISBLANK($M$15),0,VLOOKUP($M$15,AtmaList,MATCH($A5,AtmaHeader,0), FALSE))+IF(ISBLANK($M$16),0,VLOOKUP($M$16,AtmaList,MATCH($A5,AtmaHeader,0), FALSE))+IF(ISBLANK($M$17),0,VLOOKUP($M$17,AtmaList,MATCH($A5,AtmaHeader,0), FALSE)), 0)</f>
        <v>0</v>
      </c>
      <c r="I5" s="23">
        <f>B5+D5+E5+H5</f>
        <v>107</v>
      </c>
      <c r="K5" t="s">
        <v>5</v>
      </c>
      <c r="L5">
        <f t="shared" si="0"/>
        <v>200</v>
      </c>
    </row>
    <row r="6" spans="1:14" x14ac:dyDescent="0.2">
      <c r="A6" s="19" t="s">
        <v>121</v>
      </c>
      <c r="B6">
        <f>HLOOKUP(A6, PlayerStats, 2, 0) + Setup!B16</f>
        <v>93</v>
      </c>
      <c r="C6">
        <f>IF(Setup!F$20=1, Setup!F$21, 0)</f>
        <v>0</v>
      </c>
      <c r="D6">
        <f>IF(Setup!G$20=1, Setup!G$21, 0)</f>
        <v>0</v>
      </c>
      <c r="E6" s="3">
        <f>IF(ISBLANK($E$1), 0, VLOOKUP($E$1, Food, MATCH(A6, FoodHeader, 0), 0))</f>
        <v>0</v>
      </c>
      <c r="F6" s="23">
        <f>IF(Setup!F$20=1, IF(ISBLANK($L$15),0,VLOOKUP($L$15,AtmaList,MATCH($A6,AtmaHeader,0), FALSE))+IF(ISBLANK($L$16),0,VLOOKUP($L$16,AtmaList,MATCH($A6,AtmaHeader,0), FALSE))+IF(ISBLANK($L$17),0,VLOOKUP($L$17,AtmaList,MATCH($A6,AtmaHeader,0), FALSE)), 0)</f>
        <v>0</v>
      </c>
      <c r="G6" s="23">
        <f>B6+C6+E6+F6</f>
        <v>93</v>
      </c>
      <c r="H6" s="23">
        <f>IF(Setup!G$20=1, IF(ISBLANK($M$15),0,VLOOKUP($M$15,AtmaList,MATCH($A6,AtmaHeader,0), FALSE))+IF(ISBLANK($M$16),0,VLOOKUP($M$16,AtmaList,MATCH($A6,AtmaHeader,0), FALSE))+IF(ISBLANK($M$17),0,VLOOKUP($M$17,AtmaList,MATCH($A6,AtmaHeader,0), FALSE)), 0)</f>
        <v>0</v>
      </c>
      <c r="I6" s="23">
        <f>B6+D6+E6+H6</f>
        <v>93</v>
      </c>
      <c r="K6" t="s">
        <v>33</v>
      </c>
      <c r="L6">
        <f t="shared" si="0"/>
        <v>200</v>
      </c>
    </row>
    <row r="7" spans="1:14" x14ac:dyDescent="0.2">
      <c r="K7" t="s">
        <v>120</v>
      </c>
      <c r="L7">
        <f t="shared" si="0"/>
        <v>200</v>
      </c>
    </row>
    <row r="8" spans="1:14" x14ac:dyDescent="0.2">
      <c r="A8" t="s">
        <v>46</v>
      </c>
      <c r="B8" s="19" t="s">
        <v>128</v>
      </c>
      <c r="C8" t="s">
        <v>37</v>
      </c>
      <c r="D8" t="s">
        <v>36</v>
      </c>
      <c r="E8" t="s">
        <v>124</v>
      </c>
      <c r="F8" t="s">
        <v>126</v>
      </c>
      <c r="K8" s="19" t="s">
        <v>121</v>
      </c>
      <c r="L8">
        <f t="shared" si="0"/>
        <v>200</v>
      </c>
    </row>
    <row r="9" spans="1:14" x14ac:dyDescent="0.2">
      <c r="A9" t="s">
        <v>9</v>
      </c>
      <c r="B9" s="1">
        <f>IF(ISBLANK($E$1), 0, VLOOKUP($E$1, Food, MATCH("Att Mult", FoodHeader, 0), 0))</f>
        <v>0</v>
      </c>
      <c r="C9" s="21">
        <f>IF(ISBLANK($E$1), 0, VLOOKUP($E$1, Food, MATCH("Att Mult Cap", FoodHeader, 0), 0))</f>
        <v>0</v>
      </c>
      <c r="D9" s="21">
        <f>IF(ISBLANK($E$1), 0, VLOOKUP($E$1, Food, MATCH("Att Add", FoodHeader, 0), 0))</f>
        <v>0</v>
      </c>
      <c r="E9" s="23">
        <f>IF(Setup!F$20=1, IF(ISBLANK($L$15),0,VLOOKUP($L$15,AtmaList,MATCH($A9,AtmaHeader,0), FALSE))+IF(ISBLANK($L$16),0,VLOOKUP($L$16,AtmaList,MATCH($A9,AtmaHeader,0), FALSE))+IF(ISBLANK($L$17),0,VLOOKUP($L$17,AtmaList,MATCH($A9,AtmaHeader,0), FALSE)), 0)</f>
        <v>0</v>
      </c>
      <c r="F9" s="23">
        <f>IF(Setup!G$20=1, IF(ISBLANK($L$15),0,VLOOKUP($L$15,AtmaList,MATCH($A9,AtmaHeader,0), FALSE))+IF(ISBLANK($L$16),0,VLOOKUP($L$16,AtmaList,MATCH($A9,AtmaHeader,0), FALSE))+IF(ISBLANK($L$17),0,VLOOKUP($L$17,AtmaList,MATCH($A9,AtmaHeader,0), FALSE)), 0)</f>
        <v>0</v>
      </c>
      <c r="G9" t="s">
        <v>129</v>
      </c>
      <c r="H9">
        <f>IF(D1="War", 10, 0)</f>
        <v>0</v>
      </c>
      <c r="K9" t="s">
        <v>342</v>
      </c>
      <c r="L9">
        <f>VLOOKUP($L$1,Mobs,MATCH($K9,MobHeader,0), FALSE)</f>
        <v>0</v>
      </c>
    </row>
    <row r="10" spans="1:14" x14ac:dyDescent="0.2">
      <c r="A10" t="s">
        <v>10</v>
      </c>
      <c r="B10" s="1">
        <f>IF(ISBLANK($E$1), 0, VLOOKUP($E$1, Food, MATCH("Acc Mult", FoodHeader, 0), 0))</f>
        <v>0</v>
      </c>
      <c r="C10" s="21">
        <f>IF(ISBLANK($E$1), 0, VLOOKUP($E$1, Food, MATCH("Acc Mult Cap", FoodHeader, 0), 0))</f>
        <v>0</v>
      </c>
      <c r="D10" s="21">
        <f>IF(ISBLANK($E$1), 0, VLOOKUP($E$1, Food, MATCH("Acc Add", FoodHeader, 0), 0))</f>
        <v>0</v>
      </c>
      <c r="E10" s="23">
        <f>IF(Setup!F$20=1, IF(ISBLANK($L$15),0,VLOOKUP($L$15,AtmaList,MATCH($A10,AtmaHeader,0), FALSE))+IF(ISBLANK($L$16),0,VLOOKUP($L$16,AtmaList,MATCH($A10,AtmaHeader,0), FALSE))+IF(ISBLANK($L$17),0,VLOOKUP($L$17,AtmaList,MATCH($A10,AtmaHeader,0), FALSE)), 0)</f>
        <v>0</v>
      </c>
      <c r="F10" s="23">
        <f>IF(Setup!G$20=1, IF(ISBLANK($L$15),0,VLOOKUP($L$15,AtmaList,MATCH($A10,AtmaHeader,0), FALSE))+IF(ISBLANK($L$16),0,VLOOKUP($L$16,AtmaList,MATCH($A10,AtmaHeader,0), FALSE))+IF(ISBLANK($L$17),0,VLOOKUP($L$17,AtmaList,MATCH($A10,AtmaHeader,0), FALSE)), 0)</f>
        <v>0</v>
      </c>
      <c r="G10" t="s">
        <v>130</v>
      </c>
      <c r="H10">
        <f>IF(OR($D$1="Dnc", $D$1="Drg"), 10, 0)</f>
        <v>0</v>
      </c>
      <c r="K10" t="s">
        <v>504</v>
      </c>
      <c r="L10" s="31">
        <f>VLOOKUP($L$1,Mobs,MATCH($K10,MobHeader,0), FALSE)</f>
        <v>0</v>
      </c>
    </row>
    <row r="11" spans="1:14" x14ac:dyDescent="0.2">
      <c r="K11" t="s">
        <v>244</v>
      </c>
      <c r="L11" s="31">
        <f>VLOOKUP($L$1,Mobs,MATCH($K11,MobHeader,0), FALSE)</f>
        <v>0</v>
      </c>
    </row>
    <row r="12" spans="1:14" x14ac:dyDescent="0.2">
      <c r="B12" s="1" t="s">
        <v>2</v>
      </c>
      <c r="C12" s="3" t="s">
        <v>124</v>
      </c>
      <c r="D12" s="3" t="s">
        <v>126</v>
      </c>
      <c r="G12" s="7" t="s">
        <v>86</v>
      </c>
      <c r="H12" s="7" t="s">
        <v>87</v>
      </c>
      <c r="I12" s="7"/>
      <c r="K12" t="s">
        <v>245</v>
      </c>
      <c r="L12" s="31">
        <f>VLOOKUP($L$1,Mobs,MATCH($K12,MobHeader,0), FALSE)</f>
        <v>0</v>
      </c>
    </row>
    <row r="13" spans="1:14" x14ac:dyDescent="0.2">
      <c r="A13" t="s">
        <v>272</v>
      </c>
      <c r="B13" s="21">
        <f>IF($C$1="Blm", 40, IF($C$1="Rdm", 28, IF(OR($D$1="Blm", $D$1="Rdm"), 24, 0)))</f>
        <v>40</v>
      </c>
      <c r="C13" s="25">
        <f>IF(Setup!F$20=1, IF(ISBLANK($L$15),0,VLOOKUP($L$15,AtmaList,MATCH($A13,AtmaHeader,0), FALSE))+IF(ISBLANK($L$16),0,VLOOKUP($L$16,AtmaList,MATCH($A13,AtmaHeader,0), FALSE))+IF(ISBLANK($L$17),0,VLOOKUP($L$17,AtmaList,MATCH($A13,AtmaHeader,0), FALSE)), 0)</f>
        <v>0</v>
      </c>
      <c r="D13" s="25">
        <f>IF(Setup!G$20=1, IF(ISBLANK($M$15),0,VLOOKUP($M$15,AtmaList,MATCH($A13,AtmaHeader,0), FALSE))+IF(ISBLANK($M$16),0,VLOOKUP($M$16,AtmaList,MATCH($A13,AtmaHeader,0), FALSE))+IF(ISBLANK($M$17),0,VLOOKUP($M$17,AtmaList,MATCH($A13,AtmaHeader,0), FALSE)), 0)</f>
        <v>0</v>
      </c>
      <c r="F13" t="s">
        <v>179</v>
      </c>
      <c r="G13" s="19" t="s">
        <v>315</v>
      </c>
      <c r="H13" s="19" t="s">
        <v>315</v>
      </c>
    </row>
    <row r="14" spans="1:14" x14ac:dyDescent="0.2">
      <c r="A14" s="23" t="s">
        <v>651</v>
      </c>
      <c r="B14" s="1"/>
      <c r="C14" s="25">
        <f>IF(Setup!F$20=1, IF(ISBLANK($L$15),0,VLOOKUP($L$15,AtmaList,MATCH($A14,AtmaHeader,0), FALSE))+IF(ISBLANK($L$16),0,VLOOKUP($L$16,AtmaList,MATCH($A14,AtmaHeader,0), FALSE))+IF(ISBLANK($L$17),0,VLOOKUP($L$17,AtmaList,MATCH($A14,AtmaHeader,0), FALSE)), 0)</f>
        <v>0</v>
      </c>
      <c r="D14" s="25">
        <f>IF(Setup!G$20=1, IF(ISBLANK($M$15),0,VLOOKUP($M$15,AtmaList,MATCH($A14,AtmaHeader,0), FALSE))+IF(ISBLANK($M$16),0,VLOOKUP($M$16,AtmaList,MATCH($A14,AtmaHeader,0), FALSE))+IF(ISBLANK($M$17),0,VLOOKUP($M$17,AtmaList,MATCH($A14,AtmaHeader,0), FALSE)), 0)</f>
        <v>0</v>
      </c>
      <c r="F14" t="s">
        <v>39</v>
      </c>
      <c r="G14" s="19">
        <f ca="1">VLOOKUP(Gear!$B$3, INDIRECT(Gear!$A$3), MATCH($F14, StatHeader, 0), 0)</f>
        <v>198</v>
      </c>
      <c r="H14" s="19">
        <f ca="1">VLOOKUP(Gear!$B$27, INDIRECT(Gear!$A$27), MATCH($F14, StatHeader, 0), 0)</f>
        <v>198</v>
      </c>
    </row>
    <row r="15" spans="1:14" x14ac:dyDescent="0.2">
      <c r="A15" t="s">
        <v>274</v>
      </c>
      <c r="B15" s="1"/>
      <c r="C15" s="45">
        <f>IF(Setup!F$20=1, IF(ISBLANK($L$15),0,VLOOKUP($L$15,AtmaList,MATCH($A15,AtmaHeader,0), FALSE))+IF(ISBLANK($L$16),0,VLOOKUP($L$16,AtmaList,MATCH($A15,AtmaHeader,0), FALSE))+IF(ISBLANK($L$17),0,VLOOKUP($L$17,AtmaList,MATCH($A15,AtmaHeader,0), FALSE)), 0)</f>
        <v>0</v>
      </c>
      <c r="D15" s="45">
        <f>IF(Setup!G$20=1, IF(ISBLANK($M$15),0,VLOOKUP($M$15,AtmaList,MATCH($A15,AtmaHeader,0), FALSE))+IF(ISBLANK($M$16),0,VLOOKUP($M$16,AtmaList,MATCH($A15,AtmaHeader,0), FALSE))+IF(ISBLANK($M$17),0,VLOOKUP($M$17,AtmaList,MATCH($A15,AtmaHeader,0), FALSE)), 0)</f>
        <v>0</v>
      </c>
      <c r="F15" t="s">
        <v>40</v>
      </c>
      <c r="G15" s="19">
        <f ca="1">VLOOKUP(Gear!$B$3, INDIRECT(Gear!$A$3), MATCH($F15, StatHeader, 0), 0)</f>
        <v>366</v>
      </c>
      <c r="H15" s="19">
        <f ca="1">VLOOKUP(Gear!$B$27, INDIRECT(Gear!$A$27), MATCH($F15, StatHeader, 0), 0)</f>
        <v>366</v>
      </c>
      <c r="K15" s="4" t="s">
        <v>68</v>
      </c>
      <c r="L15" s="19" t="str">
        <f>Setup!F22</f>
        <v>Illusions</v>
      </c>
      <c r="M15" s="19" t="str">
        <f>Setup!G22</f>
        <v>Apocalypse</v>
      </c>
    </row>
    <row r="16" spans="1:14" x14ac:dyDescent="0.2">
      <c r="A16" t="s">
        <v>515</v>
      </c>
      <c r="B16" s="45">
        <f>IF($C$1="Blm", 13%, IF($C$1="Sch", 9%, IF($C$1="Rdm", 7%, IF($D$1="Blm", 5%, 0))))</f>
        <v>0.13</v>
      </c>
      <c r="C16" s="45">
        <f>IF(Setup!F$20=1, IF(ISBLANK($L$15),0,VLOOKUP($L$15,AtmaList,MATCH($A16,AtmaHeader,0), FALSE))+IF(ISBLANK($L$16),0,VLOOKUP($L$16,AtmaList,MATCH($A16,AtmaHeader,0), FALSE))+IF(ISBLANK($L$17),0,VLOOKUP($L$17,AtmaList,MATCH($A16,AtmaHeader,0), FALSE)), 0)</f>
        <v>0</v>
      </c>
      <c r="D16" s="45">
        <f>IF(Setup!G$20=1, IF(ISBLANK($M$15),0,VLOOKUP($M$15,AtmaList,MATCH($A16,AtmaHeader,0), FALSE))+IF(ISBLANK($M$16),0,VLOOKUP($M$16,AtmaList,MATCH($A16,AtmaHeader,0), FALSE))+IF(ISBLANK($M$17),0,VLOOKUP($M$17,AtmaList,MATCH($A16,AtmaHeader,0), FALSE)), 0)</f>
        <v>0</v>
      </c>
      <c r="G16" s="1"/>
      <c r="H16" s="1"/>
      <c r="L16" s="19" t="str">
        <f>Setup!F23</f>
        <v>V. Violet</v>
      </c>
      <c r="M16" s="19" t="str">
        <f>Setup!G23</f>
        <v>V. Violet</v>
      </c>
    </row>
    <row r="17" spans="1:13" x14ac:dyDescent="0.2">
      <c r="A17" s="23" t="s">
        <v>275</v>
      </c>
      <c r="C17" s="45">
        <f>IF(Setup!F$20=1, IF(ISBLANK($L$15),0,VLOOKUP($L$15,AtmaList,MATCH($A17,AtmaHeader,0), FALSE))+IF(ISBLANK($L$16),0,VLOOKUP($L$16,AtmaList,MATCH($A17,AtmaHeader,0), FALSE))+IF(ISBLANK($L$17),0,VLOOKUP($L$17,AtmaList,MATCH($A17,AtmaHeader,0), FALSE)), 0)</f>
        <v>0</v>
      </c>
      <c r="D17" s="45">
        <f>IF(Setup!G$20=1, IF(ISBLANK($M$15),0,VLOOKUP($M$15,AtmaList,MATCH($A17,AtmaHeader,0), FALSE))+IF(ISBLANK($M$16),0,VLOOKUP($M$16,AtmaList,MATCH($A17,AtmaHeader,0), FALSE))+IF(ISBLANK($M$17),0,VLOOKUP($M$17,AtmaList,MATCH($A17,AtmaHeader,0), FALSE)), 0)</f>
        <v>0</v>
      </c>
      <c r="F17" s="83" t="s">
        <v>675</v>
      </c>
      <c r="G17" t="str">
        <f>VLOOKUP($C$1, Skills, MATCH($F17&amp;IF(AND(OR($C$1="Sch", $D$1="Sch"), Setup!F$3=1), " DA", ""), SkillsHeader, 0), 0)</f>
        <v>A+</v>
      </c>
      <c r="H17" t="str">
        <f>VLOOKUP($C$1, Skills, MATCH($F17&amp;IF(AND(OR($C$1="Sch", $D$1="Sch"), Setup!G$3=1), " DA", ""), SkillsHeader, 0), 0)</f>
        <v>A+</v>
      </c>
      <c r="L17" s="19" t="str">
        <f>Setup!F24</f>
        <v>Smiting Blow</v>
      </c>
      <c r="M17" s="19" t="str">
        <f>Setup!G24</f>
        <v>Plaguebringer</v>
      </c>
    </row>
    <row r="18" spans="1:13" x14ac:dyDescent="0.2">
      <c r="A18" t="s">
        <v>516</v>
      </c>
      <c r="B18" s="31">
        <f>IF($C$1="Geo", 43%, IF($C$1="Blm", 28%, IF($D$1="Geo", 28%, IF(OR($D$1="Blm", $D$1="Sch"), 25%, 0))))</f>
        <v>0.28000000000000003</v>
      </c>
      <c r="C18" s="45">
        <f>IF(Setup!F$20=1, IF(ISBLANK($L$15),0,VLOOKUP($L$15,AtmaList,MATCH($A18,AtmaHeader,0), FALSE))+IF(ISBLANK($L$16),0,VLOOKUP($L$16,AtmaList,MATCH($A18,AtmaHeader,0), FALSE))+IF(ISBLANK($L$17),0,VLOOKUP($L$17,AtmaList,MATCH($A18,AtmaHeader,0), FALSE)), 0)</f>
        <v>0</v>
      </c>
      <c r="D18" s="45">
        <f>IF(Setup!G$20=1, IF(ISBLANK($M$15),0,VLOOKUP($M$15,AtmaList,MATCH($A18,AtmaHeader,0), FALSE))+IF(ISBLANK($M$16),0,VLOOKUP($M$16,AtmaList,MATCH($A18,AtmaHeader,0), FALSE))+IF(ISBLANK($M$17),0,VLOOKUP($M$17,AtmaList,MATCH($A18,AtmaHeader,0), FALSE)), 0)</f>
        <v>0</v>
      </c>
      <c r="F18" t="s">
        <v>645</v>
      </c>
      <c r="G18" t="str">
        <f>VLOOKUP($C$1, Skills, MATCH($F18&amp;IF(AND(OR($C$1="Sch", $D$1="Sch"), Setup!F$3=1), " DA", ""), SkillsHeader, 0), 0)</f>
        <v>A</v>
      </c>
      <c r="H18" t="str">
        <f>VLOOKUP($C$1, Skills, MATCH($F18&amp;IF(AND(OR($C$1="Sch", $D$1="Sch"), Setup!G$3=1), " DA", ""), SkillsHeader, 0), 0)</f>
        <v>A</v>
      </c>
    </row>
    <row r="19" spans="1:13" x14ac:dyDescent="0.2">
      <c r="A19" t="s">
        <v>312</v>
      </c>
      <c r="B19" s="1">
        <f>IF($C$1="Rdm", IF(B1&gt;=89, 30%, IF(B1&gt;=76, 25%, 20%)), IF($D$1="Rdm", 15%, 0))</f>
        <v>0</v>
      </c>
      <c r="C19" s="45">
        <f>IF(Setup!F$20=1, IF(ISBLANK($L$15),0,VLOOKUP($L$15,AtmaList,MATCH($A19,AtmaHeader,0), FALSE))+IF(ISBLANK($L$16),0,VLOOKUP($L$16,AtmaList,MATCH($A19,AtmaHeader,0), FALSE))+IF(ISBLANK($L$17),0,VLOOKUP($L$17,AtmaList,MATCH($A19,AtmaHeader,0), FALSE)), 0)</f>
        <v>0</v>
      </c>
      <c r="D19" s="45">
        <f>IF(Setup!G$20=1, IF(ISBLANK($M$15),0,VLOOKUP($M$15,AtmaList,MATCH($A19,AtmaHeader,0), FALSE))+IF(ISBLANK($M$16),0,VLOOKUP($M$16,AtmaList,MATCH($A19,AtmaHeader,0), FALSE))+IF(ISBLANK($M$17),0,VLOOKUP($M$17,AtmaList,MATCH($A19,AtmaHeader,0), FALSE)), 0)</f>
        <v>0</v>
      </c>
      <c r="F19" t="s">
        <v>676</v>
      </c>
      <c r="G19" t="str">
        <f>VLOOKUP($C$1, Skills, MATCH($F19&amp;IF(AND(OR($C$1="Sch", $D$1="Sch"), Setup!F$4=1), " LA", ""), SkillsHeader, 0), 0)</f>
        <v>Z</v>
      </c>
      <c r="H19" t="str">
        <f>VLOOKUP($C$1, Skills, MATCH($F19&amp;IF(AND(OR($C$1="Sch", $D$1="Sch"), Setup!G$4=1), " LA", ""), SkillsHeader, 0), 0)</f>
        <v>Z</v>
      </c>
    </row>
    <row r="20" spans="1:13" x14ac:dyDescent="0.2">
      <c r="A20" t="s">
        <v>546</v>
      </c>
      <c r="B20" s="31">
        <f>IF(C1="Blm", 30%, IF(C1="Geo", 14%, 0))</f>
        <v>0.3</v>
      </c>
    </row>
    <row r="21" spans="1:13" x14ac:dyDescent="0.2">
      <c r="A21" s="23"/>
      <c r="C21" s="25"/>
      <c r="D21" s="25"/>
      <c r="F21" t="s">
        <v>675</v>
      </c>
      <c r="G21" s="25">
        <f>IF(G17="Z", 0, VLOOKUP(G17, SkillRank, 2, 0) + 5*(MAX(0, MIN($B$1-75, 5)))+6*(MAX(0, MIN($B$1-80, 10)))+7*(MAX(0,$B$1-90)) + Setup!B18)</f>
        <v>440</v>
      </c>
      <c r="H21" s="25">
        <f>IF(H17="Z", 0, VLOOKUP(H17, SkillRank, 2, 0) + 5*(MAX(0, MIN($B$1-75, 5)))+6*(MAX(0, MIN($B$1-80, 10)))+7*(MAX(0,$B$1-90)) + Setup!C18)</f>
        <v>440</v>
      </c>
    </row>
    <row r="22" spans="1:13" x14ac:dyDescent="0.2">
      <c r="A22" s="34" t="s">
        <v>578</v>
      </c>
      <c r="B22" t="str">
        <f>Setup!B10</f>
        <v>New</v>
      </c>
      <c r="C22" t="str">
        <f>Setup!C10</f>
        <v>New</v>
      </c>
      <c r="D22" s="7"/>
      <c r="F22" t="s">
        <v>645</v>
      </c>
      <c r="G22" s="25">
        <f>IF(G18="Z", 0, VLOOKUP(G18, SkillRank, 2, 0) + 5*(MAX(0, MIN($B$1-75, 5)))+6*(MAX(0, MIN($B$1-80, 10)))+7*(MAX(0,$B$1-90)) + Setup!B19)</f>
        <v>433</v>
      </c>
      <c r="H22" s="25">
        <f>IF(H18="Z", 0, VLOOKUP(H18, SkillRank, 2, 0) + 5*(MAX(0, MIN($B$1-75, 5)))+6*(MAX(0, MIN($B$1-80, 10)))+7*(MAX(0,$B$1-90)) + Setup!C19)</f>
        <v>433</v>
      </c>
    </row>
    <row r="23" spans="1:13" x14ac:dyDescent="0.2">
      <c r="A23" s="23"/>
      <c r="B23" s="1"/>
      <c r="C23" s="7"/>
      <c r="D23" s="7"/>
      <c r="F23" t="s">
        <v>676</v>
      </c>
      <c r="G23" s="25">
        <f>IF(G19="Z", 0, VLOOKUP(G19, SkillRank, 2, 0) + 5*(MAX(0, MIN($B$1-75, 5)))+6*(MAX(0, MIN($B$1-80, 10)))+7*(MAX(0,$B$1-90)) + Setup!B20)</f>
        <v>0</v>
      </c>
      <c r="H23" s="25">
        <f>IF(H19="Z", 0, VLOOKUP(H19, SkillRank, 2, 0) + 5*(MAX(0, MIN($B$1-75, 5)))+6*(MAX(0, MIN($B$1-80, 10)))+7*(MAX(0,$B$1-90)) + Setup!C20)</f>
        <v>0</v>
      </c>
    </row>
    <row r="24" spans="1:13" x14ac:dyDescent="0.2">
      <c r="A24" s="23"/>
      <c r="B24" s="1"/>
      <c r="C24" s="7"/>
      <c r="D24" s="7"/>
    </row>
    <row r="26" spans="1:13" x14ac:dyDescent="0.2">
      <c r="A26" s="8" t="s">
        <v>25</v>
      </c>
      <c r="B26" s="15" t="s">
        <v>332</v>
      </c>
      <c r="C26" s="15" t="s">
        <v>333</v>
      </c>
      <c r="D26" s="43"/>
      <c r="E26" s="43"/>
    </row>
    <row r="27" spans="1:13" x14ac:dyDescent="0.2">
      <c r="A27" s="13" t="s">
        <v>675</v>
      </c>
      <c r="B27" s="12">
        <f ca="1">G21+HLOOKUP("Skill", INDIRECT(B$26), MATCH("Total", Slots, 0)+1, 0)</f>
        <v>440</v>
      </c>
      <c r="C27" s="12">
        <f ca="1">H21+HLOOKUP("Skill", INDIRECT(C$26), MATCH("Total", Slots, 0)+1, 0)</f>
        <v>440</v>
      </c>
      <c r="D27" s="50"/>
      <c r="E27" s="50"/>
    </row>
    <row r="28" spans="1:13" x14ac:dyDescent="0.2">
      <c r="A28" s="13" t="s">
        <v>645</v>
      </c>
      <c r="B28" s="12">
        <f ca="1">G22+HLOOKUP("Dark", INDIRECT(B$26), MATCH("Total", Slots, 0)+1, 0)</f>
        <v>433</v>
      </c>
      <c r="C28" s="12">
        <f ca="1">H22+HLOOKUP("Dark", INDIRECT(C$26), MATCH("Total", Slots, 0)+1, 0)</f>
        <v>433</v>
      </c>
      <c r="D28" s="50"/>
      <c r="E28" s="50"/>
    </row>
    <row r="29" spans="1:13" x14ac:dyDescent="0.2">
      <c r="A29" s="13" t="s">
        <v>676</v>
      </c>
      <c r="B29" s="12">
        <f ca="1">G23+HLOOKUP("Divine", INDIRECT(B$26), MATCH("Total", Slots, 0)+1, 0)</f>
        <v>0</v>
      </c>
      <c r="C29" s="12">
        <f ca="1">H23+HLOOKUP("Divine", INDIRECT(C$26), MATCH("Total", Slots, 0)+1, 0)</f>
        <v>0</v>
      </c>
      <c r="D29" s="50"/>
      <c r="E29" s="50"/>
    </row>
    <row r="30" spans="1:13" x14ac:dyDescent="0.2">
      <c r="A30" s="13" t="s">
        <v>227</v>
      </c>
      <c r="B30" s="12">
        <f>TRUNC(MIN(200, MAX(0, Setup!$J7-300))/10) + 5</f>
        <v>20</v>
      </c>
      <c r="C30" s="12">
        <f>TRUNC(MIN(200, MAX(0, Setup!$K7-300))/10) + 5</f>
        <v>20</v>
      </c>
      <c r="D30" s="50"/>
      <c r="E30" s="50"/>
      <c r="F30" s="16"/>
    </row>
    <row r="31" spans="1:13" x14ac:dyDescent="0.2">
      <c r="A31" s="13" t="s">
        <v>228</v>
      </c>
      <c r="B31" s="12">
        <f>IF(Setup!$J12=5, 5, IF(Setup!$J12&lt;2, 0, Setup!$J12-1))</f>
        <v>5</v>
      </c>
      <c r="C31" s="12">
        <f>IF(Setup!$K12=5, 5, IF(Setup!$K12&lt;2, 0, Setup!$K12-1))</f>
        <v>5</v>
      </c>
      <c r="D31" s="50"/>
      <c r="E31" s="50"/>
      <c r="F31" s="16"/>
    </row>
    <row r="32" spans="1:13" x14ac:dyDescent="0.2">
      <c r="A32" s="13" t="s">
        <v>537</v>
      </c>
      <c r="B32" s="12">
        <f>IF(Setup!J33=1, 7 + IF(Setup!J34=1, 5, 0), 0)</f>
        <v>0</v>
      </c>
      <c r="C32" s="12">
        <f>IF(Setup!K33=1, 7 + IF(Setup!K34=1, 5, 0), 0)</f>
        <v>0</v>
      </c>
      <c r="D32" s="50"/>
      <c r="E32" s="50"/>
      <c r="F32" s="16"/>
    </row>
    <row r="33" spans="1:10" x14ac:dyDescent="0.2">
      <c r="A33" s="13" t="s">
        <v>120</v>
      </c>
      <c r="B33" s="30">
        <f ca="1">$G5+HLOOKUP($A33, INDIRECT(B$26), MATCH("Total", Slots, 0)+1, 0) + B32</f>
        <v>291</v>
      </c>
      <c r="C33" s="30">
        <f ca="1">$I5+HLOOKUP($A33, INDIRECT(C$26), MATCH("Total", Slots, 0)+1, 0) + C32</f>
        <v>291</v>
      </c>
      <c r="D33" s="50"/>
      <c r="E33" s="50"/>
      <c r="F33" s="16"/>
    </row>
    <row r="34" spans="1:10" x14ac:dyDescent="0.2">
      <c r="A34" s="70" t="s">
        <v>121</v>
      </c>
      <c r="B34" s="30">
        <f ca="1">$G6+HLOOKUP($A34, INDIRECT(B$26), MATCH("Total", Slots, 0)+1, 0)</f>
        <v>245</v>
      </c>
      <c r="C34" s="30">
        <f ca="1">$I6+HLOOKUP($A34, INDIRECT(C$26), MATCH("Total", Slots, 0)+1, 0)</f>
        <v>245</v>
      </c>
      <c r="D34" s="51"/>
      <c r="E34" s="51"/>
    </row>
    <row r="35" spans="1:10" x14ac:dyDescent="0.2">
      <c r="A35" s="70" t="s">
        <v>272</v>
      </c>
      <c r="B35" s="30">
        <f ca="1">$B$13 + C$13 + HLOOKUP($A35, INDIRECT(B$26), MATCH("Total", Slots, 0)+1, 0) + IF(Setup!J40=1, Setup!M40, 0)</f>
        <v>280</v>
      </c>
      <c r="C35" s="30">
        <f ca="1">$B$13 + D$13 + HLOOKUP($A35, INDIRECT(C$26), MATCH("Total", Slots, 0)+1, 0) + IF(Setup!K40=1, Setup!N40, 0)</f>
        <v>292</v>
      </c>
      <c r="D35" s="51"/>
      <c r="E35" s="51"/>
    </row>
    <row r="36" spans="1:10" x14ac:dyDescent="0.2">
      <c r="A36" s="77" t="s">
        <v>598</v>
      </c>
      <c r="B36" s="29">
        <f ca="1">HLOOKUP("M.Dmg", INDIRECT(B$26), MATCH("Total", Slots, 0)+1, 0)</f>
        <v>266</v>
      </c>
      <c r="C36" s="29">
        <f ca="1">HLOOKUP("M.Dmg", INDIRECT(C$26), MATCH("Total", Slots, 0)+1, 0)</f>
        <v>252</v>
      </c>
      <c r="D36" s="43"/>
      <c r="E36" s="43"/>
    </row>
    <row r="37" spans="1:10" x14ac:dyDescent="0.2">
      <c r="A37" s="8" t="s">
        <v>25</v>
      </c>
      <c r="B37" s="15" t="s">
        <v>332</v>
      </c>
      <c r="C37" s="15" t="s">
        <v>333</v>
      </c>
      <c r="D37" s="43"/>
      <c r="E37" s="43"/>
    </row>
    <row r="38" spans="1:10" x14ac:dyDescent="0.2">
      <c r="A38" s="13" t="s">
        <v>334</v>
      </c>
      <c r="B38" s="3">
        <f ca="1">B33-$L$7</f>
        <v>91</v>
      </c>
      <c r="C38" s="3">
        <f ca="1">C33-$L$7</f>
        <v>91</v>
      </c>
      <c r="D38" s="43"/>
      <c r="E38" s="43"/>
    </row>
    <row r="39" spans="1:10" x14ac:dyDescent="0.2">
      <c r="A39" s="72" t="s">
        <v>641</v>
      </c>
      <c r="B39" s="29">
        <f ca="1">MIN(0, B38)</f>
        <v>0</v>
      </c>
      <c r="C39" s="29">
        <f ca="1">MIN(0, C38)</f>
        <v>0</v>
      </c>
      <c r="D39" s="43"/>
      <c r="E39" s="43"/>
    </row>
    <row r="40" spans="1:10" s="16" customFormat="1" x14ac:dyDescent="0.2">
      <c r="A40" s="71" t="s">
        <v>650</v>
      </c>
      <c r="B40" s="30">
        <f ca="1">B34-$L$8</f>
        <v>45</v>
      </c>
      <c r="C40" s="30">
        <f ca="1">C34-$L$8</f>
        <v>45</v>
      </c>
      <c r="D40" s="43"/>
      <c r="E40" s="43"/>
      <c r="I40"/>
      <c r="J40"/>
    </row>
    <row r="41" spans="1:10" s="16" customFormat="1" x14ac:dyDescent="0.2">
      <c r="A41" s="72" t="s">
        <v>652</v>
      </c>
      <c r="B41" s="29">
        <f ca="1">MIN(0, B40)</f>
        <v>0</v>
      </c>
      <c r="C41" s="29">
        <f ca="1">MIN(0, C40)</f>
        <v>0</v>
      </c>
      <c r="D41" s="43"/>
      <c r="E41" s="43"/>
    </row>
    <row r="42" spans="1:10" s="16" customFormat="1" x14ac:dyDescent="0.2">
      <c r="A42" s="70" t="s">
        <v>631</v>
      </c>
      <c r="B42" s="30">
        <f ca="1">MAX(B38+25, 0)</f>
        <v>116</v>
      </c>
      <c r="C42" s="30">
        <f ca="1">MAX(C38+25, 0)</f>
        <v>116</v>
      </c>
      <c r="D42" s="43"/>
      <c r="E42" s="43"/>
    </row>
    <row r="43" spans="1:10" s="16" customFormat="1" x14ac:dyDescent="0.2">
      <c r="A43" s="70" t="s">
        <v>632</v>
      </c>
      <c r="B43" s="30">
        <f ca="1">MIN(B42, 100)</f>
        <v>100</v>
      </c>
      <c r="C43" s="30">
        <f ca="1">MIN(C42, 100)</f>
        <v>100</v>
      </c>
      <c r="D43" s="43"/>
      <c r="E43" s="43"/>
    </row>
    <row r="44" spans="1:10" x14ac:dyDescent="0.2">
      <c r="A44" s="71" t="s">
        <v>637</v>
      </c>
      <c r="B44" s="30">
        <f ca="1">MAX(0, MIN(Data!B42-100, 25))</f>
        <v>16</v>
      </c>
      <c r="C44" s="30">
        <f ca="1">MAX(0, MIN(Data!C42-100, 25))</f>
        <v>16</v>
      </c>
      <c r="D44" s="43"/>
      <c r="E44" s="43"/>
      <c r="F44" s="16"/>
      <c r="G44" s="16"/>
      <c r="H44" s="16"/>
      <c r="I44" s="16"/>
      <c r="J44" s="16"/>
    </row>
    <row r="45" spans="1:10" x14ac:dyDescent="0.2">
      <c r="A45" s="71" t="s">
        <v>636</v>
      </c>
      <c r="B45" s="30">
        <f ca="1">MAX(0, B42-125)</f>
        <v>0</v>
      </c>
      <c r="C45" s="30">
        <f ca="1">MAX(0, C42-125)</f>
        <v>0</v>
      </c>
      <c r="D45" s="43"/>
      <c r="E45" s="43"/>
    </row>
    <row r="46" spans="1:10" x14ac:dyDescent="0.2">
      <c r="A46" s="72" t="s">
        <v>633</v>
      </c>
      <c r="B46" s="29">
        <f ca="1">B43 + IF(Setup!F3=1, TRUNC(Setup!B5/4), 0)</f>
        <v>124</v>
      </c>
      <c r="C46" s="29">
        <f ca="1">C43 + IF(Setup!G3=1, TRUNC(Setup!C5/4), 0)</f>
        <v>124</v>
      </c>
      <c r="D46" s="43"/>
      <c r="E46" s="43"/>
    </row>
    <row r="47" spans="1:10" x14ac:dyDescent="0.2">
      <c r="A47" s="71" t="s">
        <v>634</v>
      </c>
      <c r="B47" s="30">
        <f>IF($C$1="Sch", 90, IF($B$1&gt;=80, 60, 30)) * IF(Setup!F3=0, 2/3, 1)</f>
        <v>60</v>
      </c>
      <c r="C47" s="30">
        <f>IF($C$1="Sch", 90, IF($B$1&gt;=80, 60, 30)) * IF(Setup!G3=0, 2/3, 1)</f>
        <v>60</v>
      </c>
      <c r="D47" s="43"/>
      <c r="E47" s="43"/>
    </row>
    <row r="48" spans="1:10" s="16" customFormat="1" x14ac:dyDescent="0.2">
      <c r="A48" s="72" t="s">
        <v>635</v>
      </c>
      <c r="B48" s="29">
        <f>1 + 1 + TRUNC((B47-3)/9)</f>
        <v>8</v>
      </c>
      <c r="C48" s="29">
        <f>1 + 1 + TRUNC((C47-3)/9)</f>
        <v>8</v>
      </c>
      <c r="D48" s="43"/>
      <c r="E48" s="43"/>
    </row>
    <row r="49" spans="1:9" s="16" customFormat="1" x14ac:dyDescent="0.2">
      <c r="A49" s="71" t="s">
        <v>654</v>
      </c>
      <c r="B49" s="30">
        <f ca="1">3 * TRUNC(B28/11)</f>
        <v>117</v>
      </c>
      <c r="C49" s="30">
        <f ca="1">3 * TRUNC(C28/11)</f>
        <v>117</v>
      </c>
      <c r="D49" s="43"/>
      <c r="E49" s="43"/>
    </row>
    <row r="50" spans="1:9" s="16" customFormat="1" x14ac:dyDescent="0.2">
      <c r="A50" s="72" t="s">
        <v>655</v>
      </c>
      <c r="B50" s="29">
        <f ca="1">1 + TRUNC(B28/11)</f>
        <v>40</v>
      </c>
      <c r="C50" s="29">
        <f ca="1">1 + TRUNC(C28/11)</f>
        <v>40</v>
      </c>
      <c r="D50" s="43"/>
      <c r="E50" s="43"/>
    </row>
    <row r="51" spans="1:9" s="16" customFormat="1" x14ac:dyDescent="0.2">
      <c r="A51" s="71" t="s">
        <v>670</v>
      </c>
      <c r="B51" s="30"/>
      <c r="C51" s="30"/>
      <c r="D51" s="43"/>
      <c r="E51" s="43"/>
      <c r="F51" s="71" t="s">
        <v>669</v>
      </c>
      <c r="G51"/>
      <c r="H51"/>
    </row>
    <row r="52" spans="1:9" s="16" customFormat="1" x14ac:dyDescent="0.2">
      <c r="A52" t="s">
        <v>671</v>
      </c>
      <c r="B52" s="80">
        <f ca="1">IF(B35&lt;100, $G$53, $H$53) - B33/1000</f>
        <v>3.8489999999999998</v>
      </c>
      <c r="C52" s="80">
        <f ca="1">IF(C35&lt;100, $G$53, $H$53) - C33/1000</f>
        <v>3.8489999999999998</v>
      </c>
      <c r="D52" s="43"/>
      <c r="E52" s="43"/>
      <c r="F52" s="38"/>
      <c r="G52" t="s">
        <v>663</v>
      </c>
      <c r="H52" t="s">
        <v>664</v>
      </c>
    </row>
    <row r="53" spans="1:9" s="16" customFormat="1" x14ac:dyDescent="0.2">
      <c r="A53" t="s">
        <v>667</v>
      </c>
      <c r="B53" s="80">
        <f ca="1">IF(B35&lt;100, $G$54, $H$54)</f>
        <v>0.640625</v>
      </c>
      <c r="C53" s="80">
        <f ca="1">IF(C35&lt;100, $G$54, $H$54)</f>
        <v>0.640625</v>
      </c>
      <c r="D53" s="43"/>
      <c r="E53" s="43"/>
      <c r="F53" t="s">
        <v>665</v>
      </c>
      <c r="G53">
        <v>3.79</v>
      </c>
      <c r="H53">
        <v>4.1399999999999997</v>
      </c>
    </row>
    <row r="54" spans="1:9" s="16" customFormat="1" x14ac:dyDescent="0.2">
      <c r="A54" t="s">
        <v>672</v>
      </c>
      <c r="B54" s="80">
        <f ca="1">0.67*B27/1000</f>
        <v>0.29480000000000001</v>
      </c>
      <c r="C54" s="80">
        <f ca="1">0.67*C27/1000</f>
        <v>0.29480000000000001</v>
      </c>
      <c r="D54" s="43"/>
      <c r="E54" s="43"/>
      <c r="F54" t="s">
        <v>667</v>
      </c>
      <c r="G54" s="79">
        <f>7/12</f>
        <v>0.58333333333333337</v>
      </c>
      <c r="H54" s="79">
        <f>41/64</f>
        <v>0.640625</v>
      </c>
    </row>
    <row r="55" spans="1:9" s="16" customFormat="1" x14ac:dyDescent="0.2">
      <c r="A55" t="s">
        <v>673</v>
      </c>
      <c r="B55" s="80">
        <f ca="1">IF(B35&lt;100, $G$55, $H$55)-B54</f>
        <v>2.5082</v>
      </c>
      <c r="C55" s="80">
        <f ca="1">IF(C35&lt;100, $G$55, $H$55)-C54</f>
        <v>2.5082</v>
      </c>
      <c r="D55" s="43"/>
      <c r="E55" s="43"/>
      <c r="F55" t="s">
        <v>668</v>
      </c>
      <c r="G55">
        <v>2.8029999999999999</v>
      </c>
      <c r="H55">
        <v>2.8029999999999999</v>
      </c>
    </row>
    <row r="56" spans="1:9" x14ac:dyDescent="0.2">
      <c r="A56" s="8" t="s">
        <v>674</v>
      </c>
      <c r="B56" s="81">
        <f ca="1">IF(B35&lt;100, $G$56, $H$56) + B35/5</f>
        <v>80</v>
      </c>
      <c r="C56" s="81">
        <f ca="1">IF(C35&lt;100, $G$56, $H$56) + C35/5</f>
        <v>82.4</v>
      </c>
      <c r="D56" s="43"/>
      <c r="E56" s="43"/>
      <c r="F56" t="s">
        <v>666</v>
      </c>
      <c r="G56">
        <v>22</v>
      </c>
      <c r="H56">
        <v>24</v>
      </c>
    </row>
    <row r="57" spans="1:9" x14ac:dyDescent="0.2">
      <c r="A57" s="13" t="s">
        <v>338</v>
      </c>
      <c r="B57" s="3">
        <f>Setup!F12</f>
        <v>1</v>
      </c>
      <c r="C57" s="3">
        <f>Setup!G12</f>
        <v>1</v>
      </c>
      <c r="D57" s="43"/>
      <c r="E57" s="43"/>
    </row>
    <row r="58" spans="1:9" x14ac:dyDescent="0.2">
      <c r="A58" s="13" t="s">
        <v>340</v>
      </c>
      <c r="B58" s="2">
        <f>IF(B57&gt;1, 0.9 - 0.05*B57, 1)</f>
        <v>1</v>
      </c>
      <c r="C58" s="2">
        <f>IF(C57&gt;1, 0.9 - 0.05*C57, 1)</f>
        <v>1</v>
      </c>
    </row>
    <row r="59" spans="1:9" x14ac:dyDescent="0.2">
      <c r="A59" s="13"/>
      <c r="B59" s="3"/>
      <c r="C59" s="3"/>
    </row>
    <row r="60" spans="1:9" x14ac:dyDescent="0.2">
      <c r="A60" s="13"/>
      <c r="B60" s="3"/>
      <c r="C60" s="3"/>
    </row>
    <row r="61" spans="1:9" x14ac:dyDescent="0.2">
      <c r="A61" s="70" t="s">
        <v>661</v>
      </c>
      <c r="B61" s="3"/>
      <c r="C61" s="3"/>
    </row>
    <row r="62" spans="1:9" x14ac:dyDescent="0.2">
      <c r="A62" s="13"/>
      <c r="B62" s="3"/>
      <c r="C62" s="3"/>
    </row>
    <row r="63" spans="1:9" x14ac:dyDescent="0.2">
      <c r="A63" s="8" t="s">
        <v>305</v>
      </c>
      <c r="B63" s="8" t="s">
        <v>278</v>
      </c>
      <c r="C63" s="8" t="s">
        <v>290</v>
      </c>
      <c r="D63" s="14" t="s">
        <v>291</v>
      </c>
      <c r="E63" s="14" t="s">
        <v>292</v>
      </c>
      <c r="F63" s="14" t="s">
        <v>293</v>
      </c>
      <c r="G63" s="14" t="s">
        <v>294</v>
      </c>
      <c r="H63" s="77" t="s">
        <v>644</v>
      </c>
      <c r="I63" s="77" t="s">
        <v>645</v>
      </c>
    </row>
    <row r="64" spans="1:9" x14ac:dyDescent="0.2">
      <c r="A64" t="s">
        <v>279</v>
      </c>
      <c r="B64" s="3">
        <f t="shared" ref="B64:G72" ca="1" si="1">TRUNC(MAX(TRUNC(VLOOKUP($A64, INDIRECT($B$22&amp;B$100), MATCH("V", SpellHeader, 0), 0) + $B$39 + TRUNC(VLOOKUP($A64, INDIRECT($B$22&amp;B$100), MATCH("M1", SpellHeader, 0), 0) * MAX(0, MIN($B$38, VLOOKUP($A64, INDIRECT($B$22&amp;B$100), MATCH("L1", SpellHeader, 0), 0)))) + TRUNC(VLOOKUP($A64, INDIRECT($B$22&amp;B$100), MATCH("M2", SpellHeader, 0), 0) * MIN(MAX($B$38 - VLOOKUP($A64, INDIRECT($B$22&amp;B$100), MATCH("L1", SpellHeader, 0), 0), 0), VLOOKUP($A64, INDIRECT($B$22&amp;B$100), MATCH("L2", SpellHeader, 0), 0) - VLOOKUP($A64, INDIRECT($B$22&amp;B$100), MATCH("L1", SpellHeader, 0), 0))) + TRUNC(VLOOKUP($A64, INDIRECT($B$22&amp;B$100), MATCH("M3", SpellHeader, 0), 0) * MIN(MAX($B$38 - VLOOKUP($A64, INDIRECT($B$22&amp;B$100), MATCH("L2", SpellHeader, 0), 0), 0), VLOOKUP($A64, INDIRECT($B$22&amp;B$100), MATCH("L3", SpellHeader, 0), 0) - VLOOKUP($A64, INDIRECT($B$22&amp;B$100), MATCH("L2", SpellHeader, 0), 0)))) + $B$36, 0) * IF(VLOOKUP($A64, INDIRECT($B$22&amp;B$100), MATCH("Max N", SpellHeader, 0), 0) &gt; 1, $B$58, 1))</f>
        <v>417</v>
      </c>
      <c r="C64" s="3">
        <f t="shared" ca="1" si="1"/>
        <v>422</v>
      </c>
      <c r="D64" s="3">
        <f t="shared" ca="1" si="1"/>
        <v>427</v>
      </c>
      <c r="E64" s="3">
        <f t="shared" ca="1" si="1"/>
        <v>432</v>
      </c>
      <c r="F64" s="3">
        <f t="shared" ca="1" si="1"/>
        <v>437</v>
      </c>
      <c r="G64" s="3">
        <f t="shared" ca="1" si="1"/>
        <v>442</v>
      </c>
      <c r="H64" s="3">
        <f t="shared" ref="H64:H77" ca="1" si="2">TRUNC(MAX(TRUNC(VLOOKUP($A64, INDIRECT($B$22&amp;H$100), MATCH("V", SpellHeader, 0), 0) + $B$41 + TRUNC(VLOOKUP($A64, INDIRECT($B$22&amp;H$100), MATCH("M1", SpellHeader, 0), 0) * MAX(0, MIN($B$40, VLOOKUP($A64, INDIRECT($B$22&amp;H$100), MATCH("L1", SpellHeader, 0), 0)))) + TRUNC(VLOOKUP($A64, INDIRECT($B$22&amp;H$100), MATCH("M2", SpellHeader, 0), 0) * MIN(MAX($B$40 - VLOOKUP($A64, INDIRECT($B$22&amp;H$100), MATCH("L1", SpellHeader, 0), 0), 0), VLOOKUP($A64, INDIRECT($B$22&amp;H$100), MATCH("L2", SpellHeader, 0), 0) - VLOOKUP($A64, INDIRECT($B$22&amp;H$100), MATCH("L1", SpellHeader, 0), 0))) + TRUNC(VLOOKUP($A64, INDIRECT($B$22&amp;H$100), MATCH("M3", SpellHeader, 0), 0) * MIN(MAX($B$40 - VLOOKUP($A64, INDIRECT($B$22&amp;H$100), MATCH("L2", SpellHeader, 0), 0), 0), VLOOKUP($A64, INDIRECT($B$22&amp;H$100), MATCH("L3", SpellHeader, 0), 0) - VLOOKUP($A64, INDIRECT($B$22&amp;H$100), MATCH("L2", SpellHeader, 0), 0)))) + $B$36, 0) * IF(VLOOKUP($A64, INDIRECT($B$22&amp;H$100), MATCH("Max N", SpellHeader, 0), 0) &gt; 1, $B$58, 1))</f>
        <v>315</v>
      </c>
      <c r="I64" s="3">
        <f t="shared" ref="I64:I71" ca="1" si="3">TRUNC(MAX(TRUNC(VLOOKUP($A64, INDIRECT($B$22&amp;I$100), MATCH("V", SpellHeader, 0), 0) + $B$39 + TRUNC(VLOOKUP($A64, INDIRECT($B$22&amp;I$100), MATCH("M1", SpellHeader, 0), 0) * MAX(0, MIN($B$38, VLOOKUP($A64, INDIRECT($B$22&amp;I$100), MATCH("L1", SpellHeader, 0), 0)))) + TRUNC(VLOOKUP($A64, INDIRECT($B$22&amp;I$100), MATCH("M2", SpellHeader, 0), 0) * MIN(MAX($B$38 - VLOOKUP($A64, INDIRECT($B$22&amp;I$100), MATCH("L1", SpellHeader, 0), 0), 0), VLOOKUP($A64, INDIRECT($B$22&amp;I$100), MATCH("L2", SpellHeader, 0), 0) - VLOOKUP($A64, INDIRECT($B$22&amp;I$100), MATCH("L1", SpellHeader, 0), 0))) + TRUNC(VLOOKUP($A64, INDIRECT($B$22&amp;I$100), MATCH("M3", SpellHeader, 0), 0) * MIN(MAX($B$38 - VLOOKUP($A64, INDIRECT($B$22&amp;I$100), MATCH("L2", SpellHeader, 0), 0), 0), VLOOKUP($A64, INDIRECT($B$22&amp;I$100), MATCH("L3", SpellHeader, 0), 0) - VLOOKUP($A64, INDIRECT($B$22&amp;I$100), MATCH("L2", SpellHeader, 0), 0)))) + $B$36, 0) * IF(VLOOKUP($A64, INDIRECT($B$22&amp;I$100), MATCH("Max N", SpellHeader, 0), 0) &gt; 1, $B$58, 1))</f>
        <v>266</v>
      </c>
    </row>
    <row r="65" spans="1:11" x14ac:dyDescent="0.2">
      <c r="A65" t="s">
        <v>280</v>
      </c>
      <c r="B65" s="3">
        <f t="shared" ca="1" si="1"/>
        <v>598</v>
      </c>
      <c r="C65" s="3">
        <f t="shared" ca="1" si="1"/>
        <v>603</v>
      </c>
      <c r="D65" s="3">
        <f t="shared" ca="1" si="1"/>
        <v>609</v>
      </c>
      <c r="E65" s="3">
        <f t="shared" ca="1" si="1"/>
        <v>615</v>
      </c>
      <c r="F65" s="3">
        <f t="shared" ca="1" si="1"/>
        <v>621</v>
      </c>
      <c r="G65" s="3">
        <f t="shared" ca="1" si="1"/>
        <v>627</v>
      </c>
      <c r="H65" s="3">
        <f t="shared" ca="1" si="2"/>
        <v>396</v>
      </c>
      <c r="I65" s="3">
        <f t="shared" ca="1" si="3"/>
        <v>266</v>
      </c>
    </row>
    <row r="66" spans="1:11" x14ac:dyDescent="0.2">
      <c r="A66" t="s">
        <v>281</v>
      </c>
      <c r="B66" s="3">
        <f t="shared" ca="1" si="1"/>
        <v>789</v>
      </c>
      <c r="C66" s="3">
        <f t="shared" ca="1" si="1"/>
        <v>799</v>
      </c>
      <c r="D66" s="3">
        <f t="shared" ca="1" si="1"/>
        <v>810</v>
      </c>
      <c r="E66" s="3">
        <f t="shared" ca="1" si="1"/>
        <v>821</v>
      </c>
      <c r="F66" s="3">
        <f t="shared" ca="1" si="1"/>
        <v>832</v>
      </c>
      <c r="G66" s="3">
        <f t="shared" ca="1" si="1"/>
        <v>843</v>
      </c>
      <c r="H66" s="3">
        <f t="shared" ca="1" si="2"/>
        <v>531</v>
      </c>
      <c r="I66" s="3">
        <f t="shared" ca="1" si="3"/>
        <v>266</v>
      </c>
    </row>
    <row r="67" spans="1:11" x14ac:dyDescent="0.2">
      <c r="A67" t="s">
        <v>282</v>
      </c>
      <c r="B67" s="3">
        <f t="shared" ca="1" si="1"/>
        <v>1080</v>
      </c>
      <c r="C67" s="3">
        <f t="shared" ca="1" si="1"/>
        <v>1100</v>
      </c>
      <c r="D67" s="3">
        <f t="shared" ca="1" si="1"/>
        <v>1121</v>
      </c>
      <c r="E67" s="3">
        <f t="shared" ca="1" si="1"/>
        <v>1147</v>
      </c>
      <c r="F67" s="3">
        <f t="shared" ca="1" si="1"/>
        <v>1168</v>
      </c>
      <c r="G67" s="3">
        <f t="shared" ca="1" si="1"/>
        <v>1189</v>
      </c>
      <c r="H67" s="3">
        <f t="shared" ca="1" si="2"/>
        <v>266</v>
      </c>
      <c r="I67" s="3">
        <f t="shared" ca="1" si="3"/>
        <v>266</v>
      </c>
    </row>
    <row r="68" spans="1:11" x14ac:dyDescent="0.2">
      <c r="A68" t="s">
        <v>283</v>
      </c>
      <c r="B68" s="3">
        <f t="shared" ca="1" si="1"/>
        <v>1421</v>
      </c>
      <c r="C68" s="3">
        <f t="shared" ca="1" si="1"/>
        <v>1440</v>
      </c>
      <c r="D68" s="3">
        <f t="shared" ca="1" si="1"/>
        <v>1460</v>
      </c>
      <c r="E68" s="3">
        <f t="shared" ca="1" si="1"/>
        <v>1479</v>
      </c>
      <c r="F68" s="3">
        <f t="shared" ca="1" si="1"/>
        <v>1500</v>
      </c>
      <c r="G68" s="3">
        <f t="shared" ca="1" si="1"/>
        <v>1519</v>
      </c>
      <c r="H68" s="3">
        <f t="shared" ca="1" si="2"/>
        <v>266</v>
      </c>
      <c r="I68" s="3">
        <f t="shared" ca="1" si="3"/>
        <v>266</v>
      </c>
    </row>
    <row r="69" spans="1:11" x14ac:dyDescent="0.2">
      <c r="A69" t="s">
        <v>284</v>
      </c>
      <c r="B69" s="3">
        <f t="shared" ca="1" si="1"/>
        <v>558</v>
      </c>
      <c r="C69" s="3">
        <f t="shared" ca="1" si="1"/>
        <v>563</v>
      </c>
      <c r="D69" s="3">
        <f t="shared" ca="1" si="1"/>
        <v>569</v>
      </c>
      <c r="E69" s="3">
        <f t="shared" ca="1" si="1"/>
        <v>575</v>
      </c>
      <c r="F69" s="3">
        <f t="shared" ca="1" si="1"/>
        <v>601</v>
      </c>
      <c r="G69" s="3">
        <f t="shared" ca="1" si="1"/>
        <v>627</v>
      </c>
      <c r="H69" s="3">
        <f t="shared" ca="1" si="2"/>
        <v>361</v>
      </c>
      <c r="I69" s="3">
        <f t="shared" ca="1" si="3"/>
        <v>266</v>
      </c>
    </row>
    <row r="70" spans="1:11" x14ac:dyDescent="0.2">
      <c r="A70" t="s">
        <v>285</v>
      </c>
      <c r="B70" s="3">
        <f t="shared" ca="1" si="1"/>
        <v>839</v>
      </c>
      <c r="C70" s="3">
        <f t="shared" ca="1" si="1"/>
        <v>849</v>
      </c>
      <c r="D70" s="3">
        <f t="shared" ca="1" si="1"/>
        <v>860</v>
      </c>
      <c r="E70" s="3">
        <f t="shared" ca="1" si="1"/>
        <v>871</v>
      </c>
      <c r="F70" s="3">
        <f t="shared" ca="1" si="1"/>
        <v>882</v>
      </c>
      <c r="G70" s="3">
        <f t="shared" ca="1" si="1"/>
        <v>893</v>
      </c>
      <c r="H70" s="3">
        <f t="shared" ca="1" si="2"/>
        <v>491</v>
      </c>
      <c r="I70" s="3">
        <f t="shared" ca="1" si="3"/>
        <v>266</v>
      </c>
    </row>
    <row r="71" spans="1:11" x14ac:dyDescent="0.2">
      <c r="A71" t="s">
        <v>286</v>
      </c>
      <c r="B71" s="3">
        <f t="shared" ca="1" si="1"/>
        <v>1180</v>
      </c>
      <c r="C71" s="3">
        <f t="shared" ca="1" si="1"/>
        <v>1200</v>
      </c>
      <c r="D71" s="3">
        <f t="shared" ca="1" si="1"/>
        <v>1221</v>
      </c>
      <c r="E71" s="3">
        <f t="shared" ca="1" si="1"/>
        <v>1247</v>
      </c>
      <c r="F71" s="3">
        <f t="shared" ca="1" si="1"/>
        <v>1268</v>
      </c>
      <c r="G71" s="3">
        <f t="shared" ca="1" si="1"/>
        <v>1289</v>
      </c>
      <c r="H71" s="3">
        <f t="shared" ca="1" si="2"/>
        <v>266</v>
      </c>
      <c r="I71" s="3">
        <f t="shared" ca="1" si="3"/>
        <v>266</v>
      </c>
    </row>
    <row r="72" spans="1:11" x14ac:dyDescent="0.2">
      <c r="A72" t="s">
        <v>287</v>
      </c>
      <c r="B72" s="3">
        <f t="shared" ca="1" si="1"/>
        <v>1521</v>
      </c>
      <c r="C72" s="3">
        <f t="shared" ca="1" si="1"/>
        <v>1540</v>
      </c>
      <c r="D72" s="3">
        <f t="shared" ca="1" si="1"/>
        <v>1560</v>
      </c>
      <c r="E72" s="3">
        <f t="shared" ca="1" si="1"/>
        <v>1580</v>
      </c>
      <c r="F72" s="3">
        <f t="shared" ca="1" si="1"/>
        <v>1600</v>
      </c>
      <c r="G72" s="3">
        <f t="shared" ca="1" si="1"/>
        <v>1619</v>
      </c>
      <c r="H72" s="3">
        <f t="shared" ca="1" si="2"/>
        <v>266</v>
      </c>
      <c r="I72" s="3">
        <f ca="1">(B33*B52 + B27*B53 + B36*B55)</f>
        <v>2069.1152000000002</v>
      </c>
    </row>
    <row r="73" spans="1:11" x14ac:dyDescent="0.2">
      <c r="A73" t="s">
        <v>617</v>
      </c>
      <c r="B73" s="3">
        <f ca="1">(TRUNC($B$46*11/10 + $B$44*6/10 + $B$45*11/20) + $B$36) * IF(Setup!$F$15="Initial", 1, $B$48)</f>
        <v>412</v>
      </c>
      <c r="C73" s="3">
        <f ca="1">(TRUNC($B$46*11/10 + $B$44*6/10 + $B$45*11/20) + $B$36) * IF(Setup!$F$15="Initial", 1, $B$48)</f>
        <v>412</v>
      </c>
      <c r="D73" s="3">
        <f ca="1">(TRUNC($B$46*11/10 + $B$44*6/10 + $B$45*11/20) + $B$36) * IF(Setup!$F$15="Initial", 1, $B$48)</f>
        <v>412</v>
      </c>
      <c r="E73" s="3">
        <f ca="1">(TRUNC($B$46*11/10 + $B$44*6/10 + $B$45*11/20) + $B$36) * IF(Setup!$F$15="Initial", 1, $B$48)</f>
        <v>412</v>
      </c>
      <c r="F73" s="3">
        <f ca="1">(TRUNC($B$46*11/10 + $B$44*6/10 + $B$45*11/20) + $B$36) * IF(Setup!$F$15="Initial", 1, $B$48)</f>
        <v>412</v>
      </c>
      <c r="G73" s="3">
        <f ca="1">(TRUNC($B$46*11/10 + $B$44*6/10 + $B$45*11/20) + $B$36) * IF(Setup!$F$15="Initial", 1, $B$48)</f>
        <v>412</v>
      </c>
      <c r="H73" s="3">
        <f t="shared" ca="1" si="2"/>
        <v>266</v>
      </c>
      <c r="I73" s="3">
        <f ca="1">TRUNC(FLOOR(0.067*$B$1, 0.1) * (37 + TRUNC(0.67*MIN(B38, 300))))</f>
        <v>640</v>
      </c>
      <c r="K73" s="19"/>
    </row>
    <row r="74" spans="1:11" x14ac:dyDescent="0.2">
      <c r="A74" t="s">
        <v>289</v>
      </c>
      <c r="B74" s="3">
        <f t="shared" ref="B74:G77" ca="1" si="4">TRUNC(MAX(TRUNC(VLOOKUP($A74, INDIRECT($B$22&amp;B$100), MATCH("V", SpellHeader, 0), 0) + $B$39 + TRUNC(VLOOKUP($A74, INDIRECT($B$22&amp;B$100), MATCH("M1", SpellHeader, 0), 0) * MAX(0, MIN($B$38, VLOOKUP($A74, INDIRECT($B$22&amp;B$100), MATCH("L1", SpellHeader, 0), 0)))) + TRUNC(VLOOKUP($A74, INDIRECT($B$22&amp;B$100), MATCH("M2", SpellHeader, 0), 0) * MIN(MAX($B$38 - VLOOKUP($A74, INDIRECT($B$22&amp;B$100), MATCH("L1", SpellHeader, 0), 0), 0), VLOOKUP($A74, INDIRECT($B$22&amp;B$100), MATCH("L2", SpellHeader, 0), 0) - VLOOKUP($A74, INDIRECT($B$22&amp;B$100), MATCH("L1", SpellHeader, 0), 0))) + TRUNC(VLOOKUP($A74, INDIRECT($B$22&amp;B$100), MATCH("M3", SpellHeader, 0), 0) * MIN(MAX($B$38 - VLOOKUP($A74, INDIRECT($B$22&amp;B$100), MATCH("L2", SpellHeader, 0), 0), 0), VLOOKUP($A74, INDIRECT($B$22&amp;B$100), MATCH("L3", SpellHeader, 0), 0) - VLOOKUP($A74, INDIRECT($B$22&amp;B$100), MATCH("L2", SpellHeader, 0), 0)))) + $B$36, 0) * IF(VLOOKUP($A74, INDIRECT($B$22&amp;B$100), MATCH("Max N", SpellHeader, 0), 0) &gt; 1, $B$58, 1))</f>
        <v>648</v>
      </c>
      <c r="C74" s="3">
        <f t="shared" ca="1" si="4"/>
        <v>663</v>
      </c>
      <c r="D74" s="3">
        <f t="shared" ca="1" si="4"/>
        <v>679</v>
      </c>
      <c r="E74" s="3">
        <f t="shared" ca="1" si="4"/>
        <v>695</v>
      </c>
      <c r="F74" s="3">
        <f t="shared" ca="1" si="4"/>
        <v>711</v>
      </c>
      <c r="G74" s="3">
        <f t="shared" ca="1" si="4"/>
        <v>727</v>
      </c>
      <c r="H74" s="3">
        <f t="shared" ca="1" si="2"/>
        <v>266</v>
      </c>
      <c r="I74" s="3">
        <f ca="1">TRUNC(MAX(TRUNC(VLOOKUP($A74, INDIRECT($B$22&amp;I$100), MATCH("V", SpellHeader, 0), 0) + $B$39 + TRUNC(VLOOKUP($A74, INDIRECT($B$22&amp;I$100), MATCH("M1", SpellHeader, 0), 0) * MAX(0, MIN($B$38, VLOOKUP($A74, INDIRECT($B$22&amp;I$100), MATCH("L1", SpellHeader, 0), 0)))) + TRUNC(VLOOKUP($A74, INDIRECT($B$22&amp;I$100), MATCH("M2", SpellHeader, 0), 0) * MIN(MAX($B$38 - VLOOKUP($A74, INDIRECT($B$22&amp;I$100), MATCH("L1", SpellHeader, 0), 0), 0), VLOOKUP($A74, INDIRECT($B$22&amp;I$100), MATCH("L2", SpellHeader, 0), 0) - VLOOKUP($A74, INDIRECT($B$22&amp;I$100), MATCH("L1", SpellHeader, 0), 0))) + TRUNC(VLOOKUP($A74, INDIRECT($B$22&amp;I$100), MATCH("M3", SpellHeader, 0), 0) * MIN(MAX($B$38 - VLOOKUP($A74, INDIRECT($B$22&amp;I$100), MATCH("L2", SpellHeader, 0), 0), 0), VLOOKUP($A74, INDIRECT($B$22&amp;I$100), MATCH("L3", SpellHeader, 0), 0) - VLOOKUP($A74, INDIRECT($B$22&amp;I$100), MATCH("L2", SpellHeader, 0), 0)))) + $B$36, 0) * IF(VLOOKUP($A74, INDIRECT($B$22&amp;I$100), MATCH("Max N", SpellHeader, 0), 0) &gt; 1, $B$58, 1))</f>
        <v>266</v>
      </c>
    </row>
    <row r="75" spans="1:11" x14ac:dyDescent="0.2">
      <c r="A75" t="s">
        <v>298</v>
      </c>
      <c r="B75" s="3">
        <f t="shared" ca="1" si="4"/>
        <v>939</v>
      </c>
      <c r="C75" s="3">
        <f t="shared" ca="1" si="4"/>
        <v>959</v>
      </c>
      <c r="D75" s="3">
        <f t="shared" ca="1" si="4"/>
        <v>980</v>
      </c>
      <c r="E75" s="3">
        <f t="shared" ca="1" si="4"/>
        <v>1001</v>
      </c>
      <c r="F75" s="3">
        <f t="shared" ca="1" si="4"/>
        <v>1022</v>
      </c>
      <c r="G75" s="3">
        <f t="shared" ca="1" si="4"/>
        <v>1043</v>
      </c>
      <c r="H75" s="3">
        <f t="shared" ca="1" si="2"/>
        <v>266</v>
      </c>
      <c r="I75" s="3">
        <f ca="1">TRUNC(MAX(TRUNC(VLOOKUP($A75, INDIRECT($B$22&amp;I$100), MATCH("V", SpellHeader, 0), 0) + $B$39 + TRUNC(VLOOKUP($A75, INDIRECT($B$22&amp;I$100), MATCH("M1", SpellHeader, 0), 0) * MAX(0, MIN($B$38, VLOOKUP($A75, INDIRECT($B$22&amp;I$100), MATCH("L1", SpellHeader, 0), 0)))) + TRUNC(VLOOKUP($A75, INDIRECT($B$22&amp;I$100), MATCH("M2", SpellHeader, 0), 0) * MIN(MAX($B$38 - VLOOKUP($A75, INDIRECT($B$22&amp;I$100), MATCH("L1", SpellHeader, 0), 0), 0), VLOOKUP($A75, INDIRECT($B$22&amp;I$100), MATCH("L2", SpellHeader, 0), 0) - VLOOKUP($A75, INDIRECT($B$22&amp;I$100), MATCH("L1", SpellHeader, 0), 0))) + TRUNC(VLOOKUP($A75, INDIRECT($B$22&amp;I$100), MATCH("M3", SpellHeader, 0), 0) * MIN(MAX($B$38 - VLOOKUP($A75, INDIRECT($B$22&amp;I$100), MATCH("L2", SpellHeader, 0), 0), 0), VLOOKUP($A75, INDIRECT($B$22&amp;I$100), MATCH("L3", SpellHeader, 0), 0) - VLOOKUP($A75, INDIRECT($B$22&amp;I$100), MATCH("L2", SpellHeader, 0), 0)))) + $B$36, 0) * IF(VLOOKUP($A75, INDIRECT($B$22&amp;I$100), MATCH("Max N", SpellHeader, 0), 0) &gt; 1, $B$58, 1))</f>
        <v>266</v>
      </c>
    </row>
    <row r="76" spans="1:11" x14ac:dyDescent="0.2">
      <c r="A76" t="s">
        <v>288</v>
      </c>
      <c r="B76" s="3">
        <f t="shared" ca="1" si="4"/>
        <v>1148</v>
      </c>
      <c r="C76" s="3">
        <f t="shared" ca="1" si="4"/>
        <v>1148</v>
      </c>
      <c r="D76" s="3">
        <f t="shared" ca="1" si="4"/>
        <v>1148</v>
      </c>
      <c r="E76" s="3">
        <f t="shared" ca="1" si="4"/>
        <v>1148</v>
      </c>
      <c r="F76" s="3">
        <f t="shared" ca="1" si="4"/>
        <v>1148</v>
      </c>
      <c r="G76" s="3">
        <f t="shared" ca="1" si="4"/>
        <v>1148</v>
      </c>
      <c r="H76" s="3">
        <f t="shared" ca="1" si="2"/>
        <v>436</v>
      </c>
      <c r="I76" s="3">
        <f ca="1">TRUNC(MAX(TRUNC(VLOOKUP($A76, INDIRECT($B$22&amp;I$100), MATCH("V", SpellHeader, 0), 0) + $B$39 + TRUNC(VLOOKUP($A76, INDIRECT($B$22&amp;I$100), MATCH("M1", SpellHeader, 0), 0) * MAX(0, MIN($B$38, VLOOKUP($A76, INDIRECT($B$22&amp;I$100), MATCH("L1", SpellHeader, 0), 0)))) + TRUNC(VLOOKUP($A76, INDIRECT($B$22&amp;I$100), MATCH("M2", SpellHeader, 0), 0) * MIN(MAX($B$38 - VLOOKUP($A76, INDIRECT($B$22&amp;I$100), MATCH("L1", SpellHeader, 0), 0), 0), VLOOKUP($A76, INDIRECT($B$22&amp;I$100), MATCH("L2", SpellHeader, 0), 0) - VLOOKUP($A76, INDIRECT($B$22&amp;I$100), MATCH("L1", SpellHeader, 0), 0))) + TRUNC(VLOOKUP($A76, INDIRECT($B$22&amp;I$100), MATCH("M3", SpellHeader, 0), 0) * MIN(MAX($B$38 - VLOOKUP($A76, INDIRECT($B$22&amp;I$100), MATCH("L2", SpellHeader, 0), 0), 0), VLOOKUP($A76, INDIRECT($B$22&amp;I$100), MATCH("L3", SpellHeader, 0), 0) - VLOOKUP($A76, INDIRECT($B$22&amp;I$100), MATCH("L2", SpellHeader, 0), 0)))) + $B$36, 0) * IF(VLOOKUP($A76, INDIRECT($B$22&amp;I$100), MATCH("Max N", SpellHeader, 0), 0) &gt; 1, $B$58, 1))</f>
        <v>1148</v>
      </c>
    </row>
    <row r="77" spans="1:11" x14ac:dyDescent="0.2">
      <c r="A77" t="s">
        <v>299</v>
      </c>
      <c r="B77" s="3">
        <f t="shared" ca="1" si="4"/>
        <v>1248</v>
      </c>
      <c r="C77" s="3">
        <f t="shared" ca="1" si="4"/>
        <v>1248</v>
      </c>
      <c r="D77" s="3">
        <f t="shared" ca="1" si="4"/>
        <v>1248</v>
      </c>
      <c r="E77" s="3">
        <f t="shared" ca="1" si="4"/>
        <v>1248</v>
      </c>
      <c r="F77" s="3">
        <f t="shared" ca="1" si="4"/>
        <v>1248</v>
      </c>
      <c r="G77" s="3">
        <f t="shared" ca="1" si="4"/>
        <v>1248</v>
      </c>
      <c r="H77" s="3">
        <f t="shared" ca="1" si="2"/>
        <v>606</v>
      </c>
      <c r="I77" s="3">
        <f ca="1">TRUNC(MAX(TRUNC(VLOOKUP($A77, INDIRECT($B$22&amp;I$100), MATCH("V", SpellHeader, 0), 0) + $B$39 + TRUNC(VLOOKUP($A77, INDIRECT($B$22&amp;I$100), MATCH("M1", SpellHeader, 0), 0) * MAX(0, MIN($B$38, VLOOKUP($A77, INDIRECT($B$22&amp;I$100), MATCH("L1", SpellHeader, 0), 0)))) + TRUNC(VLOOKUP($A77, INDIRECT($B$22&amp;I$100), MATCH("M2", SpellHeader, 0), 0) * MIN(MAX($B$38 - VLOOKUP($A77, INDIRECT($B$22&amp;I$100), MATCH("L1", SpellHeader, 0), 0), 0), VLOOKUP($A77, INDIRECT($B$22&amp;I$100), MATCH("L2", SpellHeader, 0), 0) - VLOOKUP($A77, INDIRECT($B$22&amp;I$100), MATCH("L1", SpellHeader, 0), 0))) + TRUNC(VLOOKUP($A77, INDIRECT($B$22&amp;I$100), MATCH("M3", SpellHeader, 0), 0) * MIN(MAX($B$38 - VLOOKUP($A77, INDIRECT($B$22&amp;I$100), MATCH("L2", SpellHeader, 0), 0), 0), VLOOKUP($A77, INDIRECT($B$22&amp;I$100), MATCH("L3", SpellHeader, 0), 0) - VLOOKUP($A77, INDIRECT($B$22&amp;I$100), MATCH("L2", SpellHeader, 0), 0)))) + $B$36, 0) * IF(VLOOKUP($A77, INDIRECT($B$22&amp;I$100), MATCH("Max N", SpellHeader, 0), 0) &gt; 1, $B$58, 1))</f>
        <v>1619</v>
      </c>
    </row>
    <row r="78" spans="1:11" x14ac:dyDescent="0.2">
      <c r="A78" s="13"/>
      <c r="B78" s="3"/>
      <c r="C78" s="3"/>
    </row>
    <row r="79" spans="1:11" x14ac:dyDescent="0.2">
      <c r="A79" s="71" t="s">
        <v>662</v>
      </c>
      <c r="B79" s="3"/>
      <c r="C79" s="3"/>
    </row>
    <row r="80" spans="1:11" x14ac:dyDescent="0.2">
      <c r="A80" s="13"/>
      <c r="B80" s="3"/>
      <c r="C80" s="3"/>
    </row>
    <row r="81" spans="1:9" x14ac:dyDescent="0.2">
      <c r="A81" s="8" t="s">
        <v>305</v>
      </c>
      <c r="B81" s="8" t="s">
        <v>278</v>
      </c>
      <c r="C81" s="8" t="s">
        <v>290</v>
      </c>
      <c r="D81" s="14" t="s">
        <v>291</v>
      </c>
      <c r="E81" s="14" t="s">
        <v>292</v>
      </c>
      <c r="F81" s="14" t="s">
        <v>293</v>
      </c>
      <c r="G81" s="14" t="s">
        <v>294</v>
      </c>
      <c r="H81" s="77" t="s">
        <v>644</v>
      </c>
      <c r="I81" s="77" t="s">
        <v>645</v>
      </c>
    </row>
    <row r="82" spans="1:9" x14ac:dyDescent="0.2">
      <c r="A82" t="s">
        <v>279</v>
      </c>
      <c r="B82" s="3">
        <f t="shared" ref="B82:G90" ca="1" si="5">TRUNC(MAX(TRUNC(VLOOKUP($A82, INDIRECT($C$22&amp;B$118), MATCH("V", SpellHeader, 0), 0) + $C$39 + TRUNC(VLOOKUP($A82, INDIRECT($C$22&amp;B$118), MATCH("M1", SpellHeader, 0), 0) * MAX(0, MIN($C$38, VLOOKUP($A82, INDIRECT($C$22&amp;B$118), MATCH("L1", SpellHeader, 0), 0)))) + TRUNC(VLOOKUP($A82, INDIRECT($C$22&amp;B$118), MATCH("M2", SpellHeader, 0), 0) * MIN(MAX($C$38 - VLOOKUP($A82, INDIRECT($C$22&amp;B$118), MATCH("L1", SpellHeader, 0), 0), 0), VLOOKUP($A82, INDIRECT($C$22&amp;B$118), MATCH("L2", SpellHeader, 0), 0) - VLOOKUP($A82, INDIRECT($C$22&amp;B$118), MATCH("L1", SpellHeader, 0), 0))) + TRUNC(VLOOKUP($A82, INDIRECT($C$22&amp;B$118), MATCH("M3", SpellHeader, 0), 0) * MIN(MAX($C$38 - VLOOKUP($A82, INDIRECT($C$22&amp;B$118), MATCH("L2", SpellHeader, 0), 0), 0), VLOOKUP($A82, INDIRECT($C$22&amp;B$118), MATCH("L3", SpellHeader, 0), 0) - VLOOKUP($A82, INDIRECT($C$22&amp;B$118), MATCH("L2", SpellHeader, 0), 0)))) + $C$36, 0) * IF(VLOOKUP($A82, INDIRECT($C$22&amp;B$118), MATCH("Max N", SpellHeader, 0), 0) &gt; 1, $C$58, 1))</f>
        <v>403</v>
      </c>
      <c r="C82" s="3">
        <f t="shared" ca="1" si="5"/>
        <v>408</v>
      </c>
      <c r="D82" s="3">
        <f t="shared" ca="1" si="5"/>
        <v>413</v>
      </c>
      <c r="E82" s="3">
        <f t="shared" ca="1" si="5"/>
        <v>418</v>
      </c>
      <c r="F82" s="3">
        <f t="shared" ca="1" si="5"/>
        <v>423</v>
      </c>
      <c r="G82" s="3">
        <f t="shared" ca="1" si="5"/>
        <v>428</v>
      </c>
      <c r="H82" s="3">
        <f t="shared" ref="H82:H95" ca="1" si="6">TRUNC(MAX(TRUNC(VLOOKUP($A82, INDIRECT($B$22&amp;H$118), MATCH("V", SpellHeader, 0), 0) + $C$41 + TRUNC(VLOOKUP($A82, INDIRECT($B$22&amp;H$118), MATCH("M1", SpellHeader, 0), 0) * MAX(0, MIN($C$40, VLOOKUP($A82, INDIRECT($B$22&amp;H$118), MATCH("L1", SpellHeader, 0), 0)))) + TRUNC(VLOOKUP($A82, INDIRECT($B$22&amp;H$118), MATCH("M2", SpellHeader, 0), 0) * MIN(MAX($C$40 - VLOOKUP($A82, INDIRECT($B$22&amp;H$118), MATCH("L1", SpellHeader, 0), 0), 0), VLOOKUP($A82, INDIRECT($B$22&amp;H$118), MATCH("L2", SpellHeader, 0), 0) - VLOOKUP($A82, INDIRECT($B$22&amp;H$118), MATCH("L1", SpellHeader, 0), 0))) + TRUNC(VLOOKUP($A82, INDIRECT($B$22&amp;H$118), MATCH("M3", SpellHeader, 0), 0) * MIN(MAX($C$40 - VLOOKUP($A82, INDIRECT($B$22&amp;H$118), MATCH("L2", SpellHeader, 0), 0), 0), VLOOKUP($A82, INDIRECT($B$22&amp;H$118), MATCH("L3", SpellHeader, 0), 0) - VLOOKUP($A82, INDIRECT($B$22&amp;H$118), MATCH("L2", SpellHeader, 0), 0)))) + $C$36, 0) * IF(VLOOKUP($A82, INDIRECT($B$22&amp;H$118), MATCH("Max N", SpellHeader, 0), 0) &gt; 1, $C$58, 1))</f>
        <v>301</v>
      </c>
      <c r="I82" s="3">
        <f t="shared" ref="I82:I89" ca="1" si="7">TRUNC(MAX(TRUNC(VLOOKUP($A82, INDIRECT($C$22&amp;I$118), MATCH("V", SpellHeader, 0), 0) + $C$39 + TRUNC(VLOOKUP($A82, INDIRECT($C$22&amp;I$118), MATCH("M1", SpellHeader, 0), 0) * MAX(0, MIN($C$38, VLOOKUP($A82, INDIRECT($C$22&amp;I$118), MATCH("L1", SpellHeader, 0), 0)))) + TRUNC(VLOOKUP($A82, INDIRECT($C$22&amp;I$118), MATCH("M2", SpellHeader, 0), 0) * MIN(MAX($C$38 - VLOOKUP($A82, INDIRECT($C$22&amp;I$118), MATCH("L1", SpellHeader, 0), 0), 0), VLOOKUP($A82, INDIRECT($C$22&amp;I$118), MATCH("L2", SpellHeader, 0), 0) - VLOOKUP($A82, INDIRECT($C$22&amp;I$118), MATCH("L1", SpellHeader, 0), 0))) + TRUNC(VLOOKUP($A82, INDIRECT($C$22&amp;I$118), MATCH("M3", SpellHeader, 0), 0) * MIN(MAX($C$38 - VLOOKUP($A82, INDIRECT($C$22&amp;I$118), MATCH("L2", SpellHeader, 0), 0), 0), VLOOKUP($A82, INDIRECT($C$22&amp;I$118), MATCH("L3", SpellHeader, 0), 0) - VLOOKUP($A82, INDIRECT($C$22&amp;I$118), MATCH("L2", SpellHeader, 0), 0)))) + $C$36, 0) * IF(VLOOKUP($A82, INDIRECT($C$22&amp;I$118), MATCH("Max N", SpellHeader, 0), 0) &gt; 1, $C$58, 1))</f>
        <v>252</v>
      </c>
    </row>
    <row r="83" spans="1:9" x14ac:dyDescent="0.2">
      <c r="A83" t="s">
        <v>280</v>
      </c>
      <c r="B83" s="3">
        <f t="shared" ca="1" si="5"/>
        <v>584</v>
      </c>
      <c r="C83" s="3">
        <f t="shared" ca="1" si="5"/>
        <v>589</v>
      </c>
      <c r="D83" s="3">
        <f t="shared" ca="1" si="5"/>
        <v>595</v>
      </c>
      <c r="E83" s="3">
        <f t="shared" ca="1" si="5"/>
        <v>601</v>
      </c>
      <c r="F83" s="3">
        <f t="shared" ca="1" si="5"/>
        <v>607</v>
      </c>
      <c r="G83" s="3">
        <f t="shared" ca="1" si="5"/>
        <v>613</v>
      </c>
      <c r="H83" s="3">
        <f t="shared" ca="1" si="6"/>
        <v>382</v>
      </c>
      <c r="I83" s="3">
        <f t="shared" ca="1" si="7"/>
        <v>252</v>
      </c>
    </row>
    <row r="84" spans="1:9" x14ac:dyDescent="0.2">
      <c r="A84" t="s">
        <v>281</v>
      </c>
      <c r="B84" s="3">
        <f t="shared" ca="1" si="5"/>
        <v>775</v>
      </c>
      <c r="C84" s="3">
        <f t="shared" ca="1" si="5"/>
        <v>785</v>
      </c>
      <c r="D84" s="3">
        <f t="shared" ca="1" si="5"/>
        <v>796</v>
      </c>
      <c r="E84" s="3">
        <f t="shared" ca="1" si="5"/>
        <v>807</v>
      </c>
      <c r="F84" s="3">
        <f t="shared" ca="1" si="5"/>
        <v>818</v>
      </c>
      <c r="G84" s="3">
        <f t="shared" ca="1" si="5"/>
        <v>829</v>
      </c>
      <c r="H84" s="3">
        <f t="shared" ca="1" si="6"/>
        <v>517</v>
      </c>
      <c r="I84" s="3">
        <f t="shared" ca="1" si="7"/>
        <v>252</v>
      </c>
    </row>
    <row r="85" spans="1:9" x14ac:dyDescent="0.2">
      <c r="A85" t="s">
        <v>282</v>
      </c>
      <c r="B85" s="3">
        <f t="shared" ca="1" si="5"/>
        <v>1066</v>
      </c>
      <c r="C85" s="3">
        <f t="shared" ca="1" si="5"/>
        <v>1086</v>
      </c>
      <c r="D85" s="3">
        <f t="shared" ca="1" si="5"/>
        <v>1107</v>
      </c>
      <c r="E85" s="3">
        <f t="shared" ca="1" si="5"/>
        <v>1133</v>
      </c>
      <c r="F85" s="3">
        <f t="shared" ca="1" si="5"/>
        <v>1154</v>
      </c>
      <c r="G85" s="3">
        <f t="shared" ca="1" si="5"/>
        <v>1175</v>
      </c>
      <c r="H85" s="3">
        <f t="shared" ca="1" si="6"/>
        <v>252</v>
      </c>
      <c r="I85" s="3">
        <f t="shared" ca="1" si="7"/>
        <v>252</v>
      </c>
    </row>
    <row r="86" spans="1:9" x14ac:dyDescent="0.2">
      <c r="A86" t="s">
        <v>283</v>
      </c>
      <c r="B86" s="3">
        <f t="shared" ca="1" si="5"/>
        <v>1407</v>
      </c>
      <c r="C86" s="3">
        <f t="shared" ca="1" si="5"/>
        <v>1426</v>
      </c>
      <c r="D86" s="3">
        <f t="shared" ca="1" si="5"/>
        <v>1446</v>
      </c>
      <c r="E86" s="3">
        <f t="shared" ca="1" si="5"/>
        <v>1465</v>
      </c>
      <c r="F86" s="3">
        <f t="shared" ca="1" si="5"/>
        <v>1486</v>
      </c>
      <c r="G86" s="3">
        <f t="shared" ca="1" si="5"/>
        <v>1505</v>
      </c>
      <c r="H86" s="3">
        <f t="shared" ca="1" si="6"/>
        <v>252</v>
      </c>
      <c r="I86" s="3">
        <f t="shared" ca="1" si="7"/>
        <v>252</v>
      </c>
    </row>
    <row r="87" spans="1:9" x14ac:dyDescent="0.2">
      <c r="A87" t="s">
        <v>284</v>
      </c>
      <c r="B87" s="3">
        <f t="shared" ca="1" si="5"/>
        <v>544</v>
      </c>
      <c r="C87" s="3">
        <f t="shared" ca="1" si="5"/>
        <v>549</v>
      </c>
      <c r="D87" s="3">
        <f t="shared" ca="1" si="5"/>
        <v>555</v>
      </c>
      <c r="E87" s="3">
        <f t="shared" ca="1" si="5"/>
        <v>561</v>
      </c>
      <c r="F87" s="3">
        <f t="shared" ca="1" si="5"/>
        <v>587</v>
      </c>
      <c r="G87" s="3">
        <f t="shared" ca="1" si="5"/>
        <v>613</v>
      </c>
      <c r="H87" s="3">
        <f t="shared" ca="1" si="6"/>
        <v>347</v>
      </c>
      <c r="I87" s="3">
        <f t="shared" ca="1" si="7"/>
        <v>252</v>
      </c>
    </row>
    <row r="88" spans="1:9" x14ac:dyDescent="0.2">
      <c r="A88" t="s">
        <v>285</v>
      </c>
      <c r="B88" s="3">
        <f t="shared" ca="1" si="5"/>
        <v>825</v>
      </c>
      <c r="C88" s="3">
        <f t="shared" ca="1" si="5"/>
        <v>835</v>
      </c>
      <c r="D88" s="3">
        <f t="shared" ca="1" si="5"/>
        <v>846</v>
      </c>
      <c r="E88" s="3">
        <f t="shared" ca="1" si="5"/>
        <v>857</v>
      </c>
      <c r="F88" s="3">
        <f t="shared" ca="1" si="5"/>
        <v>868</v>
      </c>
      <c r="G88" s="3">
        <f t="shared" ca="1" si="5"/>
        <v>879</v>
      </c>
      <c r="H88" s="3">
        <f t="shared" ca="1" si="6"/>
        <v>477</v>
      </c>
      <c r="I88" s="3">
        <f t="shared" ca="1" si="7"/>
        <v>252</v>
      </c>
    </row>
    <row r="89" spans="1:9" x14ac:dyDescent="0.2">
      <c r="A89" t="s">
        <v>286</v>
      </c>
      <c r="B89" s="3">
        <f t="shared" ca="1" si="5"/>
        <v>1166</v>
      </c>
      <c r="C89" s="3">
        <f t="shared" ca="1" si="5"/>
        <v>1186</v>
      </c>
      <c r="D89" s="3">
        <f t="shared" ca="1" si="5"/>
        <v>1207</v>
      </c>
      <c r="E89" s="3">
        <f t="shared" ca="1" si="5"/>
        <v>1233</v>
      </c>
      <c r="F89" s="3">
        <f t="shared" ca="1" si="5"/>
        <v>1254</v>
      </c>
      <c r="G89" s="3">
        <f t="shared" ca="1" si="5"/>
        <v>1275</v>
      </c>
      <c r="H89" s="3">
        <f t="shared" ca="1" si="6"/>
        <v>252</v>
      </c>
      <c r="I89" s="3">
        <f t="shared" ca="1" si="7"/>
        <v>252</v>
      </c>
    </row>
    <row r="90" spans="1:9" x14ac:dyDescent="0.2">
      <c r="A90" t="s">
        <v>287</v>
      </c>
      <c r="B90" s="3">
        <f t="shared" ca="1" si="5"/>
        <v>1507</v>
      </c>
      <c r="C90" s="3">
        <f t="shared" ca="1" si="5"/>
        <v>1526</v>
      </c>
      <c r="D90" s="3">
        <f t="shared" ca="1" si="5"/>
        <v>1546</v>
      </c>
      <c r="E90" s="3">
        <f t="shared" ca="1" si="5"/>
        <v>1566</v>
      </c>
      <c r="F90" s="3">
        <f t="shared" ca="1" si="5"/>
        <v>1586</v>
      </c>
      <c r="G90" s="3">
        <f t="shared" ca="1" si="5"/>
        <v>1605</v>
      </c>
      <c r="H90" s="3">
        <f t="shared" ca="1" si="6"/>
        <v>252</v>
      </c>
      <c r="I90" s="3">
        <f ca="1">(C33*C52 + C27*C53 + C36*C55)</f>
        <v>2034.0003999999999</v>
      </c>
    </row>
    <row r="91" spans="1:9" x14ac:dyDescent="0.2">
      <c r="A91" t="s">
        <v>617</v>
      </c>
      <c r="B91" s="3">
        <f ca="1">(TRUNC($C$46*11/10 + $C$44*6/10 + $C$45*11/20) + $C$36) * IF(Setup!$G$15="Initial", 1, $C$48)</f>
        <v>398</v>
      </c>
      <c r="C91" s="3">
        <f ca="1">(TRUNC($C$46*11/10 + $C$44*6/10 + $C$45*11/20) + $C$36) * IF(Setup!$G$15="Initial", 1, $C$48)</f>
        <v>398</v>
      </c>
      <c r="D91" s="3">
        <f ca="1">(TRUNC($C$46*11/10 + $C$44*6/10 + $C$45*11/20) + $C$36) * IF(Setup!$G$15="Initial", 1, $C$48)</f>
        <v>398</v>
      </c>
      <c r="E91" s="3">
        <f ca="1">(TRUNC($C$46*11/10 + $C$44*6/10 + $C$45*11/20) + $C$36) * IF(Setup!$G$15="Initial", 1, $C$48)</f>
        <v>398</v>
      </c>
      <c r="F91" s="3">
        <f ca="1">(TRUNC($C$46*11/10 + $C$44*6/10 + $C$45*11/20) + $C$36) * IF(Setup!$G$15="Initial", 1, $C$48)</f>
        <v>398</v>
      </c>
      <c r="G91" s="3">
        <f ca="1">(TRUNC($C$46*11/10 + $C$44*6/10 + $C$45*11/20) + $C$36) * IF(Setup!$G$15="Initial", 1, $C$48)</f>
        <v>398</v>
      </c>
      <c r="H91" s="3">
        <f t="shared" ca="1" si="6"/>
        <v>252</v>
      </c>
      <c r="I91" s="3">
        <f ca="1">TRUNC(FLOOR(0.067*$B$1, 0.1) * (37 + TRUNC(0.67*MIN(C38, 300))))</f>
        <v>640</v>
      </c>
    </row>
    <row r="92" spans="1:9" x14ac:dyDescent="0.2">
      <c r="A92" t="s">
        <v>289</v>
      </c>
      <c r="B92" s="3">
        <f t="shared" ref="B92:G95" ca="1" si="8">TRUNC(MAX(TRUNC(VLOOKUP($A92, INDIRECT($C$22&amp;B$118), MATCH("V", SpellHeader, 0), 0) + $C$39 + TRUNC(VLOOKUP($A92, INDIRECT($C$22&amp;B$118), MATCH("M1", SpellHeader, 0), 0) * MAX(0, MIN($C$38, VLOOKUP($A92, INDIRECT($C$22&amp;B$118), MATCH("L1", SpellHeader, 0), 0)))) + TRUNC(VLOOKUP($A92, INDIRECT($C$22&amp;B$118), MATCH("M2", SpellHeader, 0), 0) * MIN(MAX($C$38 - VLOOKUP($A92, INDIRECT($C$22&amp;B$118), MATCH("L1", SpellHeader, 0), 0), 0), VLOOKUP($A92, INDIRECT($C$22&amp;B$118), MATCH("L2", SpellHeader, 0), 0) - VLOOKUP($A92, INDIRECT($C$22&amp;B$118), MATCH("L1", SpellHeader, 0), 0))) + TRUNC(VLOOKUP($A92, INDIRECT($C$22&amp;B$118), MATCH("M3", SpellHeader, 0), 0) * MIN(MAX($C$38 - VLOOKUP($A92, INDIRECT($C$22&amp;B$118), MATCH("L2", SpellHeader, 0), 0), 0), VLOOKUP($A92, INDIRECT($C$22&amp;B$118), MATCH("L3", SpellHeader, 0), 0) - VLOOKUP($A92, INDIRECT($C$22&amp;B$118), MATCH("L2", SpellHeader, 0), 0)))) + $C$36, 0) * IF(VLOOKUP($A92, INDIRECT($C$22&amp;B$118), MATCH("Max N", SpellHeader, 0), 0) &gt; 1, $C$58, 1))</f>
        <v>634</v>
      </c>
      <c r="C92" s="3">
        <f t="shared" ca="1" si="8"/>
        <v>649</v>
      </c>
      <c r="D92" s="3">
        <f t="shared" ca="1" si="8"/>
        <v>665</v>
      </c>
      <c r="E92" s="3">
        <f t="shared" ca="1" si="8"/>
        <v>681</v>
      </c>
      <c r="F92" s="3">
        <f t="shared" ca="1" si="8"/>
        <v>697</v>
      </c>
      <c r="G92" s="3">
        <f t="shared" ca="1" si="8"/>
        <v>713</v>
      </c>
      <c r="H92" s="3">
        <f t="shared" ca="1" si="6"/>
        <v>252</v>
      </c>
      <c r="I92" s="3">
        <f ca="1">TRUNC(MAX(TRUNC(VLOOKUP($A92, INDIRECT($C$22&amp;I$118), MATCH("V", SpellHeader, 0), 0) + $C$39 + TRUNC(VLOOKUP($A92, INDIRECT($C$22&amp;I$118), MATCH("M1", SpellHeader, 0), 0) * MAX(0, MIN($C$38, VLOOKUP($A92, INDIRECT($C$22&amp;I$118), MATCH("L1", SpellHeader, 0), 0)))) + TRUNC(VLOOKUP($A92, INDIRECT($C$22&amp;I$118), MATCH("M2", SpellHeader, 0), 0) * MIN(MAX($C$38 - VLOOKUP($A92, INDIRECT($C$22&amp;I$118), MATCH("L1", SpellHeader, 0), 0), 0), VLOOKUP($A92, INDIRECT($C$22&amp;I$118), MATCH("L2", SpellHeader, 0), 0) - VLOOKUP($A92, INDIRECT($C$22&amp;I$118), MATCH("L1", SpellHeader, 0), 0))) + TRUNC(VLOOKUP($A92, INDIRECT($C$22&amp;I$118), MATCH("M3", SpellHeader, 0), 0) * MIN(MAX($C$38 - VLOOKUP($A92, INDIRECT($C$22&amp;I$118), MATCH("L2", SpellHeader, 0), 0), 0), VLOOKUP($A92, INDIRECT($C$22&amp;I$118), MATCH("L3", SpellHeader, 0), 0) - VLOOKUP($A92, INDIRECT($C$22&amp;I$118), MATCH("L2", SpellHeader, 0), 0)))) + $C$36, 0) * IF(VLOOKUP($A92, INDIRECT($C$22&amp;I$118), MATCH("Max N", SpellHeader, 0), 0) &gt; 1, $C$58, 1))</f>
        <v>252</v>
      </c>
    </row>
    <row r="93" spans="1:9" x14ac:dyDescent="0.2">
      <c r="A93" t="s">
        <v>298</v>
      </c>
      <c r="B93" s="3">
        <f t="shared" ca="1" si="8"/>
        <v>925</v>
      </c>
      <c r="C93" s="3">
        <f t="shared" ca="1" si="8"/>
        <v>945</v>
      </c>
      <c r="D93" s="3">
        <f t="shared" ca="1" si="8"/>
        <v>966</v>
      </c>
      <c r="E93" s="3">
        <f t="shared" ca="1" si="8"/>
        <v>987</v>
      </c>
      <c r="F93" s="3">
        <f t="shared" ca="1" si="8"/>
        <v>1008</v>
      </c>
      <c r="G93" s="3">
        <f t="shared" ca="1" si="8"/>
        <v>1029</v>
      </c>
      <c r="H93" s="3">
        <f t="shared" ca="1" si="6"/>
        <v>252</v>
      </c>
      <c r="I93" s="3">
        <f ca="1">TRUNC(MAX(TRUNC(VLOOKUP($A93, INDIRECT($C$22&amp;I$118), MATCH("V", SpellHeader, 0), 0) + $C$39 + TRUNC(VLOOKUP($A93, INDIRECT($C$22&amp;I$118), MATCH("M1", SpellHeader, 0), 0) * MAX(0, MIN($C$38, VLOOKUP($A93, INDIRECT($C$22&amp;I$118), MATCH("L1", SpellHeader, 0), 0)))) + TRUNC(VLOOKUP($A93, INDIRECT($C$22&amp;I$118), MATCH("M2", SpellHeader, 0), 0) * MIN(MAX($C$38 - VLOOKUP($A93, INDIRECT($C$22&amp;I$118), MATCH("L1", SpellHeader, 0), 0), 0), VLOOKUP($A93, INDIRECT($C$22&amp;I$118), MATCH("L2", SpellHeader, 0), 0) - VLOOKUP($A93, INDIRECT($C$22&amp;I$118), MATCH("L1", SpellHeader, 0), 0))) + TRUNC(VLOOKUP($A93, INDIRECT($C$22&amp;I$118), MATCH("M3", SpellHeader, 0), 0) * MIN(MAX($C$38 - VLOOKUP($A93, INDIRECT($C$22&amp;I$118), MATCH("L2", SpellHeader, 0), 0), 0), VLOOKUP($A93, INDIRECT($C$22&amp;I$118), MATCH("L3", SpellHeader, 0), 0) - VLOOKUP($A93, INDIRECT($C$22&amp;I$118), MATCH("L2", SpellHeader, 0), 0)))) + $C$36, 0) * IF(VLOOKUP($A93, INDIRECT($C$22&amp;I$118), MATCH("Max N", SpellHeader, 0), 0) &gt; 1, $C$58, 1))</f>
        <v>252</v>
      </c>
    </row>
    <row r="94" spans="1:9" x14ac:dyDescent="0.2">
      <c r="A94" t="s">
        <v>288</v>
      </c>
      <c r="B94" s="3">
        <f t="shared" ca="1" si="8"/>
        <v>1134</v>
      </c>
      <c r="C94" s="3">
        <f t="shared" ca="1" si="8"/>
        <v>1134</v>
      </c>
      <c r="D94" s="3">
        <f t="shared" ca="1" si="8"/>
        <v>1134</v>
      </c>
      <c r="E94" s="3">
        <f t="shared" ca="1" si="8"/>
        <v>1134</v>
      </c>
      <c r="F94" s="3">
        <f t="shared" ca="1" si="8"/>
        <v>1134</v>
      </c>
      <c r="G94" s="3">
        <f t="shared" ca="1" si="8"/>
        <v>1134</v>
      </c>
      <c r="H94" s="3">
        <f t="shared" ca="1" si="6"/>
        <v>422</v>
      </c>
      <c r="I94" s="3">
        <f ca="1">TRUNC(MAX(TRUNC(VLOOKUP($A94, INDIRECT($C$22&amp;I$118), MATCH("V", SpellHeader, 0), 0) + $C$39 + TRUNC(VLOOKUP($A94, INDIRECT($C$22&amp;I$118), MATCH("M1", SpellHeader, 0), 0) * MAX(0, MIN($C$38, VLOOKUP($A94, INDIRECT($C$22&amp;I$118), MATCH("L1", SpellHeader, 0), 0)))) + TRUNC(VLOOKUP($A94, INDIRECT($C$22&amp;I$118), MATCH("M2", SpellHeader, 0), 0) * MIN(MAX($C$38 - VLOOKUP($A94, INDIRECT($C$22&amp;I$118), MATCH("L1", SpellHeader, 0), 0), 0), VLOOKUP($A94, INDIRECT($C$22&amp;I$118), MATCH("L2", SpellHeader, 0), 0) - VLOOKUP($A94, INDIRECT($C$22&amp;I$118), MATCH("L1", SpellHeader, 0), 0))) + TRUNC(VLOOKUP($A94, INDIRECT($C$22&amp;I$118), MATCH("M3", SpellHeader, 0), 0) * MIN(MAX($C$38 - VLOOKUP($A94, INDIRECT($C$22&amp;I$118), MATCH("L2", SpellHeader, 0), 0), 0), VLOOKUP($A94, INDIRECT($C$22&amp;I$118), MATCH("L3", SpellHeader, 0), 0) - VLOOKUP($A94, INDIRECT($C$22&amp;I$118), MATCH("L2", SpellHeader, 0), 0)))) + $C$36, 0) * IF(VLOOKUP($A94, INDIRECT($C$22&amp;I$118), MATCH("Max N", SpellHeader, 0), 0) &gt; 1, $C$58, 1))</f>
        <v>1134</v>
      </c>
    </row>
    <row r="95" spans="1:9" x14ac:dyDescent="0.2">
      <c r="A95" t="s">
        <v>299</v>
      </c>
      <c r="B95" s="3">
        <f t="shared" ca="1" si="8"/>
        <v>1234</v>
      </c>
      <c r="C95" s="3">
        <f t="shared" ca="1" si="8"/>
        <v>1234</v>
      </c>
      <c r="D95" s="3">
        <f t="shared" ca="1" si="8"/>
        <v>1234</v>
      </c>
      <c r="E95" s="3">
        <f t="shared" ca="1" si="8"/>
        <v>1234</v>
      </c>
      <c r="F95" s="3">
        <f t="shared" ca="1" si="8"/>
        <v>1234</v>
      </c>
      <c r="G95" s="3">
        <f t="shared" ca="1" si="8"/>
        <v>1234</v>
      </c>
      <c r="H95" s="3">
        <f t="shared" ca="1" si="6"/>
        <v>592</v>
      </c>
      <c r="I95" s="3">
        <f ca="1">TRUNC(MAX(TRUNC(VLOOKUP($A95, INDIRECT($C$22&amp;I$118), MATCH("V", SpellHeader, 0), 0) + $C$39 + TRUNC(VLOOKUP($A95, INDIRECT($C$22&amp;I$118), MATCH("M1", SpellHeader, 0), 0) * MAX(0, MIN($C$38, VLOOKUP($A95, INDIRECT($C$22&amp;I$118), MATCH("L1", SpellHeader, 0), 0)))) + TRUNC(VLOOKUP($A95, INDIRECT($C$22&amp;I$118), MATCH("M2", SpellHeader, 0), 0) * MIN(MAX($C$38 - VLOOKUP($A95, INDIRECT($C$22&amp;I$118), MATCH("L1", SpellHeader, 0), 0), 0), VLOOKUP($A95, INDIRECT($C$22&amp;I$118), MATCH("L2", SpellHeader, 0), 0) - VLOOKUP($A95, INDIRECT($C$22&amp;I$118), MATCH("L1", SpellHeader, 0), 0))) + TRUNC(VLOOKUP($A95, INDIRECT($C$22&amp;I$118), MATCH("M3", SpellHeader, 0), 0) * MIN(MAX($C$38 - VLOOKUP($A95, INDIRECT($C$22&amp;I$118), MATCH("L2", SpellHeader, 0), 0), 0), VLOOKUP($A95, INDIRECT($C$22&amp;I$118), MATCH("L3", SpellHeader, 0), 0) - VLOOKUP($A95, INDIRECT($C$22&amp;I$118), MATCH("L2", SpellHeader, 0), 0)))) + $C$36, 0) * IF(VLOOKUP($A95, INDIRECT($C$22&amp;I$118), MATCH("Max N", SpellHeader, 0), 0) &gt; 1, $C$58, 1))</f>
        <v>1605</v>
      </c>
    </row>
    <row r="96" spans="1:9" x14ac:dyDescent="0.2">
      <c r="A96" s="13"/>
      <c r="B96" s="3"/>
      <c r="C96" s="3"/>
    </row>
    <row r="97" spans="1:10" x14ac:dyDescent="0.2">
      <c r="A97" s="13"/>
      <c r="B97" s="3"/>
      <c r="C97" s="3"/>
    </row>
    <row r="98" spans="1:10" x14ac:dyDescent="0.2">
      <c r="A98" s="13" t="s">
        <v>335</v>
      </c>
    </row>
    <row r="100" spans="1:10" x14ac:dyDescent="0.2">
      <c r="A100" s="8" t="s">
        <v>305</v>
      </c>
      <c r="B100" s="8" t="s">
        <v>278</v>
      </c>
      <c r="C100" s="8" t="s">
        <v>290</v>
      </c>
      <c r="D100" s="14" t="s">
        <v>291</v>
      </c>
      <c r="E100" s="14" t="s">
        <v>292</v>
      </c>
      <c r="F100" s="14" t="s">
        <v>293</v>
      </c>
      <c r="G100" s="14" t="s">
        <v>294</v>
      </c>
      <c r="H100" s="77" t="s">
        <v>644</v>
      </c>
      <c r="I100" s="77" t="s">
        <v>645</v>
      </c>
    </row>
    <row r="101" spans="1:10" x14ac:dyDescent="0.2">
      <c r="A101" t="s">
        <v>279</v>
      </c>
      <c r="B101" s="3">
        <f t="shared" ref="B101:G109" ca="1" si="9">TRUNC(MAX(TRUNC(VLOOKUP($A101, INDIRECT($B$22&amp;B$100), MATCH("V", SpellHeader, 0), 0) + $B$39 + TRUNC(VLOOKUP($A101, INDIRECT($B$22&amp;B$100), MATCH("M1", SpellHeader, 0), 0) * MAX(0, MIN($B$38, VLOOKUP($A101, INDIRECT($B$22&amp;B$100), MATCH("L1", SpellHeader, 0), 0)))) + TRUNC(VLOOKUP($A101, INDIRECT($B$22&amp;B$100), MATCH("M2", SpellHeader, 0), 0) * MIN(MAX($B$38 - VLOOKUP($A101, INDIRECT($B$22&amp;B$100), MATCH("L1", SpellHeader, 0), 0), 0), VLOOKUP($A101, INDIRECT($B$22&amp;B$100), MATCH("L2", SpellHeader, 0), 0) - VLOOKUP($A101, INDIRECT($B$22&amp;B$100), MATCH("L1", SpellHeader, 0), 0))) + TRUNC(VLOOKUP($A101, INDIRECT($B$22&amp;B$100), MATCH("M3", SpellHeader, 0), 0) * MIN(MAX($B$38 - VLOOKUP($A101, INDIRECT($B$22&amp;B$100), MATCH("L2", SpellHeader, 0), 0), 0), VLOOKUP($A101, INDIRECT($B$22&amp;B$100), MATCH("L3", SpellHeader, 0), 0) - VLOOKUP($A101, INDIRECT($B$22&amp;B$100), MATCH("L2", SpellHeader, 0), 0)))) + $B$36, 0) * IF(VLOOKUP($A101, INDIRECT($B$22&amp;B$100), MATCH("Max N", SpellHeader, 0), 0) &gt; 1, $B$58, 1))</f>
        <v>417</v>
      </c>
      <c r="C101" s="3">
        <f t="shared" ca="1" si="9"/>
        <v>422</v>
      </c>
      <c r="D101" s="3">
        <f t="shared" ca="1" si="9"/>
        <v>427</v>
      </c>
      <c r="E101" s="3">
        <f t="shared" ca="1" si="9"/>
        <v>432</v>
      </c>
      <c r="F101" s="3">
        <f t="shared" ca="1" si="9"/>
        <v>437</v>
      </c>
      <c r="G101" s="3">
        <f t="shared" ca="1" si="9"/>
        <v>442</v>
      </c>
      <c r="H101" s="3">
        <f t="shared" ref="H101:I114" ca="1" si="10">IF(VLOOKUP($A101, INDIRECT($B$22&amp;H$100), MATCH("V", SpellHeader, 0), 0) &gt; 0, H64, 0)</f>
        <v>315</v>
      </c>
      <c r="I101" s="3">
        <f t="shared" ca="1" si="10"/>
        <v>0</v>
      </c>
    </row>
    <row r="102" spans="1:10" x14ac:dyDescent="0.2">
      <c r="A102" t="s">
        <v>280</v>
      </c>
      <c r="B102" s="3">
        <f t="shared" ca="1" si="9"/>
        <v>598</v>
      </c>
      <c r="C102" s="3">
        <f t="shared" ca="1" si="9"/>
        <v>603</v>
      </c>
      <c r="D102" s="3">
        <f t="shared" ca="1" si="9"/>
        <v>609</v>
      </c>
      <c r="E102" s="3">
        <f t="shared" ca="1" si="9"/>
        <v>615</v>
      </c>
      <c r="F102" s="3">
        <f t="shared" ca="1" si="9"/>
        <v>621</v>
      </c>
      <c r="G102" s="3">
        <f t="shared" ca="1" si="9"/>
        <v>627</v>
      </c>
      <c r="H102" s="3">
        <f t="shared" ca="1" si="10"/>
        <v>396</v>
      </c>
      <c r="I102" s="3">
        <f t="shared" ca="1" si="10"/>
        <v>0</v>
      </c>
    </row>
    <row r="103" spans="1:10" x14ac:dyDescent="0.2">
      <c r="A103" t="s">
        <v>281</v>
      </c>
      <c r="B103" s="3">
        <f t="shared" ca="1" si="9"/>
        <v>789</v>
      </c>
      <c r="C103" s="3">
        <f t="shared" ca="1" si="9"/>
        <v>799</v>
      </c>
      <c r="D103" s="3">
        <f t="shared" ca="1" si="9"/>
        <v>810</v>
      </c>
      <c r="E103" s="3">
        <f t="shared" ca="1" si="9"/>
        <v>821</v>
      </c>
      <c r="F103" s="3">
        <f t="shared" ca="1" si="9"/>
        <v>832</v>
      </c>
      <c r="G103" s="3">
        <f t="shared" ca="1" si="9"/>
        <v>843</v>
      </c>
      <c r="H103" s="3">
        <f t="shared" ca="1" si="10"/>
        <v>531</v>
      </c>
      <c r="I103" s="3">
        <f t="shared" ca="1" si="10"/>
        <v>0</v>
      </c>
      <c r="J103" s="3"/>
    </row>
    <row r="104" spans="1:10" x14ac:dyDescent="0.2">
      <c r="A104" t="s">
        <v>282</v>
      </c>
      <c r="B104" s="3">
        <f t="shared" ca="1" si="9"/>
        <v>1080</v>
      </c>
      <c r="C104" s="3">
        <f t="shared" ca="1" si="9"/>
        <v>1100</v>
      </c>
      <c r="D104" s="3">
        <f t="shared" ca="1" si="9"/>
        <v>1121</v>
      </c>
      <c r="E104" s="3">
        <f t="shared" ca="1" si="9"/>
        <v>1147</v>
      </c>
      <c r="F104" s="3">
        <f t="shared" ca="1" si="9"/>
        <v>1168</v>
      </c>
      <c r="G104" s="3">
        <f t="shared" ca="1" si="9"/>
        <v>1189</v>
      </c>
      <c r="H104" s="3">
        <f t="shared" ca="1" si="10"/>
        <v>0</v>
      </c>
      <c r="I104" s="3">
        <f t="shared" ca="1" si="10"/>
        <v>0</v>
      </c>
    </row>
    <row r="105" spans="1:10" x14ac:dyDescent="0.2">
      <c r="A105" t="s">
        <v>283</v>
      </c>
      <c r="B105" s="3">
        <f t="shared" ca="1" si="9"/>
        <v>1421</v>
      </c>
      <c r="C105" s="3">
        <f t="shared" ca="1" si="9"/>
        <v>1440</v>
      </c>
      <c r="D105" s="3">
        <f t="shared" ca="1" si="9"/>
        <v>1460</v>
      </c>
      <c r="E105" s="3">
        <f t="shared" ca="1" si="9"/>
        <v>1479</v>
      </c>
      <c r="F105" s="3">
        <f t="shared" ca="1" si="9"/>
        <v>1500</v>
      </c>
      <c r="G105" s="3">
        <f t="shared" ca="1" si="9"/>
        <v>1519</v>
      </c>
      <c r="H105" s="3">
        <f t="shared" ca="1" si="10"/>
        <v>0</v>
      </c>
      <c r="I105" s="3">
        <f t="shared" ca="1" si="10"/>
        <v>0</v>
      </c>
    </row>
    <row r="106" spans="1:10" x14ac:dyDescent="0.2">
      <c r="A106" t="s">
        <v>284</v>
      </c>
      <c r="B106" s="3">
        <f t="shared" ca="1" si="9"/>
        <v>558</v>
      </c>
      <c r="C106" s="3">
        <f t="shared" ca="1" si="9"/>
        <v>563</v>
      </c>
      <c r="D106" s="3">
        <f t="shared" ca="1" si="9"/>
        <v>569</v>
      </c>
      <c r="E106" s="3">
        <f t="shared" ca="1" si="9"/>
        <v>575</v>
      </c>
      <c r="F106" s="3">
        <f t="shared" ca="1" si="9"/>
        <v>601</v>
      </c>
      <c r="G106" s="3">
        <f t="shared" ca="1" si="9"/>
        <v>627</v>
      </c>
      <c r="H106" s="3">
        <f t="shared" ca="1" si="10"/>
        <v>361</v>
      </c>
      <c r="I106" s="3">
        <f t="shared" ca="1" si="10"/>
        <v>0</v>
      </c>
    </row>
    <row r="107" spans="1:10" x14ac:dyDescent="0.2">
      <c r="A107" t="s">
        <v>285</v>
      </c>
      <c r="B107" s="3">
        <f t="shared" ca="1" si="9"/>
        <v>839</v>
      </c>
      <c r="C107" s="3">
        <f t="shared" ca="1" si="9"/>
        <v>849</v>
      </c>
      <c r="D107" s="3">
        <f t="shared" ca="1" si="9"/>
        <v>860</v>
      </c>
      <c r="E107" s="3">
        <f t="shared" ca="1" si="9"/>
        <v>871</v>
      </c>
      <c r="F107" s="3">
        <f t="shared" ca="1" si="9"/>
        <v>882</v>
      </c>
      <c r="G107" s="3">
        <f t="shared" ca="1" si="9"/>
        <v>893</v>
      </c>
      <c r="H107" s="3">
        <f t="shared" ca="1" si="10"/>
        <v>491</v>
      </c>
      <c r="I107" s="3">
        <f t="shared" ca="1" si="10"/>
        <v>0</v>
      </c>
    </row>
    <row r="108" spans="1:10" x14ac:dyDescent="0.2">
      <c r="A108" t="s">
        <v>286</v>
      </c>
      <c r="B108" s="3">
        <f t="shared" ca="1" si="9"/>
        <v>1180</v>
      </c>
      <c r="C108" s="3">
        <f t="shared" ca="1" si="9"/>
        <v>1200</v>
      </c>
      <c r="D108" s="3">
        <f t="shared" ca="1" si="9"/>
        <v>1221</v>
      </c>
      <c r="E108" s="3">
        <f t="shared" ca="1" si="9"/>
        <v>1247</v>
      </c>
      <c r="F108" s="3">
        <f t="shared" ca="1" si="9"/>
        <v>1268</v>
      </c>
      <c r="G108" s="3">
        <f t="shared" ca="1" si="9"/>
        <v>1289</v>
      </c>
      <c r="H108" s="3">
        <f t="shared" ca="1" si="10"/>
        <v>0</v>
      </c>
      <c r="I108" s="3">
        <f t="shared" ca="1" si="10"/>
        <v>0</v>
      </c>
    </row>
    <row r="109" spans="1:10" x14ac:dyDescent="0.2">
      <c r="A109" t="s">
        <v>287</v>
      </c>
      <c r="B109" s="3">
        <f t="shared" ca="1" si="9"/>
        <v>1521</v>
      </c>
      <c r="C109" s="3">
        <f t="shared" ca="1" si="9"/>
        <v>1540</v>
      </c>
      <c r="D109" s="3">
        <f t="shared" ca="1" si="9"/>
        <v>1560</v>
      </c>
      <c r="E109" s="3">
        <f t="shared" ca="1" si="9"/>
        <v>1580</v>
      </c>
      <c r="F109" s="3">
        <f t="shared" ca="1" si="9"/>
        <v>1600</v>
      </c>
      <c r="G109" s="3">
        <f t="shared" ca="1" si="9"/>
        <v>1619</v>
      </c>
      <c r="H109" s="3">
        <f t="shared" ca="1" si="10"/>
        <v>0</v>
      </c>
      <c r="I109" s="3">
        <f t="shared" ca="1" si="10"/>
        <v>2069.1152000000002</v>
      </c>
    </row>
    <row r="110" spans="1:10" x14ac:dyDescent="0.2">
      <c r="A110" t="s">
        <v>617</v>
      </c>
      <c r="B110" s="3">
        <f ca="1">(TRUNC($B$46*11/10 + $B$44*6/10 + $B$45*11/20) + $B$36) * IF(Setup!$F$15="Initial", 1, $B$48)</f>
        <v>412</v>
      </c>
      <c r="C110" s="3">
        <f ca="1">(TRUNC($B$46*11/10 + $B$44*6/10 + $B$45*11/20) + $B$36) * IF(Setup!$F$15="Initial", 1, $B$48)</f>
        <v>412</v>
      </c>
      <c r="D110" s="3">
        <f ca="1">(TRUNC($B$46*11/10 + $B$44*6/10 + $B$45*11/20) + $B$36) * IF(Setup!$F$15="Initial", 1, $B$48)</f>
        <v>412</v>
      </c>
      <c r="E110" s="3">
        <f ca="1">(TRUNC($B$46*11/10 + $B$44*6/10 + $B$45*11/20) + $B$36) * IF(Setup!$F$15="Initial", 1, $B$48)</f>
        <v>412</v>
      </c>
      <c r="F110" s="3">
        <f ca="1">(TRUNC($B$46*11/10 + $B$44*6/10 + $B$45*11/20) + $B$36) * IF(Setup!$F$15="Initial", 1, $B$48)</f>
        <v>412</v>
      </c>
      <c r="G110" s="3">
        <f ca="1">(TRUNC($B$46*11/10 + $B$44*6/10 + $B$45*11/20) + $B$36) * IF(Setup!$F$15="Initial", 1, $B$48)</f>
        <v>412</v>
      </c>
      <c r="H110" s="3">
        <f t="shared" ca="1" si="10"/>
        <v>0</v>
      </c>
      <c r="I110" s="3">
        <f t="shared" ca="1" si="10"/>
        <v>640</v>
      </c>
    </row>
    <row r="111" spans="1:10" x14ac:dyDescent="0.2">
      <c r="A111" t="s">
        <v>289</v>
      </c>
      <c r="B111" s="3">
        <f t="shared" ref="B111:G114" ca="1" si="11">TRUNC(MAX(TRUNC(VLOOKUP($A111, INDIRECT($B$22&amp;B$100), MATCH("V", SpellHeader, 0), 0) + $B$39 + TRUNC(VLOOKUP($A111, INDIRECT($B$22&amp;B$100), MATCH("M1", SpellHeader, 0), 0) * MAX(0, MIN($B$38, VLOOKUP($A111, INDIRECT($B$22&amp;B$100), MATCH("L1", SpellHeader, 0), 0)))) + TRUNC(VLOOKUP($A111, INDIRECT($B$22&amp;B$100), MATCH("M2", SpellHeader, 0), 0) * MIN(MAX($B$38 - VLOOKUP($A111, INDIRECT($B$22&amp;B$100), MATCH("L1", SpellHeader, 0), 0), 0), VLOOKUP($A111, INDIRECT($B$22&amp;B$100), MATCH("L2", SpellHeader, 0), 0) - VLOOKUP($A111, INDIRECT($B$22&amp;B$100), MATCH("L1", SpellHeader, 0), 0))) + TRUNC(VLOOKUP($A111, INDIRECT($B$22&amp;B$100), MATCH("M3", SpellHeader, 0), 0) * MIN(MAX($B$38 - VLOOKUP($A111, INDIRECT($B$22&amp;B$100), MATCH("L2", SpellHeader, 0), 0), 0), VLOOKUP($A111, INDIRECT($B$22&amp;B$100), MATCH("L3", SpellHeader, 0), 0) - VLOOKUP($A111, INDIRECT($B$22&amp;B$100), MATCH("L2", SpellHeader, 0), 0)))) + $B$36, 0) * IF(VLOOKUP($A111, INDIRECT($B$22&amp;B$100), MATCH("Max N", SpellHeader, 0), 0) &gt; 1, $B$58, 1))</f>
        <v>648</v>
      </c>
      <c r="C111" s="3">
        <f t="shared" ca="1" si="11"/>
        <v>663</v>
      </c>
      <c r="D111" s="3">
        <f t="shared" ca="1" si="11"/>
        <v>679</v>
      </c>
      <c r="E111" s="3">
        <f t="shared" ca="1" si="11"/>
        <v>695</v>
      </c>
      <c r="F111" s="3">
        <f t="shared" ca="1" si="11"/>
        <v>711</v>
      </c>
      <c r="G111" s="3">
        <f t="shared" ca="1" si="11"/>
        <v>727</v>
      </c>
      <c r="H111" s="3">
        <f t="shared" ca="1" si="10"/>
        <v>0</v>
      </c>
      <c r="I111" s="3">
        <f t="shared" ca="1" si="10"/>
        <v>0</v>
      </c>
    </row>
    <row r="112" spans="1:10" x14ac:dyDescent="0.2">
      <c r="A112" t="s">
        <v>298</v>
      </c>
      <c r="B112" s="3">
        <f t="shared" ca="1" si="11"/>
        <v>939</v>
      </c>
      <c r="C112" s="3">
        <f t="shared" ca="1" si="11"/>
        <v>959</v>
      </c>
      <c r="D112" s="3">
        <f t="shared" ca="1" si="11"/>
        <v>980</v>
      </c>
      <c r="E112" s="3">
        <f t="shared" ca="1" si="11"/>
        <v>1001</v>
      </c>
      <c r="F112" s="3">
        <f t="shared" ca="1" si="11"/>
        <v>1022</v>
      </c>
      <c r="G112" s="3">
        <f t="shared" ca="1" si="11"/>
        <v>1043</v>
      </c>
      <c r="H112" s="3">
        <f t="shared" ca="1" si="10"/>
        <v>0</v>
      </c>
      <c r="I112" s="3">
        <f t="shared" ca="1" si="10"/>
        <v>0</v>
      </c>
    </row>
    <row r="113" spans="1:9" x14ac:dyDescent="0.2">
      <c r="A113" t="s">
        <v>288</v>
      </c>
      <c r="B113" s="3">
        <f t="shared" ca="1" si="11"/>
        <v>1148</v>
      </c>
      <c r="C113" s="3">
        <f t="shared" ca="1" si="11"/>
        <v>1148</v>
      </c>
      <c r="D113" s="3">
        <f t="shared" ca="1" si="11"/>
        <v>1148</v>
      </c>
      <c r="E113" s="3">
        <f t="shared" ca="1" si="11"/>
        <v>1148</v>
      </c>
      <c r="F113" s="3">
        <f t="shared" ca="1" si="11"/>
        <v>1148</v>
      </c>
      <c r="G113" s="3">
        <f t="shared" ca="1" si="11"/>
        <v>1148</v>
      </c>
      <c r="H113" s="3">
        <f t="shared" ca="1" si="10"/>
        <v>436</v>
      </c>
      <c r="I113" s="3">
        <f t="shared" ca="1" si="10"/>
        <v>1148</v>
      </c>
    </row>
    <row r="114" spans="1:9" x14ac:dyDescent="0.2">
      <c r="A114" t="s">
        <v>299</v>
      </c>
      <c r="B114" s="3">
        <f t="shared" ca="1" si="11"/>
        <v>1248</v>
      </c>
      <c r="C114" s="3">
        <f t="shared" ca="1" si="11"/>
        <v>1248</v>
      </c>
      <c r="D114" s="3">
        <f t="shared" ca="1" si="11"/>
        <v>1248</v>
      </c>
      <c r="E114" s="3">
        <f t="shared" ca="1" si="11"/>
        <v>1248</v>
      </c>
      <c r="F114" s="3">
        <f t="shared" ca="1" si="11"/>
        <v>1248</v>
      </c>
      <c r="G114" s="3">
        <f t="shared" ca="1" si="11"/>
        <v>1248</v>
      </c>
      <c r="H114" s="3">
        <f t="shared" ca="1" si="10"/>
        <v>606</v>
      </c>
      <c r="I114" s="3">
        <f t="shared" ca="1" si="10"/>
        <v>1619</v>
      </c>
    </row>
    <row r="116" spans="1:9" x14ac:dyDescent="0.2">
      <c r="A116" s="13" t="s">
        <v>336</v>
      </c>
    </row>
    <row r="118" spans="1:9" x14ac:dyDescent="0.2">
      <c r="A118" s="8" t="s">
        <v>305</v>
      </c>
      <c r="B118" s="8" t="s">
        <v>278</v>
      </c>
      <c r="C118" s="8" t="s">
        <v>290</v>
      </c>
      <c r="D118" s="14" t="s">
        <v>291</v>
      </c>
      <c r="E118" s="14" t="s">
        <v>292</v>
      </c>
      <c r="F118" s="14" t="s">
        <v>293</v>
      </c>
      <c r="G118" s="14" t="s">
        <v>294</v>
      </c>
      <c r="H118" s="77" t="s">
        <v>644</v>
      </c>
      <c r="I118" s="77" t="s">
        <v>645</v>
      </c>
    </row>
    <row r="119" spans="1:9" x14ac:dyDescent="0.2">
      <c r="A119" t="s">
        <v>279</v>
      </c>
      <c r="B119" s="3">
        <f t="shared" ref="B119:G127" ca="1" si="12">TRUNC(MAX(TRUNC(VLOOKUP($A119, INDIRECT($C$22&amp;B$118), MATCH("V", SpellHeader, 0), 0) + $C$39 + TRUNC(VLOOKUP($A119, INDIRECT($C$22&amp;B$118), MATCH("M1", SpellHeader, 0), 0) * MAX(0, MIN($C$38, VLOOKUP($A119, INDIRECT($C$22&amp;B$118), MATCH("L1", SpellHeader, 0), 0)))) + TRUNC(VLOOKUP($A119, INDIRECT($C$22&amp;B$118), MATCH("M2", SpellHeader, 0), 0) * MIN(MAX($C$38 - VLOOKUP($A119, INDIRECT($C$22&amp;B$118), MATCH("L1", SpellHeader, 0), 0), 0), VLOOKUP($A119, INDIRECT($C$22&amp;B$118), MATCH("L2", SpellHeader, 0), 0) - VLOOKUP($A119, INDIRECT($C$22&amp;B$118), MATCH("L1", SpellHeader, 0), 0))) + TRUNC(VLOOKUP($A119, INDIRECT($C$22&amp;B$118), MATCH("M3", SpellHeader, 0), 0) * MIN(MAX($C$38 - VLOOKUP($A119, INDIRECT($C$22&amp;B$118), MATCH("L2", SpellHeader, 0), 0), 0), VLOOKUP($A119, INDIRECT($C$22&amp;B$118), MATCH("L3", SpellHeader, 0), 0) - VLOOKUP($A119, INDIRECT($C$22&amp;B$118), MATCH("L2", SpellHeader, 0), 0)))) + $C$36, 0) * IF(VLOOKUP($A119, INDIRECT($C$22&amp;B$118), MATCH("Max N", SpellHeader, 0), 0) &gt; 1, $C$58, 1))</f>
        <v>403</v>
      </c>
      <c r="C119" s="3">
        <f t="shared" ca="1" si="12"/>
        <v>408</v>
      </c>
      <c r="D119" s="3">
        <f t="shared" ca="1" si="12"/>
        <v>413</v>
      </c>
      <c r="E119" s="3">
        <f t="shared" ca="1" si="12"/>
        <v>418</v>
      </c>
      <c r="F119" s="3">
        <f t="shared" ca="1" si="12"/>
        <v>423</v>
      </c>
      <c r="G119" s="3">
        <f t="shared" ca="1" si="12"/>
        <v>428</v>
      </c>
      <c r="H119" s="3">
        <f t="shared" ref="H119:I132" ca="1" si="13">IF(VLOOKUP($A119, INDIRECT($B$22&amp;H$118), MATCH("V", SpellHeader, 0), 0) &gt; 0, H82, 0)</f>
        <v>301</v>
      </c>
      <c r="I119" s="3">
        <f t="shared" ca="1" si="13"/>
        <v>0</v>
      </c>
    </row>
    <row r="120" spans="1:9" x14ac:dyDescent="0.2">
      <c r="A120" t="s">
        <v>280</v>
      </c>
      <c r="B120" s="3">
        <f t="shared" ca="1" si="12"/>
        <v>584</v>
      </c>
      <c r="C120" s="3">
        <f t="shared" ca="1" si="12"/>
        <v>589</v>
      </c>
      <c r="D120" s="3">
        <f t="shared" ca="1" si="12"/>
        <v>595</v>
      </c>
      <c r="E120" s="3">
        <f t="shared" ca="1" si="12"/>
        <v>601</v>
      </c>
      <c r="F120" s="3">
        <f t="shared" ca="1" si="12"/>
        <v>607</v>
      </c>
      <c r="G120" s="3">
        <f t="shared" ca="1" si="12"/>
        <v>613</v>
      </c>
      <c r="H120" s="3">
        <f t="shared" ca="1" si="13"/>
        <v>382</v>
      </c>
      <c r="I120" s="3">
        <f t="shared" ca="1" si="13"/>
        <v>0</v>
      </c>
    </row>
    <row r="121" spans="1:9" x14ac:dyDescent="0.2">
      <c r="A121" t="s">
        <v>281</v>
      </c>
      <c r="B121" s="3">
        <f t="shared" ca="1" si="12"/>
        <v>775</v>
      </c>
      <c r="C121" s="3">
        <f t="shared" ca="1" si="12"/>
        <v>785</v>
      </c>
      <c r="D121" s="3">
        <f t="shared" ca="1" si="12"/>
        <v>796</v>
      </c>
      <c r="E121" s="3">
        <f t="shared" ca="1" si="12"/>
        <v>807</v>
      </c>
      <c r="F121" s="3">
        <f t="shared" ca="1" si="12"/>
        <v>818</v>
      </c>
      <c r="G121" s="3">
        <f t="shared" ca="1" si="12"/>
        <v>829</v>
      </c>
      <c r="H121" s="3">
        <f t="shared" ca="1" si="13"/>
        <v>517</v>
      </c>
      <c r="I121" s="3">
        <f t="shared" ca="1" si="13"/>
        <v>0</v>
      </c>
    </row>
    <row r="122" spans="1:9" x14ac:dyDescent="0.2">
      <c r="A122" t="s">
        <v>282</v>
      </c>
      <c r="B122" s="3">
        <f t="shared" ca="1" si="12"/>
        <v>1066</v>
      </c>
      <c r="C122" s="3">
        <f t="shared" ca="1" si="12"/>
        <v>1086</v>
      </c>
      <c r="D122" s="3">
        <f t="shared" ca="1" si="12"/>
        <v>1107</v>
      </c>
      <c r="E122" s="3">
        <f t="shared" ca="1" si="12"/>
        <v>1133</v>
      </c>
      <c r="F122" s="3">
        <f t="shared" ca="1" si="12"/>
        <v>1154</v>
      </c>
      <c r="G122" s="3">
        <f t="shared" ca="1" si="12"/>
        <v>1175</v>
      </c>
      <c r="H122" s="3">
        <f t="shared" ca="1" si="13"/>
        <v>0</v>
      </c>
      <c r="I122" s="3">
        <f t="shared" ca="1" si="13"/>
        <v>0</v>
      </c>
    </row>
    <row r="123" spans="1:9" x14ac:dyDescent="0.2">
      <c r="A123" t="s">
        <v>283</v>
      </c>
      <c r="B123" s="3">
        <f t="shared" ca="1" si="12"/>
        <v>1407</v>
      </c>
      <c r="C123" s="3">
        <f t="shared" ca="1" si="12"/>
        <v>1426</v>
      </c>
      <c r="D123" s="3">
        <f t="shared" ca="1" si="12"/>
        <v>1446</v>
      </c>
      <c r="E123" s="3">
        <f t="shared" ca="1" si="12"/>
        <v>1465</v>
      </c>
      <c r="F123" s="3">
        <f t="shared" ca="1" si="12"/>
        <v>1486</v>
      </c>
      <c r="G123" s="3">
        <f t="shared" ca="1" si="12"/>
        <v>1505</v>
      </c>
      <c r="H123" s="3">
        <f t="shared" ca="1" si="13"/>
        <v>0</v>
      </c>
      <c r="I123" s="3">
        <f t="shared" ca="1" si="13"/>
        <v>0</v>
      </c>
    </row>
    <row r="124" spans="1:9" x14ac:dyDescent="0.2">
      <c r="A124" t="s">
        <v>284</v>
      </c>
      <c r="B124" s="3">
        <f t="shared" ca="1" si="12"/>
        <v>544</v>
      </c>
      <c r="C124" s="3">
        <f t="shared" ca="1" si="12"/>
        <v>549</v>
      </c>
      <c r="D124" s="3">
        <f t="shared" ca="1" si="12"/>
        <v>555</v>
      </c>
      <c r="E124" s="3">
        <f t="shared" ca="1" si="12"/>
        <v>561</v>
      </c>
      <c r="F124" s="3">
        <f t="shared" ca="1" si="12"/>
        <v>587</v>
      </c>
      <c r="G124" s="3">
        <f t="shared" ca="1" si="12"/>
        <v>613</v>
      </c>
      <c r="H124" s="3">
        <f t="shared" ca="1" si="13"/>
        <v>347</v>
      </c>
      <c r="I124" s="3">
        <f t="shared" ca="1" si="13"/>
        <v>0</v>
      </c>
    </row>
    <row r="125" spans="1:9" x14ac:dyDescent="0.2">
      <c r="A125" t="s">
        <v>285</v>
      </c>
      <c r="B125" s="3">
        <f t="shared" ca="1" si="12"/>
        <v>825</v>
      </c>
      <c r="C125" s="3">
        <f t="shared" ca="1" si="12"/>
        <v>835</v>
      </c>
      <c r="D125" s="3">
        <f t="shared" ca="1" si="12"/>
        <v>846</v>
      </c>
      <c r="E125" s="3">
        <f t="shared" ca="1" si="12"/>
        <v>857</v>
      </c>
      <c r="F125" s="3">
        <f t="shared" ca="1" si="12"/>
        <v>868</v>
      </c>
      <c r="G125" s="3">
        <f t="shared" ca="1" si="12"/>
        <v>879</v>
      </c>
      <c r="H125" s="3">
        <f t="shared" ca="1" si="13"/>
        <v>477</v>
      </c>
      <c r="I125" s="3">
        <f t="shared" ca="1" si="13"/>
        <v>0</v>
      </c>
    </row>
    <row r="126" spans="1:9" x14ac:dyDescent="0.2">
      <c r="A126" t="s">
        <v>286</v>
      </c>
      <c r="B126" s="3">
        <f t="shared" ca="1" si="12"/>
        <v>1166</v>
      </c>
      <c r="C126" s="3">
        <f t="shared" ca="1" si="12"/>
        <v>1186</v>
      </c>
      <c r="D126" s="3">
        <f t="shared" ca="1" si="12"/>
        <v>1207</v>
      </c>
      <c r="E126" s="3">
        <f t="shared" ca="1" si="12"/>
        <v>1233</v>
      </c>
      <c r="F126" s="3">
        <f t="shared" ca="1" si="12"/>
        <v>1254</v>
      </c>
      <c r="G126" s="3">
        <f t="shared" ca="1" si="12"/>
        <v>1275</v>
      </c>
      <c r="H126" s="3">
        <f t="shared" ca="1" si="13"/>
        <v>0</v>
      </c>
      <c r="I126" s="3">
        <f t="shared" ca="1" si="13"/>
        <v>0</v>
      </c>
    </row>
    <row r="127" spans="1:9" x14ac:dyDescent="0.2">
      <c r="A127" t="s">
        <v>287</v>
      </c>
      <c r="B127" s="3">
        <f t="shared" ca="1" si="12"/>
        <v>1507</v>
      </c>
      <c r="C127" s="3">
        <f t="shared" ca="1" si="12"/>
        <v>1526</v>
      </c>
      <c r="D127" s="3">
        <f t="shared" ca="1" si="12"/>
        <v>1546</v>
      </c>
      <c r="E127" s="3">
        <f t="shared" ca="1" si="12"/>
        <v>1566</v>
      </c>
      <c r="F127" s="3">
        <f t="shared" ca="1" si="12"/>
        <v>1586</v>
      </c>
      <c r="G127" s="3">
        <f t="shared" ca="1" si="12"/>
        <v>1605</v>
      </c>
      <c r="H127" s="3">
        <f t="shared" ca="1" si="13"/>
        <v>0</v>
      </c>
      <c r="I127" s="3">
        <f t="shared" ca="1" si="13"/>
        <v>2034.0003999999999</v>
      </c>
    </row>
    <row r="128" spans="1:9" x14ac:dyDescent="0.2">
      <c r="A128" t="s">
        <v>617</v>
      </c>
      <c r="B128" s="3">
        <f ca="1">(TRUNC($C$46*11/10 + $C$44*6/10 + $C$45*11/20) + $C$36) * IF(Setup!$G$15="Initial", 1, $C$48)</f>
        <v>398</v>
      </c>
      <c r="C128" s="3">
        <f ca="1">(TRUNC($C$46*11/10 + $C$44*6/10 + $C$45*11/20) + $C$36) * IF(Setup!$G$15="Initial", 1, $C$48)</f>
        <v>398</v>
      </c>
      <c r="D128" s="3">
        <f ca="1">(TRUNC($C$46*11/10 + $C$44*6/10 + $C$45*11/20) + $C$36) * IF(Setup!$G$15="Initial", 1, $C$48)</f>
        <v>398</v>
      </c>
      <c r="E128" s="3">
        <f ca="1">(TRUNC($C$46*11/10 + $C$44*6/10 + $C$45*11/20) + $C$36) * IF(Setup!$G$15="Initial", 1, $C$48)</f>
        <v>398</v>
      </c>
      <c r="F128" s="3">
        <f ca="1">(TRUNC($C$46*11/10 + $C$44*6/10 + $C$45*11/20) + $C$36) * IF(Setup!$G$15="Initial", 1, $C$48)</f>
        <v>398</v>
      </c>
      <c r="G128" s="3">
        <f ca="1">(TRUNC($C$46*11/10 + $C$44*6/10 + $C$45*11/20) + $C$36) * IF(Setup!$G$15="Initial", 1, $C$48)</f>
        <v>398</v>
      </c>
      <c r="H128" s="3">
        <f t="shared" ca="1" si="13"/>
        <v>0</v>
      </c>
      <c r="I128" s="3">
        <f t="shared" ca="1" si="13"/>
        <v>640</v>
      </c>
    </row>
    <row r="129" spans="1:9" x14ac:dyDescent="0.2">
      <c r="A129" t="s">
        <v>289</v>
      </c>
      <c r="B129" s="3">
        <f t="shared" ref="B129:G132" ca="1" si="14">TRUNC(MAX(TRUNC(VLOOKUP($A129, INDIRECT($C$22&amp;B$118), MATCH("V", SpellHeader, 0), 0) + $C$39 + TRUNC(VLOOKUP($A129, INDIRECT($C$22&amp;B$118), MATCH("M1", SpellHeader, 0), 0) * MAX(0, MIN($C$38, VLOOKUP($A129, INDIRECT($C$22&amp;B$118), MATCH("L1", SpellHeader, 0), 0)))) + TRUNC(VLOOKUP($A129, INDIRECT($C$22&amp;B$118), MATCH("M2", SpellHeader, 0), 0) * MIN(MAX($C$38 - VLOOKUP($A129, INDIRECT($C$22&amp;B$118), MATCH("L1", SpellHeader, 0), 0), 0), VLOOKUP($A129, INDIRECT($C$22&amp;B$118), MATCH("L2", SpellHeader, 0), 0) - VLOOKUP($A129, INDIRECT($C$22&amp;B$118), MATCH("L1", SpellHeader, 0), 0))) + TRUNC(VLOOKUP($A129, INDIRECT($C$22&amp;B$118), MATCH("M3", SpellHeader, 0), 0) * MIN(MAX($C$38 - VLOOKUP($A129, INDIRECT($C$22&amp;B$118), MATCH("L2", SpellHeader, 0), 0), 0), VLOOKUP($A129, INDIRECT($C$22&amp;B$118), MATCH("L3", SpellHeader, 0), 0) - VLOOKUP($A129, INDIRECT($C$22&amp;B$118), MATCH("L2", SpellHeader, 0), 0)))) + $C$36, 0) * IF(VLOOKUP($A129, INDIRECT($C$22&amp;B$118), MATCH("Max N", SpellHeader, 0), 0) &gt; 1, $C$58, 1))</f>
        <v>634</v>
      </c>
      <c r="C129" s="3">
        <f t="shared" ca="1" si="14"/>
        <v>649</v>
      </c>
      <c r="D129" s="3">
        <f t="shared" ca="1" si="14"/>
        <v>665</v>
      </c>
      <c r="E129" s="3">
        <f t="shared" ca="1" si="14"/>
        <v>681</v>
      </c>
      <c r="F129" s="3">
        <f t="shared" ca="1" si="14"/>
        <v>697</v>
      </c>
      <c r="G129" s="3">
        <f t="shared" ca="1" si="14"/>
        <v>713</v>
      </c>
      <c r="H129" s="3">
        <f t="shared" ca="1" si="13"/>
        <v>0</v>
      </c>
      <c r="I129" s="3">
        <f t="shared" ca="1" si="13"/>
        <v>0</v>
      </c>
    </row>
    <row r="130" spans="1:9" x14ac:dyDescent="0.2">
      <c r="A130" t="s">
        <v>298</v>
      </c>
      <c r="B130" s="3">
        <f t="shared" ca="1" si="14"/>
        <v>925</v>
      </c>
      <c r="C130" s="3">
        <f t="shared" ca="1" si="14"/>
        <v>945</v>
      </c>
      <c r="D130" s="3">
        <f t="shared" ca="1" si="14"/>
        <v>966</v>
      </c>
      <c r="E130" s="3">
        <f t="shared" ca="1" si="14"/>
        <v>987</v>
      </c>
      <c r="F130" s="3">
        <f t="shared" ca="1" si="14"/>
        <v>1008</v>
      </c>
      <c r="G130" s="3">
        <f t="shared" ca="1" si="14"/>
        <v>1029</v>
      </c>
      <c r="H130" s="3">
        <f t="shared" ca="1" si="13"/>
        <v>0</v>
      </c>
      <c r="I130" s="3">
        <f t="shared" ca="1" si="13"/>
        <v>0</v>
      </c>
    </row>
    <row r="131" spans="1:9" x14ac:dyDescent="0.2">
      <c r="A131" t="s">
        <v>288</v>
      </c>
      <c r="B131" s="3">
        <f t="shared" ca="1" si="14"/>
        <v>1134</v>
      </c>
      <c r="C131" s="3">
        <f t="shared" ca="1" si="14"/>
        <v>1134</v>
      </c>
      <c r="D131" s="3">
        <f t="shared" ca="1" si="14"/>
        <v>1134</v>
      </c>
      <c r="E131" s="3">
        <f t="shared" ca="1" si="14"/>
        <v>1134</v>
      </c>
      <c r="F131" s="3">
        <f t="shared" ca="1" si="14"/>
        <v>1134</v>
      </c>
      <c r="G131" s="3">
        <f t="shared" ca="1" si="14"/>
        <v>1134</v>
      </c>
      <c r="H131" s="3">
        <f t="shared" ca="1" si="13"/>
        <v>422</v>
      </c>
      <c r="I131" s="3">
        <f t="shared" ca="1" si="13"/>
        <v>1134</v>
      </c>
    </row>
    <row r="132" spans="1:9" x14ac:dyDescent="0.2">
      <c r="A132" t="s">
        <v>299</v>
      </c>
      <c r="B132" s="3">
        <f t="shared" ca="1" si="14"/>
        <v>1234</v>
      </c>
      <c r="C132" s="3">
        <f t="shared" ca="1" si="14"/>
        <v>1234</v>
      </c>
      <c r="D132" s="3">
        <f t="shared" ca="1" si="14"/>
        <v>1234</v>
      </c>
      <c r="E132" s="3">
        <f t="shared" ca="1" si="14"/>
        <v>1234</v>
      </c>
      <c r="F132" s="3">
        <f t="shared" ca="1" si="14"/>
        <v>1234</v>
      </c>
      <c r="G132" s="3">
        <f t="shared" ca="1" si="14"/>
        <v>1234</v>
      </c>
      <c r="H132" s="3">
        <f t="shared" ca="1" si="13"/>
        <v>592</v>
      </c>
      <c r="I132" s="3">
        <f t="shared" ca="1" si="13"/>
        <v>1605</v>
      </c>
    </row>
    <row r="135" spans="1:9" x14ac:dyDescent="0.2">
      <c r="A135" s="8" t="s">
        <v>25</v>
      </c>
      <c r="B135" s="15" t="s">
        <v>332</v>
      </c>
      <c r="C135" s="15" t="s">
        <v>333</v>
      </c>
    </row>
    <row r="136" spans="1:9" x14ac:dyDescent="0.2">
      <c r="A136" s="13" t="s">
        <v>315</v>
      </c>
      <c r="B136" s="48">
        <f>100% + IF(ISBLANK(Gear!$B$3), 0, VLOOKUP(Gear!$B$3, Weapon, MATCH($A136, StatHeader, 0), 0))</f>
        <v>1</v>
      </c>
      <c r="C136" s="48">
        <f>100% + IF(ISBLANK(Gear!$B$27), 0, VLOOKUP(Gear!$B$27, Weapon, MATCH($A136, StatHeader, 0), 0))</f>
        <v>1</v>
      </c>
    </row>
    <row r="137" spans="1:9" x14ac:dyDescent="0.2">
      <c r="A137" s="13" t="s">
        <v>274</v>
      </c>
      <c r="B137" s="48">
        <f>100% + IF(ISBLANK(Gear!$B$3), 0, VLOOKUP(Gear!$B$3, Weapon, MATCH($A137, StatHeader, 0), 0)) + C15</f>
        <v>1</v>
      </c>
      <c r="C137" s="48">
        <f>100% + IF(ISBLANK(Gear!$B$27), 0, VLOOKUP(Gear!$B$27, Weapon, MATCH($A137, StatHeader, 0), 0)) + D15</f>
        <v>1</v>
      </c>
    </row>
    <row r="138" spans="1:9" x14ac:dyDescent="0.2">
      <c r="A138" s="13" t="s">
        <v>506</v>
      </c>
      <c r="B138" s="55">
        <f>100% + IF(Setup!F10=1, 30%, 0)</f>
        <v>1</v>
      </c>
      <c r="C138" s="55">
        <f>100% + IF(Setup!G10=1, 30%, 0)</f>
        <v>1</v>
      </c>
    </row>
    <row r="139" spans="1:9" x14ac:dyDescent="0.2">
      <c r="A139" s="13" t="s">
        <v>515</v>
      </c>
      <c r="B139" s="48">
        <f ca="1">MIN(40%, C$16 + HLOOKUP($A139, INDIRECT(B$26), MATCH("Total", Slots, 0)+1, 0))</f>
        <v>0</v>
      </c>
      <c r="C139" s="48">
        <f ca="1">MIN(40%, D$16 + HLOOKUP($A139, INDIRECT(C$26), MATCH("Total", Slots, 0)+1, 0))</f>
        <v>0.1</v>
      </c>
    </row>
    <row r="140" spans="1:9" x14ac:dyDescent="0.2">
      <c r="A140" s="13" t="s">
        <v>524</v>
      </c>
      <c r="B140" s="48">
        <f>100% + IF(Setup!F10=1, B139 + $B$16, 0)</f>
        <v>1</v>
      </c>
      <c r="C140" s="48">
        <f>100% + IF(Setup!G10=1, C139 + $B$16, 0)</f>
        <v>1</v>
      </c>
    </row>
    <row r="141" spans="1:9" x14ac:dyDescent="0.2">
      <c r="A141" s="13" t="s">
        <v>275</v>
      </c>
      <c r="B141" s="48">
        <f ca="1">100% + IF(Setup!F6=1, MIN(40%, HLOOKUP($A141, INDIRECT(B$26), MATCH("Total", Slots, 0)+1, 0) + C$17), 0)</f>
        <v>1</v>
      </c>
      <c r="C141" s="48">
        <f ca="1">100% + IF(Setup!G6=1, MIN(40%, HLOOKUP($A141, INDIRECT(C$26), MATCH("Total", Slots, 0)+1, 0) + D$17), 0)</f>
        <v>1</v>
      </c>
    </row>
    <row r="142" spans="1:9" x14ac:dyDescent="0.2">
      <c r="A142" s="13" t="s">
        <v>341</v>
      </c>
      <c r="B142" s="49">
        <f>100+$L$9</f>
        <v>100</v>
      </c>
      <c r="C142" s="49">
        <f>100+$L$9</f>
        <v>100</v>
      </c>
    </row>
    <row r="143" spans="1:9" x14ac:dyDescent="0.2">
      <c r="A143" s="13" t="s">
        <v>390</v>
      </c>
      <c r="B143" s="48">
        <f ca="1">HLOOKUP($A143, INDIRECT(B$26), MATCH("Total", Slots, 0)+1, 0)</f>
        <v>0.03</v>
      </c>
      <c r="C143" s="48">
        <f ca="1">HLOOKUP($A143, INDIRECT(C$26), MATCH("Total", Slots, 0)+1, 0)</f>
        <v>0.03</v>
      </c>
    </row>
    <row r="144" spans="1:9" x14ac:dyDescent="0.2">
      <c r="A144" s="13" t="s">
        <v>392</v>
      </c>
      <c r="B144" s="49">
        <f ca="1">HLOOKUP($A144, INDIRECT(B$26), MATCH("Total", Slots, 0)+1, 0)</f>
        <v>0</v>
      </c>
      <c r="C144" s="49">
        <f ca="1">HLOOKUP($A144, INDIRECT(C$26), MATCH("Total", Slots, 0)+1, 0)</f>
        <v>0</v>
      </c>
    </row>
    <row r="145" spans="1:9" x14ac:dyDescent="0.2">
      <c r="A145" s="13" t="s">
        <v>504</v>
      </c>
      <c r="B145" s="55">
        <f>100% + $L$10</f>
        <v>1</v>
      </c>
      <c r="C145" s="55">
        <f>100% + $L$10</f>
        <v>1</v>
      </c>
    </row>
    <row r="146" spans="1:9" x14ac:dyDescent="0.2">
      <c r="A146" s="13" t="s">
        <v>505</v>
      </c>
      <c r="B146" s="55">
        <f>100% + IF(AND($C$1="Sch", Setup!F9=1, Setup!F3=1), 20% + IF(Gear!$B6="Savant +1", 5%, IF(Gear!$B6="Savant +2", 10%, 0)))</f>
        <v>1</v>
      </c>
      <c r="C146" s="55">
        <f>100% + IF(AND($C$1="Sch", Setup!G9=1, Setup!G3=1), 20% + IF(Gear!$B30="Savant +1", 5%, IF(Gear!$B30="Savant +2", 10%, 0)))</f>
        <v>1</v>
      </c>
    </row>
    <row r="147" spans="1:9" x14ac:dyDescent="0.2">
      <c r="A147" s="13" t="s">
        <v>525</v>
      </c>
      <c r="B147" s="55">
        <f>100% + IF(AND(Setup!F7=1, Setup!F6=1), IF(Gear!$B$17="Savant +1", 5%, IF(Gear!$B$17="Savant +2", 10%, 0)), 0)</f>
        <v>1</v>
      </c>
      <c r="C147" s="55">
        <f>100% + IF(AND(Setup!G7=1, Setup!G6=1), IF(Gear!$B$41="Savant +1", 5%, IF(Gear!$B$41="Savant +2", 10%, 0)), 0)</f>
        <v>1</v>
      </c>
    </row>
    <row r="148" spans="1:9" x14ac:dyDescent="0.2">
      <c r="A148" s="13" t="s">
        <v>532</v>
      </c>
      <c r="B148" s="49">
        <f>IF($C$1="Blm", COUNTIF(SpellSet1Gear, "Goetia +2"), 0)</f>
        <v>0</v>
      </c>
      <c r="C148" s="49">
        <f>IF($C$1="Blm", COUNTIF(SpellSet2Gear, "Goetia +2"), 0)</f>
        <v>0</v>
      </c>
    </row>
    <row r="149" spans="1:9" x14ac:dyDescent="0.2">
      <c r="A149" s="13" t="s">
        <v>533</v>
      </c>
      <c r="B149" s="55">
        <f ca="1">100% + IF(B148=5, 10%, IF(B148=4, 7%, IF(B148=3, 4%, IF(B148=2, 2%, 0)))) * $B$315</f>
        <v>1</v>
      </c>
      <c r="C149" s="55">
        <f ca="1">100% + IF(C148=5, 10%, IF(C148=4, 7%, IF(C148=3, 4%, IF(C148=2, 2%, 0)))) * $B$315</f>
        <v>1</v>
      </c>
    </row>
    <row r="150" spans="1:9" x14ac:dyDescent="0.2">
      <c r="A150" s="13" t="s">
        <v>572</v>
      </c>
      <c r="B150" s="55">
        <f>100% + 5% * Setup!F13</f>
        <v>1</v>
      </c>
      <c r="C150" s="55">
        <f>100% + 5% * Setup!G13</f>
        <v>1</v>
      </c>
    </row>
    <row r="151" spans="1:9" x14ac:dyDescent="0.2">
      <c r="A151" s="70"/>
      <c r="B151" s="55"/>
      <c r="C151" s="55"/>
    </row>
    <row r="152" spans="1:9" x14ac:dyDescent="0.2">
      <c r="A152" s="13"/>
      <c r="B152" s="55"/>
      <c r="C152" s="55"/>
    </row>
    <row r="153" spans="1:9" x14ac:dyDescent="0.2">
      <c r="A153" s="52" t="s">
        <v>272</v>
      </c>
      <c r="B153" s="30">
        <f ca="1">$B$13 + C$13 + HLOOKUP($A153, INDIRECT(B$26), MATCH("Total", Slots, 0)+1, 0) + IF(Setup!J40=1, Setup!M40, 0) + IF(Setup!F34=1, VLOOKUP($A153, Ionis, 2, 0), 0)</f>
        <v>285</v>
      </c>
      <c r="C153" s="30">
        <f ca="1">$B$13 + D$13 + HLOOKUP($A153, INDIRECT(C$26), MATCH("Total", Slots, 0)+1, 0) + IF(Setup!K40=1, Setup!N40, 0) + IF(Setup!G34=1, VLOOKUP($A153, Ionis, 2, 0), 0)</f>
        <v>297</v>
      </c>
      <c r="D153" s="15" t="s">
        <v>513</v>
      </c>
      <c r="G153" s="74" t="s">
        <v>640</v>
      </c>
    </row>
    <row r="154" spans="1:9" x14ac:dyDescent="0.2">
      <c r="A154" s="13" t="s">
        <v>278</v>
      </c>
      <c r="B154" s="49">
        <f ca="1">B$153 + IF($C$1="Blm", 2*Setup!B23, 0)</f>
        <v>287</v>
      </c>
      <c r="C154" s="49">
        <f ca="1">C$153 + IF($C$1="Blm", 2*Setup!C23, 0)</f>
        <v>299</v>
      </c>
      <c r="D154" s="13" t="s">
        <v>278</v>
      </c>
      <c r="E154" s="1">
        <f>100% + IF(Setup!F$10=1, $B$16 + MIN(40%, B$139 + IF(Setup!B29&gt;1, (Setup!B29-1)*3%, 0)), 0)</f>
        <v>1</v>
      </c>
      <c r="F154" s="1">
        <f>100% + IF(Setup!G$10=1, $B$16 + MIN(40%, C$139 + IF(Setup!C29&gt;1, (Setup!C29-1)*3%, 0)), 0)</f>
        <v>1</v>
      </c>
      <c r="G154" s="13" t="s">
        <v>278</v>
      </c>
      <c r="H154" s="1">
        <f>100% + IF($C$1="Blm", IF(Gear!$B$6="Sorcerer +2", 3%*Setup!B29, 0), 0)</f>
        <v>1</v>
      </c>
      <c r="I154" s="1">
        <f>100% + IF($C$1="Blm", IF(Gear!$B$30="Sorcerer +2", 3%*Setup!C29, 0), 0)</f>
        <v>1</v>
      </c>
    </row>
    <row r="155" spans="1:9" x14ac:dyDescent="0.2">
      <c r="A155" s="13" t="s">
        <v>290</v>
      </c>
      <c r="B155" s="49">
        <f ca="1">B$153 + IF($C$1="Blm", 2*Setup!B24, 0)</f>
        <v>287</v>
      </c>
      <c r="C155" s="49">
        <f ca="1">C$153 + IF($C$1="Blm", 2*Setup!C24, 0)</f>
        <v>299</v>
      </c>
      <c r="D155" s="13" t="s">
        <v>290</v>
      </c>
      <c r="E155" s="1">
        <f>100% + IF(Setup!F$10=1, $B$16 + MIN(40%, B$139 + IF(Setup!B30&gt;1, (Setup!B30-1)*3%, 0)), 0)</f>
        <v>1</v>
      </c>
      <c r="F155" s="1">
        <f>100% + IF(Setup!G$10=1, $B$16 + MIN(40%, C$139 + IF(Setup!C30&gt;1, (Setup!C30-1)*3%, 0)), 0)</f>
        <v>1</v>
      </c>
      <c r="G155" s="13" t="s">
        <v>290</v>
      </c>
      <c r="H155" s="1">
        <f>100% + IF($C$1="Blm", IF(Gear!$B$6="Sorcerer +2", 3%*Setup!B30, 0), 0)</f>
        <v>1</v>
      </c>
      <c r="I155" s="1">
        <f>100% + IF($C$1="Blm", IF(Gear!$B$30="Sorcerer +2", 3%*Setup!C30, 0), 0)</f>
        <v>1</v>
      </c>
    </row>
    <row r="156" spans="1:9" x14ac:dyDescent="0.2">
      <c r="A156" s="13" t="s">
        <v>291</v>
      </c>
      <c r="B156" s="49">
        <f ca="1">B$153 + IF($C$1="Blm", 2*Setup!B25, 0)</f>
        <v>287</v>
      </c>
      <c r="C156" s="49">
        <f ca="1">C$153 + IF($C$1="Blm", 2*Setup!C25, 0)</f>
        <v>299</v>
      </c>
      <c r="D156" s="13" t="s">
        <v>291</v>
      </c>
      <c r="E156" s="1">
        <f>100% + IF(Setup!F$10=1, $B$16 + MIN(40%, B$139 + IF(Setup!B31&gt;1, (Setup!B31-1)*3%, 0)), 0)</f>
        <v>1</v>
      </c>
      <c r="F156" s="1">
        <f>100% + IF(Setup!G$10=1, $B$16 + MIN(40%, C$139 + IF(Setup!C31&gt;1, (Setup!C31-1)*3%, 0)), 0)</f>
        <v>1</v>
      </c>
      <c r="G156" s="13" t="s">
        <v>291</v>
      </c>
      <c r="H156" s="1">
        <f>100% + IF($C$1="Blm", IF(Gear!$B$6="Sorcerer +2", 3%*Setup!B31, 0), 0)</f>
        <v>1</v>
      </c>
      <c r="I156" s="1">
        <f>100% + IF($C$1="Blm", IF(Gear!$B$30="Sorcerer +2", 3%*Setup!C31, 0), 0)</f>
        <v>1</v>
      </c>
    </row>
    <row r="157" spans="1:9" x14ac:dyDescent="0.2">
      <c r="A157" s="13" t="s">
        <v>292</v>
      </c>
      <c r="B157" s="49">
        <f ca="1">B$153 + IF($C$1="Blm", 2*Setup!B26, 0)</f>
        <v>287</v>
      </c>
      <c r="C157" s="49">
        <f ca="1">C$153 + IF($C$1="Blm", 2*Setup!C26, 0)</f>
        <v>299</v>
      </c>
      <c r="D157" s="13" t="s">
        <v>292</v>
      </c>
      <c r="E157" s="1">
        <f>100% + IF(Setup!F$10=1, $B$16 + MIN(40%, B$139 + IF(Setup!B32&gt;1, (Setup!B32-1)*3%, 0)), 0)</f>
        <v>1</v>
      </c>
      <c r="F157" s="1">
        <f>100% + IF(Setup!G$10=1, $B$16 + MIN(40%, C$139 + IF(Setup!C32&gt;1, (Setup!C32-1)*3%, 0)), 0)</f>
        <v>1</v>
      </c>
      <c r="G157" s="13" t="s">
        <v>292</v>
      </c>
      <c r="H157" s="1">
        <f>100% + IF($C$1="Blm", IF(Gear!$B$6="Sorcerer +2", 3%*Setup!B32, 0), 0)</f>
        <v>1</v>
      </c>
      <c r="I157" s="1">
        <f>100% + IF($C$1="Blm", IF(Gear!$B$30="Sorcerer +2", 3%*Setup!C32, 0), 0)</f>
        <v>1</v>
      </c>
    </row>
    <row r="158" spans="1:9" x14ac:dyDescent="0.2">
      <c r="A158" s="13" t="s">
        <v>293</v>
      </c>
      <c r="B158" s="49">
        <f ca="1">B$153 + IF($C$1="Blm", 2*Setup!B27, 0)</f>
        <v>293</v>
      </c>
      <c r="C158" s="49">
        <f ca="1">C$153 + IF($C$1="Blm", 2*Setup!C27, 0)</f>
        <v>305</v>
      </c>
      <c r="D158" s="13" t="s">
        <v>293</v>
      </c>
      <c r="E158" s="1">
        <f>100% + IF(Setup!F$10=1, $B$16 + MIN(40%, B$139 + IF(Setup!B33&gt;1, (Setup!B33-1)*3%, 0)), 0)</f>
        <v>1</v>
      </c>
      <c r="F158" s="1">
        <f>100% + IF(Setup!G$10=1, $B$16 + MIN(40%, C$139 + IF(Setup!C33&gt;1, (Setup!C33-1)*3%, 0)), 0)</f>
        <v>1</v>
      </c>
      <c r="G158" s="13" t="s">
        <v>293</v>
      </c>
      <c r="H158" s="1">
        <f>100% + IF($C$1="Blm", IF(Gear!$B$6="Sorcerer +2", 3%*Setup!B33, 0), 0)</f>
        <v>1</v>
      </c>
      <c r="I158" s="1">
        <f>100% + IF($C$1="Blm", IF(Gear!$B$30="Sorcerer +2", 3%*Setup!C33, 0), 0)</f>
        <v>1</v>
      </c>
    </row>
    <row r="159" spans="1:9" x14ac:dyDescent="0.2">
      <c r="A159" s="13" t="s">
        <v>294</v>
      </c>
      <c r="B159" s="49">
        <f ca="1">B$153 + IF($C$1="Blm", 2*Setup!B28, 0)</f>
        <v>295</v>
      </c>
      <c r="C159" s="49">
        <f ca="1">C$153 + IF($C$1="Blm", 2*Setup!C28, 0)</f>
        <v>307</v>
      </c>
      <c r="D159" s="13" t="s">
        <v>294</v>
      </c>
      <c r="E159" s="1">
        <f>100% + IF(Setup!F$10=1, $B$16 + MIN(40%, B$139 + IF(Setup!B34&gt;1, (Setup!B34-1)*3%, 0)), 0)</f>
        <v>1</v>
      </c>
      <c r="F159" s="1">
        <f>100% + IF(Setup!G$10=1, $B$16 + MIN(40%, C$139 + IF(Setup!C34&gt;1, (Setup!C34-1)*3%, 0)), 0)</f>
        <v>1</v>
      </c>
      <c r="G159" s="13" t="s">
        <v>294</v>
      </c>
      <c r="H159" s="1">
        <f>100% + IF($C$1="Blm", IF(Gear!$B$6="Sorcerer +2", 3%*Setup!B34, 0), 0)</f>
        <v>1</v>
      </c>
      <c r="I159" s="1">
        <f>100% + IF($C$1="Blm", IF(Gear!$B$30="Sorcerer +2", 3%*Setup!C34, 0), 0)</f>
        <v>1</v>
      </c>
    </row>
    <row r="160" spans="1:9" x14ac:dyDescent="0.2">
      <c r="A160" s="70" t="s">
        <v>644</v>
      </c>
      <c r="B160" s="78">
        <f ca="1">B$153</f>
        <v>285</v>
      </c>
      <c r="C160" s="78">
        <f ca="1">C$153</f>
        <v>297</v>
      </c>
      <c r="D160" s="70" t="s">
        <v>644</v>
      </c>
      <c r="E160" s="1">
        <f>100% + IF(Setup!F$10=1, $B$16 + MIN(40%, B$139), 0)</f>
        <v>1</v>
      </c>
      <c r="F160" s="1">
        <f>100% + IF(Setup!G$10=1, $B$16 + MIN(40%, C$139), 0)</f>
        <v>1</v>
      </c>
      <c r="G160" s="70" t="s">
        <v>644</v>
      </c>
      <c r="H160" s="1">
        <v>1</v>
      </c>
      <c r="I160" s="1">
        <v>1</v>
      </c>
    </row>
    <row r="161" spans="1:9" x14ac:dyDescent="0.2">
      <c r="A161" s="70" t="s">
        <v>645</v>
      </c>
      <c r="B161" s="78">
        <f ca="1">B$153</f>
        <v>285</v>
      </c>
      <c r="C161" s="78">
        <f ca="1">C$153</f>
        <v>297</v>
      </c>
      <c r="D161" s="70" t="s">
        <v>645</v>
      </c>
      <c r="E161" s="1">
        <f>100% + IF(Setup!F$10=1, $B$16 + MIN(40%, B$139), 0)</f>
        <v>1</v>
      </c>
      <c r="F161" s="1">
        <f>100% + IF(Setup!G$10=1, $B$16 + MIN(40%, C$139), 0)</f>
        <v>1</v>
      </c>
      <c r="G161" s="70" t="s">
        <v>645</v>
      </c>
      <c r="H161" s="1">
        <v>1</v>
      </c>
      <c r="I161" s="1">
        <v>1</v>
      </c>
    </row>
    <row r="162" spans="1:9" x14ac:dyDescent="0.2">
      <c r="A162" s="13"/>
      <c r="B162" s="49"/>
      <c r="C162" s="49"/>
    </row>
    <row r="163" spans="1:9" x14ac:dyDescent="0.2">
      <c r="A163" t="s">
        <v>526</v>
      </c>
    </row>
    <row r="165" spans="1:9" x14ac:dyDescent="0.2">
      <c r="A165" s="8" t="s">
        <v>305</v>
      </c>
      <c r="B165" s="8" t="s">
        <v>278</v>
      </c>
      <c r="C165" s="8" t="s">
        <v>290</v>
      </c>
      <c r="D165" s="14" t="s">
        <v>291</v>
      </c>
      <c r="E165" s="14" t="s">
        <v>292</v>
      </c>
      <c r="F165" s="14" t="s">
        <v>293</v>
      </c>
      <c r="G165" s="14" t="s">
        <v>294</v>
      </c>
      <c r="H165" s="77" t="s">
        <v>644</v>
      </c>
      <c r="I165" s="77" t="s">
        <v>645</v>
      </c>
    </row>
    <row r="166" spans="1:9" x14ac:dyDescent="0.2">
      <c r="A166" t="s">
        <v>279</v>
      </c>
      <c r="B166" s="3">
        <f t="shared" ref="B166:I173" ca="1" si="15">TRUNC(TRUNC(TRUNC(TRUNC(TRUNC(TRUNC(TRUNC(B101*$B$136)*$B$137)*$B$138)*IF($A166="AM 2", VLOOKUP(B$165, AM2MBDmg, 2, 0) * VLOOKUP(B$165, AM2Dmg, 2, 0), $B$140))*$B$141)*((100+VLOOKUP(B$165, ElementMAB, 2, 0))/$B$142)) * $B$150)</f>
        <v>1613</v>
      </c>
      <c r="C166" s="3">
        <f t="shared" ca="1" si="15"/>
        <v>1633</v>
      </c>
      <c r="D166" s="3">
        <f t="shared" ca="1" si="15"/>
        <v>1652</v>
      </c>
      <c r="E166" s="3">
        <f t="shared" ca="1" si="15"/>
        <v>1671</v>
      </c>
      <c r="F166" s="3">
        <f t="shared" ca="1" si="15"/>
        <v>1717</v>
      </c>
      <c r="G166" s="3">
        <f t="shared" ca="1" si="15"/>
        <v>1745</v>
      </c>
      <c r="H166" s="3">
        <f t="shared" ca="1" si="15"/>
        <v>1212</v>
      </c>
      <c r="I166" s="3">
        <f t="shared" ca="1" si="15"/>
        <v>0</v>
      </c>
    </row>
    <row r="167" spans="1:9" x14ac:dyDescent="0.2">
      <c r="A167" t="s">
        <v>280</v>
      </c>
      <c r="B167" s="3">
        <f t="shared" ca="1" si="15"/>
        <v>2314</v>
      </c>
      <c r="C167" s="3">
        <f t="shared" ca="1" si="15"/>
        <v>2333</v>
      </c>
      <c r="D167" s="3">
        <f t="shared" ca="1" si="15"/>
        <v>2356</v>
      </c>
      <c r="E167" s="3">
        <f t="shared" ca="1" si="15"/>
        <v>2380</v>
      </c>
      <c r="F167" s="3">
        <f t="shared" ca="1" si="15"/>
        <v>2440</v>
      </c>
      <c r="G167" s="3">
        <f t="shared" ca="1" si="15"/>
        <v>2476</v>
      </c>
      <c r="H167" s="3">
        <f t="shared" ca="1" si="15"/>
        <v>1524</v>
      </c>
      <c r="I167" s="3">
        <f t="shared" ca="1" si="15"/>
        <v>0</v>
      </c>
    </row>
    <row r="168" spans="1:9" x14ac:dyDescent="0.2">
      <c r="A168" t="s">
        <v>281</v>
      </c>
      <c r="B168" s="3">
        <f t="shared" ca="1" si="15"/>
        <v>3053</v>
      </c>
      <c r="C168" s="3">
        <f t="shared" ca="1" si="15"/>
        <v>3092</v>
      </c>
      <c r="D168" s="3">
        <f t="shared" ca="1" si="15"/>
        <v>3134</v>
      </c>
      <c r="E168" s="3">
        <f t="shared" ca="1" si="15"/>
        <v>3177</v>
      </c>
      <c r="F168" s="3">
        <f t="shared" ca="1" si="15"/>
        <v>3269</v>
      </c>
      <c r="G168" s="3">
        <f t="shared" ca="1" si="15"/>
        <v>3329</v>
      </c>
      <c r="H168" s="3">
        <f t="shared" ca="1" si="15"/>
        <v>2044</v>
      </c>
      <c r="I168" s="3">
        <f t="shared" ca="1" si="15"/>
        <v>0</v>
      </c>
    </row>
    <row r="169" spans="1:9" x14ac:dyDescent="0.2">
      <c r="A169" t="s">
        <v>282</v>
      </c>
      <c r="B169" s="3">
        <f t="shared" ca="1" si="15"/>
        <v>4179</v>
      </c>
      <c r="C169" s="3">
        <f t="shared" ca="1" si="15"/>
        <v>4257</v>
      </c>
      <c r="D169" s="3">
        <f t="shared" ca="1" si="15"/>
        <v>4338</v>
      </c>
      <c r="E169" s="3">
        <f t="shared" ca="1" si="15"/>
        <v>4438</v>
      </c>
      <c r="F169" s="3">
        <f t="shared" ca="1" si="15"/>
        <v>4590</v>
      </c>
      <c r="G169" s="3">
        <f t="shared" ca="1" si="15"/>
        <v>4696</v>
      </c>
      <c r="H169" s="3">
        <f t="shared" ca="1" si="15"/>
        <v>0</v>
      </c>
      <c r="I169" s="3">
        <f t="shared" ca="1" si="15"/>
        <v>0</v>
      </c>
    </row>
    <row r="170" spans="1:9" x14ac:dyDescent="0.2">
      <c r="A170" t="s">
        <v>283</v>
      </c>
      <c r="B170" s="3">
        <f t="shared" ca="1" si="15"/>
        <v>5499</v>
      </c>
      <c r="C170" s="3">
        <f t="shared" ca="1" si="15"/>
        <v>5572</v>
      </c>
      <c r="D170" s="3">
        <f t="shared" ca="1" si="15"/>
        <v>5650</v>
      </c>
      <c r="E170" s="3">
        <f t="shared" ca="1" si="15"/>
        <v>5723</v>
      </c>
      <c r="F170" s="3">
        <f t="shared" ca="1" si="15"/>
        <v>5895</v>
      </c>
      <c r="G170" s="3">
        <f t="shared" ca="1" si="15"/>
        <v>6000</v>
      </c>
      <c r="H170" s="3">
        <f t="shared" ca="1" si="15"/>
        <v>0</v>
      </c>
      <c r="I170" s="3">
        <f t="shared" ca="1" si="15"/>
        <v>0</v>
      </c>
    </row>
    <row r="171" spans="1:9" x14ac:dyDescent="0.2">
      <c r="A171" t="s">
        <v>284</v>
      </c>
      <c r="B171" s="3">
        <f t="shared" ca="1" si="15"/>
        <v>2159</v>
      </c>
      <c r="C171" s="3">
        <f t="shared" ca="1" si="15"/>
        <v>2178</v>
      </c>
      <c r="D171" s="3">
        <f t="shared" ca="1" si="15"/>
        <v>2202</v>
      </c>
      <c r="E171" s="3">
        <f t="shared" ca="1" si="15"/>
        <v>2225</v>
      </c>
      <c r="F171" s="3">
        <f t="shared" ca="1" si="15"/>
        <v>2361</v>
      </c>
      <c r="G171" s="3">
        <f t="shared" ca="1" si="15"/>
        <v>2476</v>
      </c>
      <c r="H171" s="3">
        <f t="shared" ca="1" si="15"/>
        <v>1389</v>
      </c>
      <c r="I171" s="3">
        <f t="shared" ca="1" si="15"/>
        <v>0</v>
      </c>
    </row>
    <row r="172" spans="1:9" x14ac:dyDescent="0.2">
      <c r="A172" t="s">
        <v>285</v>
      </c>
      <c r="B172" s="3">
        <f t="shared" ca="1" si="15"/>
        <v>3246</v>
      </c>
      <c r="C172" s="3">
        <f t="shared" ca="1" si="15"/>
        <v>3285</v>
      </c>
      <c r="D172" s="3">
        <f t="shared" ca="1" si="15"/>
        <v>3328</v>
      </c>
      <c r="E172" s="3">
        <f t="shared" ca="1" si="15"/>
        <v>3370</v>
      </c>
      <c r="F172" s="3">
        <f t="shared" ca="1" si="15"/>
        <v>3466</v>
      </c>
      <c r="G172" s="3">
        <f t="shared" ca="1" si="15"/>
        <v>3527</v>
      </c>
      <c r="H172" s="3">
        <f t="shared" ca="1" si="15"/>
        <v>1890</v>
      </c>
      <c r="I172" s="3">
        <f t="shared" ca="1" si="15"/>
        <v>0</v>
      </c>
    </row>
    <row r="173" spans="1:9" x14ac:dyDescent="0.2">
      <c r="A173" t="s">
        <v>286</v>
      </c>
      <c r="B173" s="3">
        <f t="shared" ca="1" si="15"/>
        <v>4566</v>
      </c>
      <c r="C173" s="3">
        <f t="shared" ca="1" si="15"/>
        <v>4644</v>
      </c>
      <c r="D173" s="3">
        <f t="shared" ca="1" si="15"/>
        <v>4725</v>
      </c>
      <c r="E173" s="3">
        <f t="shared" ca="1" si="15"/>
        <v>4825</v>
      </c>
      <c r="F173" s="3">
        <f t="shared" ca="1" si="15"/>
        <v>4983</v>
      </c>
      <c r="G173" s="3">
        <f t="shared" ca="1" si="15"/>
        <v>5091</v>
      </c>
      <c r="H173" s="3">
        <f t="shared" ca="1" si="15"/>
        <v>0</v>
      </c>
      <c r="I173" s="3">
        <f t="shared" ca="1" si="15"/>
        <v>0</v>
      </c>
    </row>
    <row r="174" spans="1:9" x14ac:dyDescent="0.2">
      <c r="A174" t="s">
        <v>287</v>
      </c>
      <c r="B174" s="3">
        <f t="shared" ref="B174:H179" ca="1" si="16">TRUNC(TRUNC(TRUNC(TRUNC(TRUNC(TRUNC(TRUNC(B109*$B$136)*$B$137)*$B$138)*IF($A174="AM 2", VLOOKUP(B$165, AM2MBDmg, 2, 0) * VLOOKUP(B$165, AM2Dmg, 2, 0), $B$140))*$B$141)*((100+VLOOKUP(B$165, ElementMAB, 2, 0))/$B$142)) * $B$150)</f>
        <v>5886</v>
      </c>
      <c r="C174" s="3">
        <f t="shared" ca="1" si="16"/>
        <v>5959</v>
      </c>
      <c r="D174" s="3">
        <f t="shared" ca="1" si="16"/>
        <v>6037</v>
      </c>
      <c r="E174" s="3">
        <f t="shared" ca="1" si="16"/>
        <v>6114</v>
      </c>
      <c r="F174" s="3">
        <f t="shared" ca="1" si="16"/>
        <v>6288</v>
      </c>
      <c r="G174" s="3">
        <f t="shared" ca="1" si="16"/>
        <v>6395</v>
      </c>
      <c r="H174" s="3">
        <f t="shared" ca="1" si="16"/>
        <v>0</v>
      </c>
      <c r="I174" s="3">
        <f ca="1">TRUNC(TRUNC(TRUNC(TRUNC(TRUNC(TRUNC(TRUNC(I109*$B$136)*$B$137)*$B$138)*IF($A174="AM 2", VLOOKUP(I$165, AM2MBDmg, 2, 0) * VLOOKUP(I$165, AM2Dmg, 2, 0), $B$140))*$B$141)*((100+VLOOKUP(I$165, ElementMAB, 2, 0))/$B$142)) * $B$150) - B56</f>
        <v>7885</v>
      </c>
    </row>
    <row r="175" spans="1:9" x14ac:dyDescent="0.2">
      <c r="A175" t="s">
        <v>617</v>
      </c>
      <c r="B175" s="3">
        <f t="shared" ca="1" si="16"/>
        <v>1594</v>
      </c>
      <c r="C175" s="3">
        <f t="shared" ca="1" si="16"/>
        <v>1594</v>
      </c>
      <c r="D175" s="3">
        <f t="shared" ca="1" si="16"/>
        <v>1594</v>
      </c>
      <c r="E175" s="3">
        <f t="shared" ca="1" si="16"/>
        <v>1594</v>
      </c>
      <c r="F175" s="3">
        <f t="shared" ca="1" si="16"/>
        <v>1619</v>
      </c>
      <c r="G175" s="3">
        <f t="shared" ca="1" si="16"/>
        <v>1627</v>
      </c>
      <c r="H175" s="3">
        <f t="shared" ca="1" si="16"/>
        <v>0</v>
      </c>
      <c r="I175" s="3">
        <f ca="1">TRUNC(TRUNC(TRUNC(TRUNC(TRUNC(TRUNC(TRUNC(I110*$B$136)*$B$137)*$B$138)*IF($A175="AM 2", VLOOKUP(I$165, AM2MBDmg, 2, 0) * VLOOKUP(I$165, AM2Dmg, 2, 0), $B$140))*$B$141)*((100+VLOOKUP(I$165, ElementMAB, 2, 0))/$B$142)) * $B$150)</f>
        <v>2464</v>
      </c>
    </row>
    <row r="176" spans="1:9" x14ac:dyDescent="0.2">
      <c r="A176" t="s">
        <v>289</v>
      </c>
      <c r="B176" s="3">
        <f t="shared" ca="1" si="16"/>
        <v>2507</v>
      </c>
      <c r="C176" s="3">
        <f t="shared" ca="1" si="16"/>
        <v>2565</v>
      </c>
      <c r="D176" s="3">
        <f t="shared" ca="1" si="16"/>
        <v>2627</v>
      </c>
      <c r="E176" s="3">
        <f t="shared" ca="1" si="16"/>
        <v>2689</v>
      </c>
      <c r="F176" s="3">
        <f t="shared" ca="1" si="16"/>
        <v>2794</v>
      </c>
      <c r="G176" s="3">
        <f t="shared" ca="1" si="16"/>
        <v>2871</v>
      </c>
      <c r="H176" s="3">
        <f t="shared" ca="1" si="16"/>
        <v>0</v>
      </c>
      <c r="I176" s="3">
        <f ca="1">TRUNC(TRUNC(TRUNC(TRUNC(TRUNC(TRUNC(TRUNC(I111*$B$136)*$B$137)*$B$138)*IF($A176="AM 2", VLOOKUP(I$165, AM2MBDmg, 2, 0) * VLOOKUP(I$165, AM2Dmg, 2, 0), $B$140))*$B$141)*((100+VLOOKUP(I$165, ElementMAB, 2, 0))/$B$142)) * $B$150)</f>
        <v>0</v>
      </c>
    </row>
    <row r="177" spans="1:9" x14ac:dyDescent="0.2">
      <c r="A177" t="s">
        <v>298</v>
      </c>
      <c r="B177" s="3">
        <f t="shared" ca="1" si="16"/>
        <v>3633</v>
      </c>
      <c r="C177" s="3">
        <f t="shared" ca="1" si="16"/>
        <v>3711</v>
      </c>
      <c r="D177" s="3">
        <f t="shared" ca="1" si="16"/>
        <v>3792</v>
      </c>
      <c r="E177" s="3">
        <f t="shared" ca="1" si="16"/>
        <v>3873</v>
      </c>
      <c r="F177" s="3">
        <f t="shared" ca="1" si="16"/>
        <v>4016</v>
      </c>
      <c r="G177" s="3">
        <f t="shared" ca="1" si="16"/>
        <v>4119</v>
      </c>
      <c r="H177" s="3">
        <f t="shared" ca="1" si="16"/>
        <v>0</v>
      </c>
      <c r="I177" s="3">
        <f ca="1">TRUNC(TRUNC(TRUNC(TRUNC(TRUNC(TRUNC(TRUNC(I112*$B$136)*$B$137)*$B$138)*IF($A177="AM 2", VLOOKUP(I$165, AM2MBDmg, 2, 0) * VLOOKUP(I$165, AM2Dmg, 2, 0), $B$140))*$B$141)*((100+VLOOKUP(I$165, ElementMAB, 2, 0))/$B$142)) * $B$150)</f>
        <v>0</v>
      </c>
    </row>
    <row r="178" spans="1:9" x14ac:dyDescent="0.2">
      <c r="A178" t="s">
        <v>288</v>
      </c>
      <c r="B178" s="3">
        <f t="shared" ca="1" si="16"/>
        <v>4442</v>
      </c>
      <c r="C178" s="3">
        <f t="shared" ca="1" si="16"/>
        <v>4442</v>
      </c>
      <c r="D178" s="3">
        <f t="shared" ca="1" si="16"/>
        <v>4442</v>
      </c>
      <c r="E178" s="3">
        <f t="shared" ca="1" si="16"/>
        <v>4442</v>
      </c>
      <c r="F178" s="3">
        <f t="shared" ca="1" si="16"/>
        <v>4511</v>
      </c>
      <c r="G178" s="3">
        <f t="shared" ca="1" si="16"/>
        <v>4534</v>
      </c>
      <c r="H178" s="3">
        <f t="shared" ca="1" si="16"/>
        <v>1678</v>
      </c>
      <c r="I178" s="3">
        <f ca="1">TRUNC(TRUNC(TRUNC(TRUNC(TRUNC(TRUNC(TRUNC(I113*$B$136)*$B$137)*$B$138)*IF($A178="AM 2", VLOOKUP(I$165, AM2MBDmg, 2, 0) * VLOOKUP(I$165, AM2Dmg, 2, 0), $B$140))*$B$141)*((100+VLOOKUP(I$165, ElementMAB, 2, 0))/$B$142)) * $B$150)</f>
        <v>4419</v>
      </c>
    </row>
    <row r="179" spans="1:9" x14ac:dyDescent="0.2">
      <c r="A179" t="s">
        <v>299</v>
      </c>
      <c r="B179" s="3">
        <f t="shared" ca="1" si="16"/>
        <v>4829</v>
      </c>
      <c r="C179" s="3">
        <f t="shared" ca="1" si="16"/>
        <v>4829</v>
      </c>
      <c r="D179" s="3">
        <f t="shared" ca="1" si="16"/>
        <v>4829</v>
      </c>
      <c r="E179" s="3">
        <f t="shared" ca="1" si="16"/>
        <v>4829</v>
      </c>
      <c r="F179" s="3">
        <f t="shared" ca="1" si="16"/>
        <v>4904</v>
      </c>
      <c r="G179" s="3">
        <f t="shared" ca="1" si="16"/>
        <v>4929</v>
      </c>
      <c r="H179" s="3">
        <f t="shared" ca="1" si="16"/>
        <v>2333</v>
      </c>
      <c r="I179" s="3">
        <f ca="1">TRUNC(TRUNC(TRUNC(TRUNC(TRUNC(TRUNC(TRUNC(I114*$B$136)*$B$137)*$B$138)*IF($A179="AM 2", VLOOKUP(I$165, AM2MBDmg, 2, 0) * VLOOKUP(I$165, AM2Dmg, 2, 0), $B$140))*$B$141)*((100+VLOOKUP(I$165, ElementMAB, 2, 0))/$B$142)) * $B$150)</f>
        <v>6233</v>
      </c>
    </row>
    <row r="181" spans="1:9" x14ac:dyDescent="0.2">
      <c r="A181" t="s">
        <v>527</v>
      </c>
    </row>
    <row r="183" spans="1:9" x14ac:dyDescent="0.2">
      <c r="A183" s="8" t="s">
        <v>305</v>
      </c>
      <c r="B183" s="8" t="s">
        <v>278</v>
      </c>
      <c r="C183" s="8" t="s">
        <v>290</v>
      </c>
      <c r="D183" s="14" t="s">
        <v>291</v>
      </c>
      <c r="E183" s="14" t="s">
        <v>292</v>
      </c>
      <c r="F183" s="14" t="s">
        <v>293</v>
      </c>
      <c r="G183" s="14" t="s">
        <v>294</v>
      </c>
      <c r="H183" s="77" t="s">
        <v>644</v>
      </c>
      <c r="I183" s="77" t="s">
        <v>645</v>
      </c>
    </row>
    <row r="184" spans="1:9" x14ac:dyDescent="0.2">
      <c r="A184" t="s">
        <v>279</v>
      </c>
      <c r="B184" s="3">
        <f t="shared" ref="B184:I191" ca="1" si="17">TRUNC(TRUNC(TRUNC(TRUNC(TRUNC(TRUNC(TRUNC(B119*$C$136)*$C$137)*$C$138)*IF($A184="AM 2", VLOOKUP(B$183, AM2MBDmg, 3, 0) * VLOOKUP(B$183, AM2Dmg, 3, 0), $C$140))*$C$141)*((100+VLOOKUP(B$183, ElementMAB, 3, 0))/$C$142)) * $C$150)</f>
        <v>1607</v>
      </c>
      <c r="C184" s="3">
        <f t="shared" ca="1" si="17"/>
        <v>1627</v>
      </c>
      <c r="D184" s="3">
        <f t="shared" ca="1" si="17"/>
        <v>1647</v>
      </c>
      <c r="E184" s="3">
        <f t="shared" ca="1" si="17"/>
        <v>1667</v>
      </c>
      <c r="F184" s="3">
        <f t="shared" ca="1" si="17"/>
        <v>1713</v>
      </c>
      <c r="G184" s="3">
        <f t="shared" ca="1" si="17"/>
        <v>1741</v>
      </c>
      <c r="H184" s="3">
        <f t="shared" ca="1" si="17"/>
        <v>1194</v>
      </c>
      <c r="I184" s="3">
        <f t="shared" ca="1" si="17"/>
        <v>0</v>
      </c>
    </row>
    <row r="185" spans="1:9" x14ac:dyDescent="0.2">
      <c r="A185" t="s">
        <v>280</v>
      </c>
      <c r="B185" s="3">
        <f t="shared" ca="1" si="17"/>
        <v>2330</v>
      </c>
      <c r="C185" s="3">
        <f t="shared" ca="1" si="17"/>
        <v>2350</v>
      </c>
      <c r="D185" s="3">
        <f t="shared" ca="1" si="17"/>
        <v>2374</v>
      </c>
      <c r="E185" s="3">
        <f t="shared" ca="1" si="17"/>
        <v>2397</v>
      </c>
      <c r="F185" s="3">
        <f t="shared" ca="1" si="17"/>
        <v>2458</v>
      </c>
      <c r="G185" s="3">
        <f t="shared" ca="1" si="17"/>
        <v>2494</v>
      </c>
      <c r="H185" s="3">
        <f t="shared" ca="1" si="17"/>
        <v>1516</v>
      </c>
      <c r="I185" s="3">
        <f t="shared" ca="1" si="17"/>
        <v>0</v>
      </c>
    </row>
    <row r="186" spans="1:9" x14ac:dyDescent="0.2">
      <c r="A186" t="s">
        <v>281</v>
      </c>
      <c r="B186" s="3">
        <f t="shared" ca="1" si="17"/>
        <v>3092</v>
      </c>
      <c r="C186" s="3">
        <f t="shared" ca="1" si="17"/>
        <v>3132</v>
      </c>
      <c r="D186" s="3">
        <f t="shared" ca="1" si="17"/>
        <v>3176</v>
      </c>
      <c r="E186" s="3">
        <f t="shared" ca="1" si="17"/>
        <v>3219</v>
      </c>
      <c r="F186" s="3">
        <f t="shared" ca="1" si="17"/>
        <v>3312</v>
      </c>
      <c r="G186" s="3">
        <f t="shared" ca="1" si="17"/>
        <v>3374</v>
      </c>
      <c r="H186" s="3">
        <f t="shared" ca="1" si="17"/>
        <v>2052</v>
      </c>
      <c r="I186" s="3">
        <f t="shared" ca="1" si="17"/>
        <v>0</v>
      </c>
    </row>
    <row r="187" spans="1:9" x14ac:dyDescent="0.2">
      <c r="A187" t="s">
        <v>282</v>
      </c>
      <c r="B187" s="3">
        <f t="shared" ca="1" si="17"/>
        <v>4253</v>
      </c>
      <c r="C187" s="3">
        <f t="shared" ca="1" si="17"/>
        <v>4333</v>
      </c>
      <c r="D187" s="3">
        <f t="shared" ca="1" si="17"/>
        <v>4416</v>
      </c>
      <c r="E187" s="3">
        <f t="shared" ca="1" si="17"/>
        <v>4520</v>
      </c>
      <c r="F187" s="3">
        <f t="shared" ca="1" si="17"/>
        <v>4673</v>
      </c>
      <c r="G187" s="3">
        <f t="shared" ca="1" si="17"/>
        <v>4782</v>
      </c>
      <c r="H187" s="3">
        <f t="shared" ca="1" si="17"/>
        <v>0</v>
      </c>
      <c r="I187" s="3">
        <f t="shared" ca="1" si="17"/>
        <v>0</v>
      </c>
    </row>
    <row r="188" spans="1:9" x14ac:dyDescent="0.2">
      <c r="A188" t="s">
        <v>283</v>
      </c>
      <c r="B188" s="3">
        <f t="shared" ca="1" si="17"/>
        <v>5613</v>
      </c>
      <c r="C188" s="3">
        <f t="shared" ca="1" si="17"/>
        <v>5689</v>
      </c>
      <c r="D188" s="3">
        <f t="shared" ca="1" si="17"/>
        <v>5769</v>
      </c>
      <c r="E188" s="3">
        <f t="shared" ca="1" si="17"/>
        <v>5845</v>
      </c>
      <c r="F188" s="3">
        <f t="shared" ca="1" si="17"/>
        <v>6018</v>
      </c>
      <c r="G188" s="3">
        <f t="shared" ca="1" si="17"/>
        <v>6125</v>
      </c>
      <c r="H188" s="3">
        <f t="shared" ca="1" si="17"/>
        <v>0</v>
      </c>
      <c r="I188" s="3">
        <f t="shared" ca="1" si="17"/>
        <v>0</v>
      </c>
    </row>
    <row r="189" spans="1:9" x14ac:dyDescent="0.2">
      <c r="A189" t="s">
        <v>284</v>
      </c>
      <c r="B189" s="3">
        <f t="shared" ca="1" si="17"/>
        <v>2170</v>
      </c>
      <c r="C189" s="3">
        <f t="shared" ca="1" si="17"/>
        <v>2190</v>
      </c>
      <c r="D189" s="3">
        <f t="shared" ca="1" si="17"/>
        <v>2214</v>
      </c>
      <c r="E189" s="3">
        <f t="shared" ca="1" si="17"/>
        <v>2238</v>
      </c>
      <c r="F189" s="3">
        <f t="shared" ca="1" si="17"/>
        <v>2377</v>
      </c>
      <c r="G189" s="3">
        <f t="shared" ca="1" si="17"/>
        <v>2494</v>
      </c>
      <c r="H189" s="3">
        <f t="shared" ca="1" si="17"/>
        <v>1377</v>
      </c>
      <c r="I189" s="3">
        <f t="shared" ca="1" si="17"/>
        <v>0</v>
      </c>
    </row>
    <row r="190" spans="1:9" x14ac:dyDescent="0.2">
      <c r="A190" t="s">
        <v>285</v>
      </c>
      <c r="B190" s="3">
        <f t="shared" ca="1" si="17"/>
        <v>3291</v>
      </c>
      <c r="C190" s="3">
        <f t="shared" ca="1" si="17"/>
        <v>3331</v>
      </c>
      <c r="D190" s="3">
        <f t="shared" ca="1" si="17"/>
        <v>3375</v>
      </c>
      <c r="E190" s="3">
        <f t="shared" ca="1" si="17"/>
        <v>3419</v>
      </c>
      <c r="F190" s="3">
        <f t="shared" ca="1" si="17"/>
        <v>3515</v>
      </c>
      <c r="G190" s="3">
        <f t="shared" ca="1" si="17"/>
        <v>3577</v>
      </c>
      <c r="H190" s="3">
        <f t="shared" ca="1" si="17"/>
        <v>1893</v>
      </c>
      <c r="I190" s="3">
        <f t="shared" ca="1" si="17"/>
        <v>0</v>
      </c>
    </row>
    <row r="191" spans="1:9" x14ac:dyDescent="0.2">
      <c r="A191" t="s">
        <v>286</v>
      </c>
      <c r="B191" s="3">
        <f t="shared" ca="1" si="17"/>
        <v>4652</v>
      </c>
      <c r="C191" s="3">
        <f t="shared" ca="1" si="17"/>
        <v>4732</v>
      </c>
      <c r="D191" s="3">
        <f t="shared" ca="1" si="17"/>
        <v>4815</v>
      </c>
      <c r="E191" s="3">
        <f t="shared" ca="1" si="17"/>
        <v>4919</v>
      </c>
      <c r="F191" s="3">
        <f t="shared" ca="1" si="17"/>
        <v>5078</v>
      </c>
      <c r="G191" s="3">
        <f t="shared" ca="1" si="17"/>
        <v>5189</v>
      </c>
      <c r="H191" s="3">
        <f t="shared" ca="1" si="17"/>
        <v>0</v>
      </c>
      <c r="I191" s="3">
        <f t="shared" ca="1" si="17"/>
        <v>0</v>
      </c>
    </row>
    <row r="192" spans="1:9" x14ac:dyDescent="0.2">
      <c r="A192" t="s">
        <v>287</v>
      </c>
      <c r="B192" s="3">
        <f t="shared" ref="B192:H197" ca="1" si="18">TRUNC(TRUNC(TRUNC(TRUNC(TRUNC(TRUNC(TRUNC(B127*$C$136)*$C$137)*$C$138)*IF($A192="AM 2", VLOOKUP(B$183, AM2MBDmg, 3, 0) * VLOOKUP(B$183, AM2Dmg, 3, 0), $C$140))*$C$141)*((100+VLOOKUP(B$183, ElementMAB, 3, 0))/$C$142)) * $C$150)</f>
        <v>6012</v>
      </c>
      <c r="C192" s="3">
        <f t="shared" ca="1" si="18"/>
        <v>6088</v>
      </c>
      <c r="D192" s="3">
        <f t="shared" ca="1" si="18"/>
        <v>6168</v>
      </c>
      <c r="E192" s="3">
        <f t="shared" ca="1" si="18"/>
        <v>6248</v>
      </c>
      <c r="F192" s="3">
        <f t="shared" ca="1" si="18"/>
        <v>6423</v>
      </c>
      <c r="G192" s="3">
        <f t="shared" ca="1" si="18"/>
        <v>6532</v>
      </c>
      <c r="H192" s="3">
        <f t="shared" ca="1" si="18"/>
        <v>0</v>
      </c>
      <c r="I192" s="3">
        <f ca="1">TRUNC(TRUNC(TRUNC(TRUNC(TRUNC(TRUNC(TRUNC(I127*$C$136)*$C$137)*$C$138)*IF($A192="AM 2", VLOOKUP(I$183, AM2MBDmg, 3, 0) * VLOOKUP(I$183, AM2Dmg, 3, 0), $C$140))*$C$141)*((100+VLOOKUP(I$183, ElementMAB, 3, 0))/$C$142)) * $C$150) - C56</f>
        <v>7991.6</v>
      </c>
    </row>
    <row r="193" spans="1:9" x14ac:dyDescent="0.2">
      <c r="A193" t="s">
        <v>617</v>
      </c>
      <c r="B193" s="3">
        <f t="shared" ca="1" si="18"/>
        <v>1588</v>
      </c>
      <c r="C193" s="3">
        <f t="shared" ca="1" si="18"/>
        <v>1588</v>
      </c>
      <c r="D193" s="3">
        <f t="shared" ca="1" si="18"/>
        <v>1588</v>
      </c>
      <c r="E193" s="3">
        <f t="shared" ca="1" si="18"/>
        <v>1588</v>
      </c>
      <c r="F193" s="3">
        <f t="shared" ca="1" si="18"/>
        <v>1611</v>
      </c>
      <c r="G193" s="3">
        <f t="shared" ca="1" si="18"/>
        <v>1619</v>
      </c>
      <c r="H193" s="3">
        <f t="shared" ca="1" si="18"/>
        <v>0</v>
      </c>
      <c r="I193" s="3">
        <f ca="1">TRUNC(TRUNC(TRUNC(TRUNC(TRUNC(TRUNC(TRUNC(I128*$C$136)*$C$137)*$C$138)*IF($A193="AM 2", VLOOKUP(I$183, AM2MBDmg, 3, 0) * VLOOKUP(I$183, AM2Dmg, 3, 0), $C$140))*$C$141)*((100+VLOOKUP(I$183, ElementMAB, 3, 0))/$C$142)) * $C$150)</f>
        <v>2540</v>
      </c>
    </row>
    <row r="194" spans="1:9" x14ac:dyDescent="0.2">
      <c r="A194" t="s">
        <v>289</v>
      </c>
      <c r="B194" s="3">
        <f t="shared" ca="1" si="18"/>
        <v>2529</v>
      </c>
      <c r="C194" s="3">
        <f t="shared" ca="1" si="18"/>
        <v>2589</v>
      </c>
      <c r="D194" s="3">
        <f t="shared" ca="1" si="18"/>
        <v>2653</v>
      </c>
      <c r="E194" s="3">
        <f t="shared" ca="1" si="18"/>
        <v>2717</v>
      </c>
      <c r="F194" s="3">
        <f t="shared" ca="1" si="18"/>
        <v>2822</v>
      </c>
      <c r="G194" s="3">
        <f t="shared" ca="1" si="18"/>
        <v>2901</v>
      </c>
      <c r="H194" s="3">
        <f t="shared" ca="1" si="18"/>
        <v>0</v>
      </c>
      <c r="I194" s="3">
        <f ca="1">TRUNC(TRUNC(TRUNC(TRUNC(TRUNC(TRUNC(TRUNC(I129*$C$136)*$C$137)*$C$138)*IF($A194="AM 2", VLOOKUP(I$183, AM2MBDmg, 3, 0) * VLOOKUP(I$183, AM2Dmg, 3, 0), $C$140))*$C$141)*((100+VLOOKUP(I$183, ElementMAB, 3, 0))/$C$142)) * $C$150)</f>
        <v>0</v>
      </c>
    </row>
    <row r="195" spans="1:9" x14ac:dyDescent="0.2">
      <c r="A195" t="s">
        <v>298</v>
      </c>
      <c r="B195" s="3">
        <f t="shared" ca="1" si="18"/>
        <v>3690</v>
      </c>
      <c r="C195" s="3">
        <f t="shared" ca="1" si="18"/>
        <v>3770</v>
      </c>
      <c r="D195" s="3">
        <f t="shared" ca="1" si="18"/>
        <v>3854</v>
      </c>
      <c r="E195" s="3">
        <f t="shared" ca="1" si="18"/>
        <v>3938</v>
      </c>
      <c r="F195" s="3">
        <f t="shared" ca="1" si="18"/>
        <v>4082</v>
      </c>
      <c r="G195" s="3">
        <f t="shared" ca="1" si="18"/>
        <v>4188</v>
      </c>
      <c r="H195" s="3">
        <f t="shared" ca="1" si="18"/>
        <v>0</v>
      </c>
      <c r="I195" s="3">
        <f ca="1">TRUNC(TRUNC(TRUNC(TRUNC(TRUNC(TRUNC(TRUNC(I130*$C$136)*$C$137)*$C$138)*IF($A195="AM 2", VLOOKUP(I$183, AM2MBDmg, 3, 0) * VLOOKUP(I$183, AM2Dmg, 3, 0), $C$140))*$C$141)*((100+VLOOKUP(I$183, ElementMAB, 3, 0))/$C$142)) * $C$150)</f>
        <v>0</v>
      </c>
    </row>
    <row r="196" spans="1:9" x14ac:dyDescent="0.2">
      <c r="A196" t="s">
        <v>288</v>
      </c>
      <c r="B196" s="3">
        <f t="shared" ca="1" si="18"/>
        <v>4524</v>
      </c>
      <c r="C196" s="3">
        <f t="shared" ca="1" si="18"/>
        <v>4524</v>
      </c>
      <c r="D196" s="3">
        <f t="shared" ca="1" si="18"/>
        <v>4524</v>
      </c>
      <c r="E196" s="3">
        <f t="shared" ca="1" si="18"/>
        <v>4524</v>
      </c>
      <c r="F196" s="3">
        <f t="shared" ca="1" si="18"/>
        <v>4592</v>
      </c>
      <c r="G196" s="3">
        <f t="shared" ca="1" si="18"/>
        <v>4615</v>
      </c>
      <c r="H196" s="3">
        <f t="shared" ca="1" si="18"/>
        <v>1675</v>
      </c>
      <c r="I196" s="3">
        <f ca="1">TRUNC(TRUNC(TRUNC(TRUNC(TRUNC(TRUNC(TRUNC(I131*$C$136)*$C$137)*$C$138)*IF($A196="AM 2", VLOOKUP(I$183, AM2MBDmg, 3, 0) * VLOOKUP(I$183, AM2Dmg, 3, 0), $C$140))*$C$141)*((100+VLOOKUP(I$183, ElementMAB, 3, 0))/$C$142)) * $C$150)</f>
        <v>4501</v>
      </c>
    </row>
    <row r="197" spans="1:9" x14ac:dyDescent="0.2">
      <c r="A197" t="s">
        <v>299</v>
      </c>
      <c r="B197" s="3">
        <f t="shared" ca="1" si="18"/>
        <v>4923</v>
      </c>
      <c r="C197" s="3">
        <f t="shared" ca="1" si="18"/>
        <v>4923</v>
      </c>
      <c r="D197" s="3">
        <f t="shared" ca="1" si="18"/>
        <v>4923</v>
      </c>
      <c r="E197" s="3">
        <f t="shared" ca="1" si="18"/>
        <v>4923</v>
      </c>
      <c r="F197" s="3">
        <f t="shared" ca="1" si="18"/>
        <v>4997</v>
      </c>
      <c r="G197" s="3">
        <f t="shared" ca="1" si="18"/>
        <v>5022</v>
      </c>
      <c r="H197" s="3">
        <f t="shared" ca="1" si="18"/>
        <v>2350</v>
      </c>
      <c r="I197" s="3">
        <f ca="1">TRUNC(TRUNC(TRUNC(TRUNC(TRUNC(TRUNC(TRUNC(I132*$C$136)*$C$137)*$C$138)*IF($A197="AM 2", VLOOKUP(I$183, AM2MBDmg, 3, 0) * VLOOKUP(I$183, AM2Dmg, 3, 0), $C$140))*$C$141)*((100+VLOOKUP(I$183, ElementMAB, 3, 0))/$C$142)) * $C$150)</f>
        <v>6371</v>
      </c>
    </row>
    <row r="198" spans="1:9" x14ac:dyDescent="0.2">
      <c r="B198" s="3"/>
      <c r="C198" s="3"/>
      <c r="D198" s="3"/>
      <c r="E198" s="3"/>
      <c r="F198" s="3"/>
      <c r="G198" s="3"/>
    </row>
    <row r="199" spans="1:9" x14ac:dyDescent="0.2">
      <c r="B199" s="2"/>
      <c r="C199" s="2"/>
      <c r="D199" s="2"/>
      <c r="E199" s="2"/>
      <c r="F199" s="2"/>
      <c r="G199" s="2"/>
    </row>
    <row r="200" spans="1:9" x14ac:dyDescent="0.2">
      <c r="A200" t="s">
        <v>528</v>
      </c>
    </row>
    <row r="202" spans="1:9" x14ac:dyDescent="0.2">
      <c r="A202" s="8" t="s">
        <v>305</v>
      </c>
      <c r="B202" s="8" t="s">
        <v>278</v>
      </c>
      <c r="C202" s="8" t="s">
        <v>290</v>
      </c>
      <c r="D202" s="14" t="s">
        <v>291</v>
      </c>
      <c r="E202" s="14" t="s">
        <v>292</v>
      </c>
      <c r="F202" s="14" t="s">
        <v>293</v>
      </c>
      <c r="G202" s="14" t="s">
        <v>294</v>
      </c>
      <c r="H202" s="77" t="s">
        <v>644</v>
      </c>
      <c r="I202" s="77" t="s">
        <v>645</v>
      </c>
    </row>
    <row r="203" spans="1:9" x14ac:dyDescent="0.2">
      <c r="A203" t="s">
        <v>279</v>
      </c>
      <c r="B203" s="3">
        <f t="shared" ref="B203:I216" ca="1" si="19">TRUNC(TRUNC(TRUNC(TRUNC(TRUNC(TRUNC(TRUNC(B101*$B$136)*$B$137)*$B$138)*IF($A203="AM 2", VLOOKUP(B$202, AM2MBDmg, 2, 0), $B$140))*$B$141)*((100+VLOOKUP(B$202, ElementMAB, 2, 0) + 10 + $B$144)/$B$142)) * $B$150)</f>
        <v>1655</v>
      </c>
      <c r="C203" s="3">
        <f t="shared" ca="1" si="19"/>
        <v>1675</v>
      </c>
      <c r="D203" s="3">
        <f t="shared" ca="1" si="19"/>
        <v>1695</v>
      </c>
      <c r="E203" s="3">
        <f t="shared" ca="1" si="19"/>
        <v>1715</v>
      </c>
      <c r="F203" s="3">
        <f t="shared" ca="1" si="19"/>
        <v>1761</v>
      </c>
      <c r="G203" s="3">
        <f t="shared" ca="1" si="19"/>
        <v>1790</v>
      </c>
      <c r="H203" s="3">
        <f t="shared" ca="1" si="19"/>
        <v>1244</v>
      </c>
      <c r="I203" s="3">
        <f t="shared" ca="1" si="19"/>
        <v>0</v>
      </c>
    </row>
    <row r="204" spans="1:9" x14ac:dyDescent="0.2">
      <c r="A204" t="s">
        <v>280</v>
      </c>
      <c r="B204" s="3">
        <f t="shared" ca="1" si="19"/>
        <v>2374</v>
      </c>
      <c r="C204" s="3">
        <f t="shared" ca="1" si="19"/>
        <v>2393</v>
      </c>
      <c r="D204" s="3">
        <f t="shared" ca="1" si="19"/>
        <v>2417</v>
      </c>
      <c r="E204" s="3">
        <f t="shared" ca="1" si="19"/>
        <v>2441</v>
      </c>
      <c r="F204" s="3">
        <f t="shared" ca="1" si="19"/>
        <v>2502</v>
      </c>
      <c r="G204" s="3">
        <f t="shared" ca="1" si="19"/>
        <v>2539</v>
      </c>
      <c r="H204" s="3">
        <f t="shared" ca="1" si="19"/>
        <v>1564</v>
      </c>
      <c r="I204" s="3">
        <f t="shared" ca="1" si="19"/>
        <v>0</v>
      </c>
    </row>
    <row r="205" spans="1:9" x14ac:dyDescent="0.2">
      <c r="A205" t="s">
        <v>281</v>
      </c>
      <c r="B205" s="3">
        <f t="shared" ca="1" si="19"/>
        <v>3132</v>
      </c>
      <c r="C205" s="3">
        <f t="shared" ca="1" si="19"/>
        <v>3172</v>
      </c>
      <c r="D205" s="3">
        <f t="shared" ca="1" si="19"/>
        <v>3215</v>
      </c>
      <c r="E205" s="3">
        <f t="shared" ca="1" si="19"/>
        <v>3259</v>
      </c>
      <c r="F205" s="3">
        <f t="shared" ca="1" si="19"/>
        <v>3352</v>
      </c>
      <c r="G205" s="3">
        <f t="shared" ca="1" si="19"/>
        <v>3414</v>
      </c>
      <c r="H205" s="3">
        <f t="shared" ca="1" si="19"/>
        <v>2097</v>
      </c>
      <c r="I205" s="3">
        <f t="shared" ca="1" si="19"/>
        <v>0</v>
      </c>
    </row>
    <row r="206" spans="1:9" x14ac:dyDescent="0.2">
      <c r="A206" t="s">
        <v>282</v>
      </c>
      <c r="B206" s="3">
        <f t="shared" ca="1" si="19"/>
        <v>4287</v>
      </c>
      <c r="C206" s="3">
        <f t="shared" ca="1" si="19"/>
        <v>4367</v>
      </c>
      <c r="D206" s="3">
        <f t="shared" ca="1" si="19"/>
        <v>4450</v>
      </c>
      <c r="E206" s="3">
        <f t="shared" ca="1" si="19"/>
        <v>4553</v>
      </c>
      <c r="F206" s="3">
        <f t="shared" ca="1" si="19"/>
        <v>4707</v>
      </c>
      <c r="G206" s="3">
        <f t="shared" ca="1" si="19"/>
        <v>4815</v>
      </c>
      <c r="H206" s="3">
        <f t="shared" ca="1" si="19"/>
        <v>0</v>
      </c>
      <c r="I206" s="3">
        <f t="shared" ca="1" si="19"/>
        <v>0</v>
      </c>
    </row>
    <row r="207" spans="1:9" x14ac:dyDescent="0.2">
      <c r="A207" t="s">
        <v>283</v>
      </c>
      <c r="B207" s="3">
        <f t="shared" ca="1" si="19"/>
        <v>5641</v>
      </c>
      <c r="C207" s="3">
        <f t="shared" ca="1" si="19"/>
        <v>5716</v>
      </c>
      <c r="D207" s="3">
        <f t="shared" ca="1" si="19"/>
        <v>5796</v>
      </c>
      <c r="E207" s="3">
        <f t="shared" ca="1" si="19"/>
        <v>5871</v>
      </c>
      <c r="F207" s="3">
        <f t="shared" ca="1" si="19"/>
        <v>6045</v>
      </c>
      <c r="G207" s="3">
        <f t="shared" ca="1" si="19"/>
        <v>6151</v>
      </c>
      <c r="H207" s="3">
        <f t="shared" ca="1" si="19"/>
        <v>0</v>
      </c>
      <c r="I207" s="3">
        <f t="shared" ca="1" si="19"/>
        <v>0</v>
      </c>
    </row>
    <row r="208" spans="1:9" x14ac:dyDescent="0.2">
      <c r="A208" t="s">
        <v>284</v>
      </c>
      <c r="B208" s="3">
        <f t="shared" ca="1" si="19"/>
        <v>2215</v>
      </c>
      <c r="C208" s="3">
        <f t="shared" ca="1" si="19"/>
        <v>2235</v>
      </c>
      <c r="D208" s="3">
        <f t="shared" ca="1" si="19"/>
        <v>2258</v>
      </c>
      <c r="E208" s="3">
        <f t="shared" ca="1" si="19"/>
        <v>2282</v>
      </c>
      <c r="F208" s="3">
        <f t="shared" ca="1" si="19"/>
        <v>2422</v>
      </c>
      <c r="G208" s="3">
        <f t="shared" ca="1" si="19"/>
        <v>2539</v>
      </c>
      <c r="H208" s="3">
        <f t="shared" ca="1" si="19"/>
        <v>1425</v>
      </c>
      <c r="I208" s="3">
        <f t="shared" ca="1" si="19"/>
        <v>0</v>
      </c>
    </row>
    <row r="209" spans="1:9" x14ac:dyDescent="0.2">
      <c r="A209" t="s">
        <v>285</v>
      </c>
      <c r="B209" s="3">
        <f t="shared" ca="1" si="19"/>
        <v>3330</v>
      </c>
      <c r="C209" s="3">
        <f t="shared" ca="1" si="19"/>
        <v>3370</v>
      </c>
      <c r="D209" s="3">
        <f t="shared" ca="1" si="19"/>
        <v>3414</v>
      </c>
      <c r="E209" s="3">
        <f t="shared" ca="1" si="19"/>
        <v>3457</v>
      </c>
      <c r="F209" s="3">
        <f t="shared" ca="1" si="19"/>
        <v>3554</v>
      </c>
      <c r="G209" s="3">
        <f t="shared" ca="1" si="19"/>
        <v>3616</v>
      </c>
      <c r="H209" s="3">
        <f t="shared" ca="1" si="19"/>
        <v>1939</v>
      </c>
      <c r="I209" s="3">
        <f t="shared" ca="1" si="19"/>
        <v>0</v>
      </c>
    </row>
    <row r="210" spans="1:9" x14ac:dyDescent="0.2">
      <c r="A210" t="s">
        <v>286</v>
      </c>
      <c r="B210" s="3">
        <f t="shared" ca="1" si="19"/>
        <v>4684</v>
      </c>
      <c r="C210" s="3">
        <f t="shared" ca="1" si="19"/>
        <v>4764</v>
      </c>
      <c r="D210" s="3">
        <f t="shared" ca="1" si="19"/>
        <v>4847</v>
      </c>
      <c r="E210" s="3">
        <f t="shared" ca="1" si="19"/>
        <v>4950</v>
      </c>
      <c r="F210" s="3">
        <f t="shared" ca="1" si="19"/>
        <v>5110</v>
      </c>
      <c r="G210" s="3">
        <f t="shared" ca="1" si="19"/>
        <v>5220</v>
      </c>
      <c r="H210" s="3">
        <f t="shared" ca="1" si="19"/>
        <v>0</v>
      </c>
      <c r="I210" s="3">
        <f t="shared" ca="1" si="19"/>
        <v>0</v>
      </c>
    </row>
    <row r="211" spans="1:9" x14ac:dyDescent="0.2">
      <c r="A211" t="s">
        <v>287</v>
      </c>
      <c r="B211" s="3">
        <f t="shared" ca="1" si="19"/>
        <v>6038</v>
      </c>
      <c r="C211" s="3">
        <f t="shared" ca="1" si="19"/>
        <v>6113</v>
      </c>
      <c r="D211" s="3">
        <f t="shared" ca="1" si="19"/>
        <v>6193</v>
      </c>
      <c r="E211" s="3">
        <f t="shared" ca="1" si="19"/>
        <v>6272</v>
      </c>
      <c r="F211" s="3">
        <f t="shared" ca="1" si="19"/>
        <v>6448</v>
      </c>
      <c r="G211" s="3">
        <f t="shared" ca="1" si="19"/>
        <v>6556</v>
      </c>
      <c r="H211" s="3">
        <f t="shared" ca="1" si="19"/>
        <v>0</v>
      </c>
      <c r="I211" s="3">
        <f t="shared" ca="1" si="19"/>
        <v>8172</v>
      </c>
    </row>
    <row r="212" spans="1:9" x14ac:dyDescent="0.2">
      <c r="A212" t="s">
        <v>617</v>
      </c>
      <c r="B212" s="3">
        <f t="shared" ca="1" si="19"/>
        <v>1635</v>
      </c>
      <c r="C212" s="3">
        <f t="shared" ca="1" si="19"/>
        <v>1635</v>
      </c>
      <c r="D212" s="3">
        <f t="shared" ca="1" si="19"/>
        <v>1635</v>
      </c>
      <c r="E212" s="3">
        <f t="shared" ca="1" si="19"/>
        <v>1635</v>
      </c>
      <c r="F212" s="3">
        <f t="shared" ca="1" si="19"/>
        <v>1660</v>
      </c>
      <c r="G212" s="3">
        <f t="shared" ca="1" si="19"/>
        <v>1668</v>
      </c>
      <c r="H212" s="3">
        <f t="shared" ca="1" si="19"/>
        <v>0</v>
      </c>
      <c r="I212" s="3">
        <f t="shared" ca="1" si="19"/>
        <v>2528</v>
      </c>
    </row>
    <row r="213" spans="1:9" x14ac:dyDescent="0.2">
      <c r="A213" t="s">
        <v>289</v>
      </c>
      <c r="B213" s="3">
        <f t="shared" ca="1" si="19"/>
        <v>2572</v>
      </c>
      <c r="C213" s="3">
        <f t="shared" ca="1" si="19"/>
        <v>2632</v>
      </c>
      <c r="D213" s="3">
        <f t="shared" ca="1" si="19"/>
        <v>2695</v>
      </c>
      <c r="E213" s="3">
        <f t="shared" ca="1" si="19"/>
        <v>2759</v>
      </c>
      <c r="F213" s="3">
        <f t="shared" ca="1" si="19"/>
        <v>2865</v>
      </c>
      <c r="G213" s="3">
        <f t="shared" ca="1" si="19"/>
        <v>2944</v>
      </c>
      <c r="H213" s="3">
        <f t="shared" ca="1" si="19"/>
        <v>0</v>
      </c>
      <c r="I213" s="3">
        <f t="shared" ca="1" si="19"/>
        <v>0</v>
      </c>
    </row>
    <row r="214" spans="1:9" x14ac:dyDescent="0.2">
      <c r="A214" t="s">
        <v>298</v>
      </c>
      <c r="B214" s="3">
        <f t="shared" ca="1" si="19"/>
        <v>3727</v>
      </c>
      <c r="C214" s="3">
        <f t="shared" ca="1" si="19"/>
        <v>3807</v>
      </c>
      <c r="D214" s="3">
        <f t="shared" ca="1" si="19"/>
        <v>3890</v>
      </c>
      <c r="E214" s="3">
        <f t="shared" ca="1" si="19"/>
        <v>3973</v>
      </c>
      <c r="F214" s="3">
        <f t="shared" ca="1" si="19"/>
        <v>4118</v>
      </c>
      <c r="G214" s="3">
        <f t="shared" ca="1" si="19"/>
        <v>4224</v>
      </c>
      <c r="H214" s="3">
        <f t="shared" ca="1" si="19"/>
        <v>0</v>
      </c>
      <c r="I214" s="3">
        <f t="shared" ca="1" si="19"/>
        <v>0</v>
      </c>
    </row>
    <row r="215" spans="1:9" x14ac:dyDescent="0.2">
      <c r="A215" t="s">
        <v>288</v>
      </c>
      <c r="B215" s="3">
        <f t="shared" ca="1" si="19"/>
        <v>4557</v>
      </c>
      <c r="C215" s="3">
        <f t="shared" ca="1" si="19"/>
        <v>4557</v>
      </c>
      <c r="D215" s="3">
        <f t="shared" ca="1" si="19"/>
        <v>4557</v>
      </c>
      <c r="E215" s="3">
        <f t="shared" ca="1" si="19"/>
        <v>4557</v>
      </c>
      <c r="F215" s="3">
        <f t="shared" ca="1" si="19"/>
        <v>4626</v>
      </c>
      <c r="G215" s="3">
        <f t="shared" ca="1" si="19"/>
        <v>4649</v>
      </c>
      <c r="H215" s="3">
        <f t="shared" ca="1" si="19"/>
        <v>1722</v>
      </c>
      <c r="I215" s="3">
        <f t="shared" ca="1" si="19"/>
        <v>4534</v>
      </c>
    </row>
    <row r="216" spans="1:9" x14ac:dyDescent="0.2">
      <c r="A216" t="s">
        <v>299</v>
      </c>
      <c r="B216" s="3">
        <f t="shared" ca="1" si="19"/>
        <v>4954</v>
      </c>
      <c r="C216" s="3">
        <f t="shared" ca="1" si="19"/>
        <v>4954</v>
      </c>
      <c r="D216" s="3">
        <f t="shared" ca="1" si="19"/>
        <v>4954</v>
      </c>
      <c r="E216" s="3">
        <f t="shared" ca="1" si="19"/>
        <v>4954</v>
      </c>
      <c r="F216" s="3">
        <f t="shared" ca="1" si="19"/>
        <v>5029</v>
      </c>
      <c r="G216" s="3">
        <f t="shared" ca="1" si="19"/>
        <v>5054</v>
      </c>
      <c r="H216" s="3">
        <f t="shared" ca="1" si="19"/>
        <v>2393</v>
      </c>
      <c r="I216" s="3">
        <f t="shared" ca="1" si="19"/>
        <v>6395</v>
      </c>
    </row>
    <row r="218" spans="1:9" x14ac:dyDescent="0.2">
      <c r="A218" t="s">
        <v>529</v>
      </c>
    </row>
    <row r="220" spans="1:9" x14ac:dyDescent="0.2">
      <c r="A220" s="8" t="s">
        <v>305</v>
      </c>
      <c r="B220" s="8" t="s">
        <v>278</v>
      </c>
      <c r="C220" s="8" t="s">
        <v>290</v>
      </c>
      <c r="D220" s="14" t="s">
        <v>291</v>
      </c>
      <c r="E220" s="14" t="s">
        <v>292</v>
      </c>
      <c r="F220" s="14" t="s">
        <v>293</v>
      </c>
      <c r="G220" s="14" t="s">
        <v>294</v>
      </c>
      <c r="H220" s="77" t="s">
        <v>644</v>
      </c>
      <c r="I220" s="77" t="s">
        <v>645</v>
      </c>
    </row>
    <row r="221" spans="1:9" x14ac:dyDescent="0.2">
      <c r="A221" t="s">
        <v>279</v>
      </c>
      <c r="B221" s="3">
        <f t="shared" ref="B221:I234" ca="1" si="20">TRUNC(TRUNC(TRUNC(TRUNC(TRUNC(TRUNC(TRUNC(B119*$C$136)*$C$137)*$C$138)*IF($A221="AM 2", VLOOKUP(B$220, AM2MBDmg, 3, 0), $C$140))*$C$141)*((100+VLOOKUP(B$220, ElementMAB, 3, 0) + 10 + $C$144)/$C$142)) * $C$150)</f>
        <v>1648</v>
      </c>
      <c r="C221" s="3">
        <f t="shared" ca="1" si="20"/>
        <v>1668</v>
      </c>
      <c r="D221" s="3">
        <f t="shared" ca="1" si="20"/>
        <v>1689</v>
      </c>
      <c r="E221" s="3">
        <f t="shared" ca="1" si="20"/>
        <v>1709</v>
      </c>
      <c r="F221" s="3">
        <f t="shared" ca="1" si="20"/>
        <v>1755</v>
      </c>
      <c r="G221" s="3">
        <f t="shared" ca="1" si="20"/>
        <v>1784</v>
      </c>
      <c r="H221" s="3">
        <f t="shared" ca="1" si="20"/>
        <v>1225</v>
      </c>
      <c r="I221" s="3">
        <f t="shared" ca="1" si="20"/>
        <v>0</v>
      </c>
    </row>
    <row r="222" spans="1:9" x14ac:dyDescent="0.2">
      <c r="A222" t="s">
        <v>280</v>
      </c>
      <c r="B222" s="3">
        <f t="shared" ca="1" si="20"/>
        <v>2388</v>
      </c>
      <c r="C222" s="3">
        <f t="shared" ca="1" si="20"/>
        <v>2409</v>
      </c>
      <c r="D222" s="3">
        <f t="shared" ca="1" si="20"/>
        <v>2433</v>
      </c>
      <c r="E222" s="3">
        <f t="shared" ca="1" si="20"/>
        <v>2458</v>
      </c>
      <c r="F222" s="3">
        <f t="shared" ca="1" si="20"/>
        <v>2519</v>
      </c>
      <c r="G222" s="3">
        <f t="shared" ca="1" si="20"/>
        <v>2556</v>
      </c>
      <c r="H222" s="3">
        <f t="shared" ca="1" si="20"/>
        <v>1554</v>
      </c>
      <c r="I222" s="3">
        <f t="shared" ca="1" si="20"/>
        <v>0</v>
      </c>
    </row>
    <row r="223" spans="1:9" x14ac:dyDescent="0.2">
      <c r="A223" t="s">
        <v>281</v>
      </c>
      <c r="B223" s="3">
        <f t="shared" ca="1" si="20"/>
        <v>3169</v>
      </c>
      <c r="C223" s="3">
        <f t="shared" ca="1" si="20"/>
        <v>3210</v>
      </c>
      <c r="D223" s="3">
        <f t="shared" ca="1" si="20"/>
        <v>3255</v>
      </c>
      <c r="E223" s="3">
        <f t="shared" ca="1" si="20"/>
        <v>3300</v>
      </c>
      <c r="F223" s="3">
        <f t="shared" ca="1" si="20"/>
        <v>3394</v>
      </c>
      <c r="G223" s="3">
        <f t="shared" ca="1" si="20"/>
        <v>3456</v>
      </c>
      <c r="H223" s="3">
        <f t="shared" ca="1" si="20"/>
        <v>2104</v>
      </c>
      <c r="I223" s="3">
        <f t="shared" ca="1" si="20"/>
        <v>0</v>
      </c>
    </row>
    <row r="224" spans="1:9" x14ac:dyDescent="0.2">
      <c r="A224" t="s">
        <v>282</v>
      </c>
      <c r="B224" s="3">
        <f t="shared" ca="1" si="20"/>
        <v>4359</v>
      </c>
      <c r="C224" s="3">
        <f t="shared" ca="1" si="20"/>
        <v>4441</v>
      </c>
      <c r="D224" s="3">
        <f t="shared" ca="1" si="20"/>
        <v>4527</v>
      </c>
      <c r="E224" s="3">
        <f t="shared" ca="1" si="20"/>
        <v>4633</v>
      </c>
      <c r="F224" s="3">
        <f t="shared" ca="1" si="20"/>
        <v>4789</v>
      </c>
      <c r="G224" s="3">
        <f t="shared" ca="1" si="20"/>
        <v>4899</v>
      </c>
      <c r="H224" s="3">
        <f t="shared" ca="1" si="20"/>
        <v>0</v>
      </c>
      <c r="I224" s="3">
        <f t="shared" ca="1" si="20"/>
        <v>0</v>
      </c>
    </row>
    <row r="225" spans="1:9" x14ac:dyDescent="0.2">
      <c r="A225" t="s">
        <v>283</v>
      </c>
      <c r="B225" s="3">
        <f t="shared" ca="1" si="20"/>
        <v>5754</v>
      </c>
      <c r="C225" s="3">
        <f t="shared" ca="1" si="20"/>
        <v>5832</v>
      </c>
      <c r="D225" s="3">
        <f t="shared" ca="1" si="20"/>
        <v>5914</v>
      </c>
      <c r="E225" s="3">
        <f t="shared" ca="1" si="20"/>
        <v>5991</v>
      </c>
      <c r="F225" s="3">
        <f t="shared" ca="1" si="20"/>
        <v>6166</v>
      </c>
      <c r="G225" s="3">
        <f t="shared" ca="1" si="20"/>
        <v>6275</v>
      </c>
      <c r="H225" s="3">
        <f t="shared" ca="1" si="20"/>
        <v>0</v>
      </c>
      <c r="I225" s="3">
        <f t="shared" ca="1" si="20"/>
        <v>0</v>
      </c>
    </row>
    <row r="226" spans="1:9" x14ac:dyDescent="0.2">
      <c r="A226" t="s">
        <v>284</v>
      </c>
      <c r="B226" s="3">
        <f t="shared" ca="1" si="20"/>
        <v>2224</v>
      </c>
      <c r="C226" s="3">
        <f t="shared" ca="1" si="20"/>
        <v>2245</v>
      </c>
      <c r="D226" s="3">
        <f t="shared" ca="1" si="20"/>
        <v>2269</v>
      </c>
      <c r="E226" s="3">
        <f t="shared" ca="1" si="20"/>
        <v>2294</v>
      </c>
      <c r="F226" s="3">
        <f t="shared" ca="1" si="20"/>
        <v>2436</v>
      </c>
      <c r="G226" s="3">
        <f t="shared" ca="1" si="20"/>
        <v>2556</v>
      </c>
      <c r="H226" s="3">
        <f t="shared" ca="1" si="20"/>
        <v>1412</v>
      </c>
      <c r="I226" s="3">
        <f t="shared" ca="1" si="20"/>
        <v>0</v>
      </c>
    </row>
    <row r="227" spans="1:9" x14ac:dyDescent="0.2">
      <c r="A227" t="s">
        <v>285</v>
      </c>
      <c r="B227" s="3">
        <f t="shared" ca="1" si="20"/>
        <v>3374</v>
      </c>
      <c r="C227" s="3">
        <f t="shared" ca="1" si="20"/>
        <v>3415</v>
      </c>
      <c r="D227" s="3">
        <f t="shared" ca="1" si="20"/>
        <v>3460</v>
      </c>
      <c r="E227" s="3">
        <f t="shared" ca="1" si="20"/>
        <v>3505</v>
      </c>
      <c r="F227" s="3">
        <f t="shared" ca="1" si="20"/>
        <v>3602</v>
      </c>
      <c r="G227" s="3">
        <f t="shared" ca="1" si="20"/>
        <v>3665</v>
      </c>
      <c r="H227" s="3">
        <f t="shared" ca="1" si="20"/>
        <v>1941</v>
      </c>
      <c r="I227" s="3">
        <f t="shared" ca="1" si="20"/>
        <v>0</v>
      </c>
    </row>
    <row r="228" spans="1:9" x14ac:dyDescent="0.2">
      <c r="A228" t="s">
        <v>286</v>
      </c>
      <c r="B228" s="3">
        <f t="shared" ca="1" si="20"/>
        <v>4768</v>
      </c>
      <c r="C228" s="3">
        <f t="shared" ca="1" si="20"/>
        <v>4850</v>
      </c>
      <c r="D228" s="3">
        <f t="shared" ca="1" si="20"/>
        <v>4936</v>
      </c>
      <c r="E228" s="3">
        <f t="shared" ca="1" si="20"/>
        <v>5042</v>
      </c>
      <c r="F228" s="3">
        <f t="shared" ca="1" si="20"/>
        <v>5204</v>
      </c>
      <c r="G228" s="3">
        <f t="shared" ca="1" si="20"/>
        <v>5316</v>
      </c>
      <c r="H228" s="3">
        <f t="shared" ca="1" si="20"/>
        <v>0</v>
      </c>
      <c r="I228" s="3">
        <f t="shared" ca="1" si="20"/>
        <v>0</v>
      </c>
    </row>
    <row r="229" spans="1:9" x14ac:dyDescent="0.2">
      <c r="A229" t="s">
        <v>287</v>
      </c>
      <c r="B229" s="3">
        <f t="shared" ca="1" si="20"/>
        <v>6163</v>
      </c>
      <c r="C229" s="3">
        <f t="shared" ca="1" si="20"/>
        <v>6241</v>
      </c>
      <c r="D229" s="3">
        <f t="shared" ca="1" si="20"/>
        <v>6323</v>
      </c>
      <c r="E229" s="3">
        <f t="shared" ca="1" si="20"/>
        <v>6404</v>
      </c>
      <c r="F229" s="3">
        <f t="shared" ca="1" si="20"/>
        <v>6581</v>
      </c>
      <c r="G229" s="3">
        <f t="shared" ca="1" si="20"/>
        <v>6692</v>
      </c>
      <c r="H229" s="3">
        <f t="shared" ca="1" si="20"/>
        <v>0</v>
      </c>
      <c r="I229" s="3">
        <f t="shared" ca="1" si="20"/>
        <v>8278</v>
      </c>
    </row>
    <row r="230" spans="1:9" x14ac:dyDescent="0.2">
      <c r="A230" t="s">
        <v>617</v>
      </c>
      <c r="B230" s="3">
        <f t="shared" ca="1" si="20"/>
        <v>1627</v>
      </c>
      <c r="C230" s="3">
        <f t="shared" ca="1" si="20"/>
        <v>1627</v>
      </c>
      <c r="D230" s="3">
        <f t="shared" ca="1" si="20"/>
        <v>1627</v>
      </c>
      <c r="E230" s="3">
        <f t="shared" ca="1" si="20"/>
        <v>1627</v>
      </c>
      <c r="F230" s="3">
        <f t="shared" ca="1" si="20"/>
        <v>1651</v>
      </c>
      <c r="G230" s="3">
        <f t="shared" ca="1" si="20"/>
        <v>1659</v>
      </c>
      <c r="H230" s="3">
        <f t="shared" ca="1" si="20"/>
        <v>0</v>
      </c>
      <c r="I230" s="3">
        <f t="shared" ca="1" si="20"/>
        <v>2604</v>
      </c>
    </row>
    <row r="231" spans="1:9" x14ac:dyDescent="0.2">
      <c r="A231" t="s">
        <v>289</v>
      </c>
      <c r="B231" s="3">
        <f t="shared" ca="1" si="20"/>
        <v>2593</v>
      </c>
      <c r="C231" s="3">
        <f t="shared" ca="1" si="20"/>
        <v>2654</v>
      </c>
      <c r="D231" s="3">
        <f t="shared" ca="1" si="20"/>
        <v>2719</v>
      </c>
      <c r="E231" s="3">
        <f t="shared" ca="1" si="20"/>
        <v>2785</v>
      </c>
      <c r="F231" s="3">
        <f t="shared" ca="1" si="20"/>
        <v>2892</v>
      </c>
      <c r="G231" s="3">
        <f t="shared" ca="1" si="20"/>
        <v>2973</v>
      </c>
      <c r="H231" s="3">
        <f t="shared" ca="1" si="20"/>
        <v>0</v>
      </c>
      <c r="I231" s="3">
        <f t="shared" ca="1" si="20"/>
        <v>0</v>
      </c>
    </row>
    <row r="232" spans="1:9" x14ac:dyDescent="0.2">
      <c r="A232" t="s">
        <v>298</v>
      </c>
      <c r="B232" s="3">
        <f t="shared" ca="1" si="20"/>
        <v>3783</v>
      </c>
      <c r="C232" s="3">
        <f t="shared" ca="1" si="20"/>
        <v>3865</v>
      </c>
      <c r="D232" s="3">
        <f t="shared" ca="1" si="20"/>
        <v>3950</v>
      </c>
      <c r="E232" s="3">
        <f t="shared" ca="1" si="20"/>
        <v>4036</v>
      </c>
      <c r="F232" s="3">
        <f t="shared" ca="1" si="20"/>
        <v>4183</v>
      </c>
      <c r="G232" s="3">
        <f t="shared" ca="1" si="20"/>
        <v>4290</v>
      </c>
      <c r="H232" s="3">
        <f t="shared" ca="1" si="20"/>
        <v>0</v>
      </c>
      <c r="I232" s="3">
        <f t="shared" ca="1" si="20"/>
        <v>0</v>
      </c>
    </row>
    <row r="233" spans="1:9" x14ac:dyDescent="0.2">
      <c r="A233" t="s">
        <v>288</v>
      </c>
      <c r="B233" s="3">
        <f t="shared" ca="1" si="20"/>
        <v>4638</v>
      </c>
      <c r="C233" s="3">
        <f t="shared" ca="1" si="20"/>
        <v>4638</v>
      </c>
      <c r="D233" s="3">
        <f t="shared" ca="1" si="20"/>
        <v>4638</v>
      </c>
      <c r="E233" s="3">
        <f t="shared" ca="1" si="20"/>
        <v>4638</v>
      </c>
      <c r="F233" s="3">
        <f t="shared" ca="1" si="20"/>
        <v>4706</v>
      </c>
      <c r="G233" s="3">
        <f t="shared" ca="1" si="20"/>
        <v>4728</v>
      </c>
      <c r="H233" s="3">
        <f t="shared" ca="1" si="20"/>
        <v>1717</v>
      </c>
      <c r="I233" s="3">
        <f t="shared" ca="1" si="20"/>
        <v>4615</v>
      </c>
    </row>
    <row r="234" spans="1:9" x14ac:dyDescent="0.2">
      <c r="A234" t="s">
        <v>299</v>
      </c>
      <c r="B234" s="3">
        <f t="shared" ca="1" si="20"/>
        <v>5047</v>
      </c>
      <c r="C234" s="3">
        <f t="shared" ca="1" si="20"/>
        <v>5047</v>
      </c>
      <c r="D234" s="3">
        <f t="shared" ca="1" si="20"/>
        <v>5047</v>
      </c>
      <c r="E234" s="3">
        <f t="shared" ca="1" si="20"/>
        <v>5047</v>
      </c>
      <c r="F234" s="3">
        <f t="shared" ca="1" si="20"/>
        <v>5121</v>
      </c>
      <c r="G234" s="3">
        <f t="shared" ca="1" si="20"/>
        <v>5145</v>
      </c>
      <c r="H234" s="3">
        <f t="shared" ca="1" si="20"/>
        <v>2409</v>
      </c>
      <c r="I234" s="3">
        <f t="shared" ca="1" si="20"/>
        <v>6532</v>
      </c>
    </row>
    <row r="236" spans="1:9" x14ac:dyDescent="0.2">
      <c r="A236" t="s">
        <v>530</v>
      </c>
    </row>
    <row r="238" spans="1:9" x14ac:dyDescent="0.2">
      <c r="A238" s="8" t="s">
        <v>305</v>
      </c>
      <c r="B238" s="8" t="s">
        <v>278</v>
      </c>
      <c r="C238" s="8" t="s">
        <v>290</v>
      </c>
      <c r="D238" s="14" t="s">
        <v>291</v>
      </c>
      <c r="E238" s="14" t="s">
        <v>292</v>
      </c>
      <c r="F238" s="14" t="s">
        <v>293</v>
      </c>
      <c r="G238" s="14" t="s">
        <v>294</v>
      </c>
      <c r="H238" s="77" t="s">
        <v>644</v>
      </c>
      <c r="I238" s="77" t="s">
        <v>645</v>
      </c>
    </row>
    <row r="239" spans="1:9" x14ac:dyDescent="0.2">
      <c r="A239" t="s">
        <v>279</v>
      </c>
      <c r="B239" s="2">
        <f t="shared" ref="B239:G252" ca="1" si="21">(TRUNC(TRUNC(TRUNC(B166*$B$145)*$B$146)*$B$147) * (1-$B$143) + TRUNC(TRUNC(TRUNC(B203*$B$145)*$B$146)*$B$147) * $B$143) * $B$149</f>
        <v>1614.26</v>
      </c>
      <c r="C239" s="2">
        <f t="shared" ca="1" si="21"/>
        <v>1634.26</v>
      </c>
      <c r="D239" s="2">
        <f t="shared" ca="1" si="21"/>
        <v>1653.29</v>
      </c>
      <c r="E239" s="2">
        <f t="shared" ca="1" si="21"/>
        <v>1672.32</v>
      </c>
      <c r="F239" s="2">
        <f t="shared" ca="1" si="21"/>
        <v>1718.32</v>
      </c>
      <c r="G239" s="2">
        <f t="shared" ca="1" si="21"/>
        <v>1746.35</v>
      </c>
      <c r="H239" s="2">
        <f t="shared" ref="H239:I239" ca="1" si="22">(TRUNC(TRUNC(TRUNC(H166*$B$145)*$B$146)*$B$147) * (1-$B$143) + TRUNC(TRUNC(TRUNC(H203*$B$145)*$B$146)*$B$147) * $B$143) * $B$149</f>
        <v>1212.9599999999998</v>
      </c>
      <c r="I239" s="2">
        <f t="shared" ca="1" si="22"/>
        <v>0</v>
      </c>
    </row>
    <row r="240" spans="1:9" x14ac:dyDescent="0.2">
      <c r="A240" t="s">
        <v>280</v>
      </c>
      <c r="B240" s="2">
        <f t="shared" ca="1" si="21"/>
        <v>2315.7999999999997</v>
      </c>
      <c r="C240" s="2">
        <f t="shared" ca="1" si="21"/>
        <v>2334.7999999999997</v>
      </c>
      <c r="D240" s="2">
        <f t="shared" ca="1" si="21"/>
        <v>2357.83</v>
      </c>
      <c r="E240" s="2">
        <f t="shared" ca="1" si="21"/>
        <v>2381.83</v>
      </c>
      <c r="F240" s="2">
        <f t="shared" ca="1" si="21"/>
        <v>2441.8599999999997</v>
      </c>
      <c r="G240" s="2">
        <f t="shared" ca="1" si="21"/>
        <v>2477.89</v>
      </c>
      <c r="H240" s="2">
        <f t="shared" ref="H240:I240" ca="1" si="23">(TRUNC(TRUNC(TRUNC(H167*$B$145)*$B$146)*$B$147) * (1-$B$143) + TRUNC(TRUNC(TRUNC(H204*$B$145)*$B$146)*$B$147) * $B$143) * $B$149</f>
        <v>1525.2</v>
      </c>
      <c r="I240" s="2">
        <f t="shared" ca="1" si="23"/>
        <v>0</v>
      </c>
    </row>
    <row r="241" spans="1:9" x14ac:dyDescent="0.2">
      <c r="A241" t="s">
        <v>281</v>
      </c>
      <c r="B241" s="2">
        <f t="shared" ca="1" si="21"/>
        <v>3055.37</v>
      </c>
      <c r="C241" s="2">
        <f t="shared" ca="1" si="21"/>
        <v>3094.3999999999996</v>
      </c>
      <c r="D241" s="2">
        <f t="shared" ca="1" si="21"/>
        <v>3136.43</v>
      </c>
      <c r="E241" s="2">
        <f t="shared" ca="1" si="21"/>
        <v>3179.46</v>
      </c>
      <c r="F241" s="2">
        <f t="shared" ca="1" si="21"/>
        <v>3271.49</v>
      </c>
      <c r="G241" s="2">
        <f t="shared" ca="1" si="21"/>
        <v>3331.55</v>
      </c>
      <c r="H241" s="2">
        <f t="shared" ref="H241:I241" ca="1" si="24">(TRUNC(TRUNC(TRUNC(H168*$B$145)*$B$146)*$B$147) * (1-$B$143) + TRUNC(TRUNC(TRUNC(H205*$B$145)*$B$146)*$B$147) * $B$143) * $B$149</f>
        <v>2045.59</v>
      </c>
      <c r="I241" s="2">
        <f t="shared" ca="1" si="24"/>
        <v>0</v>
      </c>
    </row>
    <row r="242" spans="1:9" x14ac:dyDescent="0.2">
      <c r="A242" t="s">
        <v>282</v>
      </c>
      <c r="B242" s="2">
        <f t="shared" ca="1" si="21"/>
        <v>4182.24</v>
      </c>
      <c r="C242" s="2">
        <f t="shared" ca="1" si="21"/>
        <v>4260.3</v>
      </c>
      <c r="D242" s="2">
        <f t="shared" ca="1" si="21"/>
        <v>4341.3599999999997</v>
      </c>
      <c r="E242" s="2">
        <f t="shared" ca="1" si="21"/>
        <v>4441.45</v>
      </c>
      <c r="F242" s="2">
        <f t="shared" ca="1" si="21"/>
        <v>4593.51</v>
      </c>
      <c r="G242" s="2">
        <f t="shared" ca="1" si="21"/>
        <v>4699.57</v>
      </c>
      <c r="H242" s="2">
        <f t="shared" ref="H242:I242" ca="1" si="25">(TRUNC(TRUNC(TRUNC(H169*$B$145)*$B$146)*$B$147) * (1-$B$143) + TRUNC(TRUNC(TRUNC(H206*$B$145)*$B$146)*$B$147) * $B$143) * $B$149</f>
        <v>0</v>
      </c>
      <c r="I242" s="2">
        <f t="shared" ca="1" si="25"/>
        <v>0</v>
      </c>
    </row>
    <row r="243" spans="1:9" x14ac:dyDescent="0.2">
      <c r="A243" t="s">
        <v>283</v>
      </c>
      <c r="B243" s="2">
        <f t="shared" ca="1" si="21"/>
        <v>5503.2599999999993</v>
      </c>
      <c r="C243" s="2">
        <f t="shared" ca="1" si="21"/>
        <v>5576.32</v>
      </c>
      <c r="D243" s="2">
        <f t="shared" ca="1" si="21"/>
        <v>5654.38</v>
      </c>
      <c r="E243" s="2">
        <f t="shared" ca="1" si="21"/>
        <v>5727.44</v>
      </c>
      <c r="F243" s="2">
        <f t="shared" ca="1" si="21"/>
        <v>5899.5</v>
      </c>
      <c r="G243" s="2">
        <f t="shared" ca="1" si="21"/>
        <v>6004.53</v>
      </c>
      <c r="H243" s="2">
        <f t="shared" ref="H243:I243" ca="1" si="26">(TRUNC(TRUNC(TRUNC(H170*$B$145)*$B$146)*$B$147) * (1-$B$143) + TRUNC(TRUNC(TRUNC(H207*$B$145)*$B$146)*$B$147) * $B$143) * $B$149</f>
        <v>0</v>
      </c>
      <c r="I243" s="2">
        <f t="shared" ca="1" si="26"/>
        <v>0</v>
      </c>
    </row>
    <row r="244" spans="1:9" x14ac:dyDescent="0.2">
      <c r="A244" t="s">
        <v>284</v>
      </c>
      <c r="B244" s="2">
        <f t="shared" ca="1" si="21"/>
        <v>2160.6799999999998</v>
      </c>
      <c r="C244" s="2">
        <f t="shared" ca="1" si="21"/>
        <v>2179.71</v>
      </c>
      <c r="D244" s="2">
        <f t="shared" ca="1" si="21"/>
        <v>2203.6799999999998</v>
      </c>
      <c r="E244" s="2">
        <f t="shared" ca="1" si="21"/>
        <v>2226.71</v>
      </c>
      <c r="F244" s="2">
        <f t="shared" ca="1" si="21"/>
        <v>2362.83</v>
      </c>
      <c r="G244" s="2">
        <f t="shared" ca="1" si="21"/>
        <v>2477.89</v>
      </c>
      <c r="H244" s="2">
        <f t="shared" ref="H244:I244" ca="1" si="27">(TRUNC(TRUNC(TRUNC(H171*$B$145)*$B$146)*$B$147) * (1-$B$143) + TRUNC(TRUNC(TRUNC(H208*$B$145)*$B$146)*$B$147) * $B$143) * $B$149</f>
        <v>1390.08</v>
      </c>
      <c r="I244" s="2">
        <f t="shared" ca="1" si="27"/>
        <v>0</v>
      </c>
    </row>
    <row r="245" spans="1:9" x14ac:dyDescent="0.2">
      <c r="A245" t="s">
        <v>285</v>
      </c>
      <c r="B245" s="2">
        <f t="shared" ca="1" si="21"/>
        <v>3248.52</v>
      </c>
      <c r="C245" s="2">
        <f t="shared" ca="1" si="21"/>
        <v>3287.5499999999997</v>
      </c>
      <c r="D245" s="2">
        <f t="shared" ca="1" si="21"/>
        <v>3330.58</v>
      </c>
      <c r="E245" s="2">
        <f t="shared" ca="1" si="21"/>
        <v>3372.61</v>
      </c>
      <c r="F245" s="2">
        <f t="shared" ca="1" si="21"/>
        <v>3468.64</v>
      </c>
      <c r="G245" s="2">
        <f t="shared" ca="1" si="21"/>
        <v>3529.67</v>
      </c>
      <c r="H245" s="2">
        <f t="shared" ref="H245:I245" ca="1" si="28">(TRUNC(TRUNC(TRUNC(H172*$B$145)*$B$146)*$B$147) * (1-$B$143) + TRUNC(TRUNC(TRUNC(H209*$B$145)*$B$146)*$B$147) * $B$143) * $B$149</f>
        <v>1891.47</v>
      </c>
      <c r="I245" s="2">
        <f t="shared" ca="1" si="28"/>
        <v>0</v>
      </c>
    </row>
    <row r="246" spans="1:9" x14ac:dyDescent="0.2">
      <c r="A246" t="s">
        <v>286</v>
      </c>
      <c r="B246" s="2">
        <f t="shared" ca="1" si="21"/>
        <v>4569.5399999999991</v>
      </c>
      <c r="C246" s="2">
        <f t="shared" ca="1" si="21"/>
        <v>4647.6000000000004</v>
      </c>
      <c r="D246" s="2">
        <f t="shared" ca="1" si="21"/>
        <v>4728.66</v>
      </c>
      <c r="E246" s="2">
        <f t="shared" ca="1" si="21"/>
        <v>4828.75</v>
      </c>
      <c r="F246" s="2">
        <f t="shared" ca="1" si="21"/>
        <v>4986.8100000000004</v>
      </c>
      <c r="G246" s="2">
        <f t="shared" ca="1" si="21"/>
        <v>5094.87</v>
      </c>
      <c r="H246" s="2">
        <f t="shared" ref="H246:I246" ca="1" si="29">(TRUNC(TRUNC(TRUNC(H173*$B$145)*$B$146)*$B$147) * (1-$B$143) + TRUNC(TRUNC(TRUNC(H210*$B$145)*$B$146)*$B$147) * $B$143) * $B$149</f>
        <v>0</v>
      </c>
      <c r="I246" s="2">
        <f t="shared" ca="1" si="29"/>
        <v>0</v>
      </c>
    </row>
    <row r="247" spans="1:9" x14ac:dyDescent="0.2">
      <c r="A247" t="s">
        <v>287</v>
      </c>
      <c r="B247" s="2">
        <f t="shared" ca="1" si="21"/>
        <v>5890.56</v>
      </c>
      <c r="C247" s="2">
        <f t="shared" ca="1" si="21"/>
        <v>5963.62</v>
      </c>
      <c r="D247" s="2">
        <f t="shared" ca="1" si="21"/>
        <v>6041.6799999999994</v>
      </c>
      <c r="E247" s="2">
        <f t="shared" ca="1" si="21"/>
        <v>6118.74</v>
      </c>
      <c r="F247" s="2">
        <f t="shared" ca="1" si="21"/>
        <v>6292.7999999999993</v>
      </c>
      <c r="G247" s="2">
        <f t="shared" ca="1" si="21"/>
        <v>6399.83</v>
      </c>
      <c r="H247" s="2">
        <f t="shared" ref="H247:I247" ca="1" si="30">(TRUNC(TRUNC(TRUNC(H174*$B$145)*$B$146)*$B$147) * (1-$B$143) + TRUNC(TRUNC(TRUNC(H211*$B$145)*$B$146)*$B$147) * $B$143) * $B$149</f>
        <v>0</v>
      </c>
      <c r="I247" s="2">
        <f t="shared" ca="1" si="30"/>
        <v>7893.61</v>
      </c>
    </row>
    <row r="248" spans="1:9" x14ac:dyDescent="0.2">
      <c r="A248" t="s">
        <v>617</v>
      </c>
      <c r="B248" s="2">
        <f t="shared" ca="1" si="21"/>
        <v>1595.23</v>
      </c>
      <c r="C248" s="2">
        <f t="shared" ca="1" si="21"/>
        <v>1595.23</v>
      </c>
      <c r="D248" s="2">
        <f t="shared" ca="1" si="21"/>
        <v>1595.23</v>
      </c>
      <c r="E248" s="2">
        <f t="shared" ca="1" si="21"/>
        <v>1595.23</v>
      </c>
      <c r="F248" s="2">
        <f t="shared" ca="1" si="21"/>
        <v>1620.23</v>
      </c>
      <c r="G248" s="2">
        <f t="shared" ca="1" si="21"/>
        <v>1628.23</v>
      </c>
      <c r="H248" s="2">
        <f t="shared" ref="H248:I252" ca="1" si="31">(TRUNC(TRUNC(TRUNC(H175*$B$145)*$B$146)*$B$147) * (1-$B$143) + TRUNC(TRUNC(TRUNC(H212*$B$145)*$B$146)*$B$147) * $B$143) * $B$149</f>
        <v>0</v>
      </c>
      <c r="I248" s="2">
        <f t="shared" ca="1" si="31"/>
        <v>2465.92</v>
      </c>
    </row>
    <row r="249" spans="1:9" x14ac:dyDescent="0.2">
      <c r="A249" t="s">
        <v>289</v>
      </c>
      <c r="B249" s="2">
        <f t="shared" ca="1" si="21"/>
        <v>2508.9499999999998</v>
      </c>
      <c r="C249" s="2">
        <f t="shared" ca="1" si="21"/>
        <v>2567.0099999999998</v>
      </c>
      <c r="D249" s="2">
        <f t="shared" ca="1" si="21"/>
        <v>2629.04</v>
      </c>
      <c r="E249" s="2">
        <f t="shared" ca="1" si="21"/>
        <v>2691.1</v>
      </c>
      <c r="F249" s="2">
        <f t="shared" ca="1" si="21"/>
        <v>2796.1299999999997</v>
      </c>
      <c r="G249" s="2">
        <f t="shared" ca="1" si="21"/>
        <v>2873.19</v>
      </c>
      <c r="H249" s="2">
        <f t="shared" ca="1" si="31"/>
        <v>0</v>
      </c>
      <c r="I249" s="2">
        <f t="shared" ca="1" si="31"/>
        <v>0</v>
      </c>
    </row>
    <row r="250" spans="1:9" x14ac:dyDescent="0.2">
      <c r="A250" t="s">
        <v>298</v>
      </c>
      <c r="B250" s="2">
        <f t="shared" ca="1" si="21"/>
        <v>3635.8199999999997</v>
      </c>
      <c r="C250" s="2">
        <f t="shared" ca="1" si="21"/>
        <v>3713.88</v>
      </c>
      <c r="D250" s="2">
        <f t="shared" ca="1" si="21"/>
        <v>3794.9399999999996</v>
      </c>
      <c r="E250" s="2">
        <f t="shared" ca="1" si="21"/>
        <v>3876</v>
      </c>
      <c r="F250" s="2">
        <f t="shared" ca="1" si="21"/>
        <v>4019.06</v>
      </c>
      <c r="G250" s="2">
        <f t="shared" ca="1" si="21"/>
        <v>4122.1499999999996</v>
      </c>
      <c r="H250" s="2">
        <f t="shared" ca="1" si="31"/>
        <v>0</v>
      </c>
      <c r="I250" s="2">
        <f t="shared" ca="1" si="31"/>
        <v>0</v>
      </c>
    </row>
    <row r="251" spans="1:9" x14ac:dyDescent="0.2">
      <c r="A251" t="s">
        <v>288</v>
      </c>
      <c r="B251" s="2">
        <f t="shared" ca="1" si="21"/>
        <v>4445.45</v>
      </c>
      <c r="C251" s="2">
        <f t="shared" ca="1" si="21"/>
        <v>4445.45</v>
      </c>
      <c r="D251" s="2">
        <f t="shared" ca="1" si="21"/>
        <v>4445.45</v>
      </c>
      <c r="E251" s="2">
        <f t="shared" ca="1" si="21"/>
        <v>4445.45</v>
      </c>
      <c r="F251" s="2">
        <f t="shared" ca="1" si="21"/>
        <v>4514.45</v>
      </c>
      <c r="G251" s="2">
        <f t="shared" ca="1" si="21"/>
        <v>4537.45</v>
      </c>
      <c r="H251" s="2">
        <f t="shared" ca="1" si="31"/>
        <v>1679.32</v>
      </c>
      <c r="I251" s="2">
        <f t="shared" ca="1" si="31"/>
        <v>4422.4500000000007</v>
      </c>
    </row>
    <row r="252" spans="1:9" x14ac:dyDescent="0.2">
      <c r="A252" t="s">
        <v>299</v>
      </c>
      <c r="B252" s="2">
        <f t="shared" ca="1" si="21"/>
        <v>4832.75</v>
      </c>
      <c r="C252" s="2">
        <f t="shared" ca="1" si="21"/>
        <v>4832.75</v>
      </c>
      <c r="D252" s="2">
        <f t="shared" ca="1" si="21"/>
        <v>4832.75</v>
      </c>
      <c r="E252" s="2">
        <f t="shared" ca="1" si="21"/>
        <v>4832.75</v>
      </c>
      <c r="F252" s="2">
        <f t="shared" ca="1" si="21"/>
        <v>4907.75</v>
      </c>
      <c r="G252" s="2">
        <f t="shared" ca="1" si="21"/>
        <v>4932.75</v>
      </c>
      <c r="H252" s="2">
        <f t="shared" ca="1" si="31"/>
        <v>2334.7999999999997</v>
      </c>
      <c r="I252" s="2">
        <f t="shared" ca="1" si="31"/>
        <v>6237.8600000000006</v>
      </c>
    </row>
    <row r="254" spans="1:9" x14ac:dyDescent="0.2">
      <c r="A254" t="s">
        <v>531</v>
      </c>
    </row>
    <row r="256" spans="1:9" x14ac:dyDescent="0.2">
      <c r="A256" s="8" t="s">
        <v>305</v>
      </c>
      <c r="B256" s="8" t="s">
        <v>278</v>
      </c>
      <c r="C256" s="8" t="s">
        <v>290</v>
      </c>
      <c r="D256" s="14" t="s">
        <v>291</v>
      </c>
      <c r="E256" s="14" t="s">
        <v>292</v>
      </c>
      <c r="F256" s="14" t="s">
        <v>293</v>
      </c>
      <c r="G256" s="14" t="s">
        <v>294</v>
      </c>
      <c r="H256" s="77" t="s">
        <v>644</v>
      </c>
      <c r="I256" s="77" t="s">
        <v>645</v>
      </c>
    </row>
    <row r="257" spans="1:9" x14ac:dyDescent="0.2">
      <c r="A257" t="s">
        <v>279</v>
      </c>
      <c r="B257" s="2">
        <f t="shared" ref="B257:G270" ca="1" si="32">(TRUNC(TRUNC(TRUNC(B184*$C$145)*$C$146)*$C$147) * (1-$C$143) + TRUNC(TRUNC(TRUNC(B221*$C$145)*$C$146)*$C$147) * $C$143) * $C$149</f>
        <v>1608.23</v>
      </c>
      <c r="C257" s="2">
        <f t="shared" ca="1" si="32"/>
        <v>1628.23</v>
      </c>
      <c r="D257" s="2">
        <f t="shared" ca="1" si="32"/>
        <v>1648.26</v>
      </c>
      <c r="E257" s="2">
        <f t="shared" ca="1" si="32"/>
        <v>1668.26</v>
      </c>
      <c r="F257" s="2">
        <f t="shared" ca="1" si="32"/>
        <v>1714.26</v>
      </c>
      <c r="G257" s="2">
        <f t="shared" ca="1" si="32"/>
        <v>1742.29</v>
      </c>
      <c r="H257" s="2">
        <f t="shared" ref="H257:I257" ca="1" si="33">(TRUNC(TRUNC(TRUNC(H184*$C$145)*$C$146)*$C$147) * (1-$C$143) + TRUNC(TRUNC(TRUNC(H221*$C$145)*$C$146)*$C$147) * $C$143) * $C$149</f>
        <v>1194.93</v>
      </c>
      <c r="I257" s="2">
        <f t="shared" ca="1" si="33"/>
        <v>0</v>
      </c>
    </row>
    <row r="258" spans="1:9" x14ac:dyDescent="0.2">
      <c r="A258" t="s">
        <v>280</v>
      </c>
      <c r="B258" s="2">
        <f t="shared" ca="1" si="32"/>
        <v>2331.7399999999998</v>
      </c>
      <c r="C258" s="2">
        <f t="shared" ca="1" si="32"/>
        <v>2351.77</v>
      </c>
      <c r="D258" s="2">
        <f t="shared" ca="1" si="32"/>
        <v>2375.7699999999995</v>
      </c>
      <c r="E258" s="2">
        <f t="shared" ca="1" si="32"/>
        <v>2398.83</v>
      </c>
      <c r="F258" s="2">
        <f t="shared" ca="1" si="32"/>
        <v>2459.83</v>
      </c>
      <c r="G258" s="2">
        <f t="shared" ca="1" si="32"/>
        <v>2495.8599999999997</v>
      </c>
      <c r="H258" s="2">
        <f t="shared" ref="H258:I258" ca="1" si="34">(TRUNC(TRUNC(TRUNC(H185*$C$145)*$C$146)*$C$147) * (1-$C$143) + TRUNC(TRUNC(TRUNC(H222*$C$145)*$C$146)*$C$147) * $C$143) * $C$149</f>
        <v>1517.1399999999999</v>
      </c>
      <c r="I258" s="2">
        <f t="shared" ca="1" si="34"/>
        <v>0</v>
      </c>
    </row>
    <row r="259" spans="1:9" x14ac:dyDescent="0.2">
      <c r="A259" t="s">
        <v>281</v>
      </c>
      <c r="B259" s="2">
        <f t="shared" ca="1" si="32"/>
        <v>3094.31</v>
      </c>
      <c r="C259" s="2">
        <f t="shared" ca="1" si="32"/>
        <v>3134.34</v>
      </c>
      <c r="D259" s="2">
        <f t="shared" ca="1" si="32"/>
        <v>3178.37</v>
      </c>
      <c r="E259" s="2">
        <f t="shared" ca="1" si="32"/>
        <v>3221.43</v>
      </c>
      <c r="F259" s="2">
        <f t="shared" ca="1" si="32"/>
        <v>3314.46</v>
      </c>
      <c r="G259" s="2">
        <f t="shared" ca="1" si="32"/>
        <v>3376.4599999999996</v>
      </c>
      <c r="H259" s="2">
        <f t="shared" ref="H259:I259" ca="1" si="35">(TRUNC(TRUNC(TRUNC(H186*$C$145)*$C$146)*$C$147) * (1-$C$143) + TRUNC(TRUNC(TRUNC(H223*$C$145)*$C$146)*$C$147) * $C$143) * $C$149</f>
        <v>2053.56</v>
      </c>
      <c r="I259" s="2">
        <f t="shared" ca="1" si="35"/>
        <v>0</v>
      </c>
    </row>
    <row r="260" spans="1:9" x14ac:dyDescent="0.2">
      <c r="A260" t="s">
        <v>282</v>
      </c>
      <c r="B260" s="2">
        <f t="shared" ca="1" si="32"/>
        <v>4256.18</v>
      </c>
      <c r="C260" s="2">
        <f t="shared" ca="1" si="32"/>
        <v>4336.24</v>
      </c>
      <c r="D260" s="2">
        <f t="shared" ca="1" si="32"/>
        <v>4419.33</v>
      </c>
      <c r="E260" s="2">
        <f t="shared" ca="1" si="32"/>
        <v>4523.3899999999994</v>
      </c>
      <c r="F260" s="2">
        <f t="shared" ca="1" si="32"/>
        <v>4676.4799999999996</v>
      </c>
      <c r="G260" s="2">
        <f t="shared" ca="1" si="32"/>
        <v>4785.51</v>
      </c>
      <c r="H260" s="2">
        <f t="shared" ref="H260:I260" ca="1" si="36">(TRUNC(TRUNC(TRUNC(H187*$C$145)*$C$146)*$C$147) * (1-$C$143) + TRUNC(TRUNC(TRUNC(H224*$C$145)*$C$146)*$C$147) * $C$143) * $C$149</f>
        <v>0</v>
      </c>
      <c r="I260" s="2">
        <f t="shared" ca="1" si="36"/>
        <v>0</v>
      </c>
    </row>
    <row r="261" spans="1:9" x14ac:dyDescent="0.2">
      <c r="A261" t="s">
        <v>283</v>
      </c>
      <c r="B261" s="2">
        <f t="shared" ca="1" si="32"/>
        <v>5617.23</v>
      </c>
      <c r="C261" s="2">
        <f t="shared" ca="1" si="32"/>
        <v>5693.29</v>
      </c>
      <c r="D261" s="2">
        <f t="shared" ca="1" si="32"/>
        <v>5773.35</v>
      </c>
      <c r="E261" s="2">
        <f t="shared" ca="1" si="32"/>
        <v>5849.3799999999992</v>
      </c>
      <c r="F261" s="2">
        <f t="shared" ca="1" si="32"/>
        <v>6022.44</v>
      </c>
      <c r="G261" s="2">
        <f t="shared" ca="1" si="32"/>
        <v>6129.5</v>
      </c>
      <c r="H261" s="2">
        <f t="shared" ref="H261:I261" ca="1" si="37">(TRUNC(TRUNC(TRUNC(H188*$C$145)*$C$146)*$C$147) * (1-$C$143) + TRUNC(TRUNC(TRUNC(H225*$C$145)*$C$146)*$C$147) * $C$143) * $C$149</f>
        <v>0</v>
      </c>
      <c r="I261" s="2">
        <f t="shared" ca="1" si="37"/>
        <v>0</v>
      </c>
    </row>
    <row r="262" spans="1:9" x14ac:dyDescent="0.2">
      <c r="A262" t="s">
        <v>284</v>
      </c>
      <c r="B262" s="2">
        <f t="shared" ca="1" si="32"/>
        <v>2171.62</v>
      </c>
      <c r="C262" s="2">
        <f t="shared" ca="1" si="32"/>
        <v>2191.6499999999996</v>
      </c>
      <c r="D262" s="2">
        <f t="shared" ca="1" si="32"/>
        <v>2215.65</v>
      </c>
      <c r="E262" s="2">
        <f t="shared" ca="1" si="32"/>
        <v>2239.6800000000003</v>
      </c>
      <c r="F262" s="2">
        <f t="shared" ca="1" si="32"/>
        <v>2378.77</v>
      </c>
      <c r="G262" s="2">
        <f t="shared" ca="1" si="32"/>
        <v>2495.8599999999997</v>
      </c>
      <c r="H262" s="2">
        <f t="shared" ref="H262:I262" ca="1" si="38">(TRUNC(TRUNC(TRUNC(H189*$C$145)*$C$146)*$C$147) * (1-$C$143) + TRUNC(TRUNC(TRUNC(H226*$C$145)*$C$146)*$C$147) * $C$143) * $C$149</f>
        <v>1378.05</v>
      </c>
      <c r="I262" s="2">
        <f t="shared" ca="1" si="38"/>
        <v>0</v>
      </c>
    </row>
    <row r="263" spans="1:9" x14ac:dyDescent="0.2">
      <c r="A263" t="s">
        <v>285</v>
      </c>
      <c r="B263" s="2">
        <f t="shared" ca="1" si="32"/>
        <v>3293.49</v>
      </c>
      <c r="C263" s="2">
        <f t="shared" ca="1" si="32"/>
        <v>3333.5199999999995</v>
      </c>
      <c r="D263" s="2">
        <f t="shared" ca="1" si="32"/>
        <v>3377.55</v>
      </c>
      <c r="E263" s="2">
        <f t="shared" ca="1" si="32"/>
        <v>3421.58</v>
      </c>
      <c r="F263" s="2">
        <f t="shared" ca="1" si="32"/>
        <v>3517.6099999999997</v>
      </c>
      <c r="G263" s="2">
        <f t="shared" ca="1" si="32"/>
        <v>3579.64</v>
      </c>
      <c r="H263" s="2">
        <f t="shared" ref="H263:I263" ca="1" si="39">(TRUNC(TRUNC(TRUNC(H190*$C$145)*$C$146)*$C$147) * (1-$C$143) + TRUNC(TRUNC(TRUNC(H227*$C$145)*$C$146)*$C$147) * $C$143) * $C$149</f>
        <v>1894.44</v>
      </c>
      <c r="I263" s="2">
        <f t="shared" ca="1" si="39"/>
        <v>0</v>
      </c>
    </row>
    <row r="264" spans="1:9" x14ac:dyDescent="0.2">
      <c r="A264" t="s">
        <v>286</v>
      </c>
      <c r="B264" s="2">
        <f t="shared" ca="1" si="32"/>
        <v>4655.4799999999996</v>
      </c>
      <c r="C264" s="2">
        <f t="shared" ca="1" si="32"/>
        <v>4735.54</v>
      </c>
      <c r="D264" s="2">
        <f t="shared" ca="1" si="32"/>
        <v>4818.63</v>
      </c>
      <c r="E264" s="2">
        <f t="shared" ca="1" si="32"/>
        <v>4922.6900000000005</v>
      </c>
      <c r="F264" s="2">
        <f t="shared" ca="1" si="32"/>
        <v>5081.78</v>
      </c>
      <c r="G264" s="2">
        <f t="shared" ca="1" si="32"/>
        <v>5192.8099999999995</v>
      </c>
      <c r="H264" s="2">
        <f t="shared" ref="H264:I264" ca="1" si="40">(TRUNC(TRUNC(TRUNC(H191*$C$145)*$C$146)*$C$147) * (1-$C$143) + TRUNC(TRUNC(TRUNC(H228*$C$145)*$C$146)*$C$147) * $C$143) * $C$149</f>
        <v>0</v>
      </c>
      <c r="I264" s="2">
        <f t="shared" ca="1" si="40"/>
        <v>0</v>
      </c>
    </row>
    <row r="265" spans="1:9" x14ac:dyDescent="0.2">
      <c r="A265" t="s">
        <v>287</v>
      </c>
      <c r="B265" s="2">
        <f t="shared" ca="1" si="32"/>
        <v>6016.53</v>
      </c>
      <c r="C265" s="2">
        <f t="shared" ca="1" si="32"/>
        <v>6092.5899999999992</v>
      </c>
      <c r="D265" s="2">
        <f t="shared" ca="1" si="32"/>
        <v>6172.65</v>
      </c>
      <c r="E265" s="2">
        <f t="shared" ca="1" si="32"/>
        <v>6252.6799999999994</v>
      </c>
      <c r="F265" s="2">
        <f t="shared" ca="1" si="32"/>
        <v>6427.74</v>
      </c>
      <c r="G265" s="2">
        <f t="shared" ca="1" si="32"/>
        <v>6536.8</v>
      </c>
      <c r="H265" s="2">
        <f t="shared" ref="H265:I265" ca="1" si="41">(TRUNC(TRUNC(TRUNC(H192*$C$145)*$C$146)*$C$147) * (1-$C$143) + TRUNC(TRUNC(TRUNC(H229*$C$145)*$C$146)*$C$147) * $C$143) * $C$149</f>
        <v>0</v>
      </c>
      <c r="I265" s="2">
        <f t="shared" ca="1" si="41"/>
        <v>7999.61</v>
      </c>
    </row>
    <row r="266" spans="1:9" x14ac:dyDescent="0.2">
      <c r="A266" t="s">
        <v>617</v>
      </c>
      <c r="B266" s="2">
        <f t="shared" ca="1" si="32"/>
        <v>1589.1699999999998</v>
      </c>
      <c r="C266" s="2">
        <f t="shared" ca="1" si="32"/>
        <v>1589.1699999999998</v>
      </c>
      <c r="D266" s="2">
        <f t="shared" ca="1" si="32"/>
        <v>1589.1699999999998</v>
      </c>
      <c r="E266" s="2">
        <f t="shared" ca="1" si="32"/>
        <v>1589.1699999999998</v>
      </c>
      <c r="F266" s="2">
        <f t="shared" ca="1" si="32"/>
        <v>1612.1999999999998</v>
      </c>
      <c r="G266" s="2">
        <f t="shared" ca="1" si="32"/>
        <v>1620.2</v>
      </c>
      <c r="H266" s="2">
        <f t="shared" ref="H266:I270" ca="1" si="42">(TRUNC(TRUNC(TRUNC(H193*$C$145)*$C$146)*$C$147) * (1-$C$143) + TRUNC(TRUNC(TRUNC(H230*$C$145)*$C$146)*$C$147) * $C$143) * $C$149</f>
        <v>0</v>
      </c>
      <c r="I266" s="2">
        <f t="shared" ca="1" si="42"/>
        <v>2541.9199999999996</v>
      </c>
    </row>
    <row r="267" spans="1:9" x14ac:dyDescent="0.2">
      <c r="A267" t="s">
        <v>289</v>
      </c>
      <c r="B267" s="2">
        <f t="shared" ca="1" si="32"/>
        <v>2530.92</v>
      </c>
      <c r="C267" s="2">
        <f t="shared" ca="1" si="32"/>
        <v>2590.9499999999998</v>
      </c>
      <c r="D267" s="2">
        <f t="shared" ca="1" si="32"/>
        <v>2654.98</v>
      </c>
      <c r="E267" s="2">
        <f t="shared" ca="1" si="32"/>
        <v>2719.04</v>
      </c>
      <c r="F267" s="2">
        <f t="shared" ca="1" si="32"/>
        <v>2824.1000000000004</v>
      </c>
      <c r="G267" s="2">
        <f t="shared" ca="1" si="32"/>
        <v>2903.16</v>
      </c>
      <c r="H267" s="2">
        <f t="shared" ca="1" si="42"/>
        <v>0</v>
      </c>
      <c r="I267" s="2">
        <f t="shared" ca="1" si="42"/>
        <v>0</v>
      </c>
    </row>
    <row r="268" spans="1:9" x14ac:dyDescent="0.2">
      <c r="A268" t="s">
        <v>298</v>
      </c>
      <c r="B268" s="2">
        <f t="shared" ca="1" si="32"/>
        <v>3692.7899999999995</v>
      </c>
      <c r="C268" s="2">
        <f t="shared" ca="1" si="32"/>
        <v>3772.85</v>
      </c>
      <c r="D268" s="2">
        <f t="shared" ca="1" si="32"/>
        <v>3856.88</v>
      </c>
      <c r="E268" s="2">
        <f t="shared" ca="1" si="32"/>
        <v>3940.9399999999996</v>
      </c>
      <c r="F268" s="2">
        <f t="shared" ca="1" si="32"/>
        <v>4085.0299999999997</v>
      </c>
      <c r="G268" s="2">
        <f t="shared" ca="1" si="32"/>
        <v>4191.0599999999995</v>
      </c>
      <c r="H268" s="2">
        <f t="shared" ca="1" si="42"/>
        <v>0</v>
      </c>
      <c r="I268" s="2">
        <f t="shared" ca="1" si="42"/>
        <v>0</v>
      </c>
    </row>
    <row r="269" spans="1:9" x14ac:dyDescent="0.2">
      <c r="A269" t="s">
        <v>288</v>
      </c>
      <c r="B269" s="2">
        <f t="shared" ca="1" si="32"/>
        <v>4527.42</v>
      </c>
      <c r="C269" s="2">
        <f t="shared" ca="1" si="32"/>
        <v>4527.42</v>
      </c>
      <c r="D269" s="2">
        <f t="shared" ca="1" si="32"/>
        <v>4527.42</v>
      </c>
      <c r="E269" s="2">
        <f t="shared" ca="1" si="32"/>
        <v>4527.42</v>
      </c>
      <c r="F269" s="2">
        <f t="shared" ca="1" si="32"/>
        <v>4595.42</v>
      </c>
      <c r="G269" s="2">
        <f t="shared" ca="1" si="32"/>
        <v>4618.3900000000003</v>
      </c>
      <c r="H269" s="2">
        <f t="shared" ca="1" si="42"/>
        <v>1676.26</v>
      </c>
      <c r="I269" s="2">
        <f t="shared" ca="1" si="42"/>
        <v>4504.42</v>
      </c>
    </row>
    <row r="270" spans="1:9" x14ac:dyDescent="0.2">
      <c r="A270" t="s">
        <v>299</v>
      </c>
      <c r="B270" s="2">
        <f t="shared" ca="1" si="32"/>
        <v>4926.7199999999993</v>
      </c>
      <c r="C270" s="2">
        <f t="shared" ca="1" si="32"/>
        <v>4926.7199999999993</v>
      </c>
      <c r="D270" s="2">
        <f t="shared" ca="1" si="32"/>
        <v>4926.7199999999993</v>
      </c>
      <c r="E270" s="2">
        <f t="shared" ca="1" si="32"/>
        <v>4926.7199999999993</v>
      </c>
      <c r="F270" s="2">
        <f t="shared" ca="1" si="32"/>
        <v>5000.72</v>
      </c>
      <c r="G270" s="2">
        <f t="shared" ca="1" si="32"/>
        <v>5025.6900000000005</v>
      </c>
      <c r="H270" s="2">
        <f t="shared" ca="1" si="42"/>
        <v>2351.77</v>
      </c>
      <c r="I270" s="2">
        <f t="shared" ca="1" si="42"/>
        <v>6375.83</v>
      </c>
    </row>
    <row r="273" spans="1:9" x14ac:dyDescent="0.2">
      <c r="A273" s="8" t="s">
        <v>25</v>
      </c>
      <c r="B273" s="15" t="s">
        <v>332</v>
      </c>
      <c r="C273" s="15" t="s">
        <v>333</v>
      </c>
    </row>
    <row r="274" spans="1:9" x14ac:dyDescent="0.2">
      <c r="A274" s="13" t="s">
        <v>367</v>
      </c>
      <c r="B274" s="48">
        <f>IF(AND(Setup!F3=1, OR($C$1="Sch", $D$1="Sch")), 10%, IF(AND(Setup!F4=1, OR($C$1="Sch", $D$1="Sch")), -20%, 0))</f>
        <v>0.1</v>
      </c>
      <c r="C274" s="48">
        <f>IF(AND(Setup!G3=1, OR($C$1="Sch", $D$1="Sch")), 10%, IF(AND(Setup!G4=1, OR($C$1="Sch", $D$1="Sch")), -20%, 0))</f>
        <v>0.1</v>
      </c>
    </row>
    <row r="275" spans="1:9" x14ac:dyDescent="0.2">
      <c r="A275" s="70" t="s">
        <v>659</v>
      </c>
      <c r="B275" s="48">
        <f>IF(AND(Setup!F4=1, OR($C$1="Sch", $D$1="Sch")), 10%, IF(AND(Setup!F3=1, OR($C$1="Sch", $D$1="Sch")), -20%, 0))</f>
        <v>-0.2</v>
      </c>
      <c r="C275" s="48">
        <f>IF(AND(Setup!G4=1, OR($C$1="Sch", $D$1="Sch")), 10%, IF(AND(Setup!G3=1, OR($C$1="Sch", $D$1="Sch")), -20%, 0))</f>
        <v>-0.2</v>
      </c>
    </row>
    <row r="277" spans="1:9" x14ac:dyDescent="0.2">
      <c r="A277" t="s">
        <v>346</v>
      </c>
    </row>
    <row r="279" spans="1:9" x14ac:dyDescent="0.2">
      <c r="A279" s="8" t="s">
        <v>305</v>
      </c>
      <c r="B279" s="8" t="s">
        <v>278</v>
      </c>
      <c r="C279" s="8" t="s">
        <v>290</v>
      </c>
      <c r="D279" s="14" t="s">
        <v>291</v>
      </c>
      <c r="E279" s="14" t="s">
        <v>292</v>
      </c>
      <c r="F279" s="14" t="s">
        <v>293</v>
      </c>
      <c r="G279" s="14" t="s">
        <v>294</v>
      </c>
      <c r="H279" s="77" t="s">
        <v>644</v>
      </c>
      <c r="I279" s="77" t="s">
        <v>645</v>
      </c>
    </row>
    <row r="280" spans="1:9" x14ac:dyDescent="0.2">
      <c r="A280" t="s">
        <v>279</v>
      </c>
      <c r="B280">
        <f t="shared" ref="B280:G293" ca="1" si="43">VLOOKUP($A280, INDIRECT($B$22&amp;B$279), MATCH("MP", SpellHeader, 0), 0) - TRUNC($B$274*VLOOKUP($A280, INDIRECT($B$22&amp;B$279), MATCH("MP", SpellHeader, 0), 0))</f>
        <v>4</v>
      </c>
      <c r="C280">
        <f t="shared" ca="1" si="43"/>
        <v>9</v>
      </c>
      <c r="D280">
        <f t="shared" ca="1" si="43"/>
        <v>15</v>
      </c>
      <c r="E280">
        <f t="shared" ca="1" si="43"/>
        <v>20</v>
      </c>
      <c r="F280">
        <f t="shared" ca="1" si="43"/>
        <v>26</v>
      </c>
      <c r="G280">
        <f t="shared" ca="1" si="43"/>
        <v>31</v>
      </c>
      <c r="H280">
        <f t="shared" ref="H280:H293" ca="1" si="44">VLOOKUP($A280, INDIRECT($B$22&amp;H$279), MATCH("MP", SpellHeader, 0), 0) - TRUNC($B$275*VLOOKUP($A280, INDIRECT($B$22&amp;H$279), MATCH("MP", SpellHeader, 0), 0))</f>
        <v>18</v>
      </c>
      <c r="I280">
        <f t="shared" ref="I280:I293" ca="1" si="45">VLOOKUP($A280, INDIRECT($B$22&amp;I$279), MATCH("MP", SpellHeader, 0), 0) - TRUNC($B$274*VLOOKUP($A280, INDIRECT($B$22&amp;I$279), MATCH("MP", SpellHeader, 0), 0))</f>
        <v>0</v>
      </c>
    </row>
    <row r="281" spans="1:9" x14ac:dyDescent="0.2">
      <c r="A281" t="s">
        <v>280</v>
      </c>
      <c r="B281">
        <f t="shared" ca="1" si="43"/>
        <v>33</v>
      </c>
      <c r="C281">
        <f t="shared" ca="1" si="43"/>
        <v>39</v>
      </c>
      <c r="D281">
        <f t="shared" ca="1" si="43"/>
        <v>46</v>
      </c>
      <c r="E281">
        <f t="shared" ca="1" si="43"/>
        <v>54</v>
      </c>
      <c r="F281">
        <f t="shared" ca="1" si="43"/>
        <v>62</v>
      </c>
      <c r="G281">
        <f t="shared" ca="1" si="43"/>
        <v>70</v>
      </c>
      <c r="H281">
        <f t="shared" ca="1" si="44"/>
        <v>68</v>
      </c>
      <c r="I281">
        <f t="shared" ca="1" si="45"/>
        <v>0</v>
      </c>
    </row>
    <row r="282" spans="1:9" x14ac:dyDescent="0.2">
      <c r="A282" t="s">
        <v>281</v>
      </c>
      <c r="B282">
        <f t="shared" ca="1" si="43"/>
        <v>58</v>
      </c>
      <c r="C282">
        <f t="shared" ca="1" si="43"/>
        <v>68</v>
      </c>
      <c r="D282">
        <f t="shared" ca="1" si="43"/>
        <v>80</v>
      </c>
      <c r="E282">
        <f t="shared" ca="1" si="43"/>
        <v>91</v>
      </c>
      <c r="F282">
        <f t="shared" ca="1" si="43"/>
        <v>104</v>
      </c>
      <c r="G282">
        <f t="shared" ca="1" si="43"/>
        <v>117</v>
      </c>
      <c r="H282">
        <f t="shared" ca="1" si="44"/>
        <v>115</v>
      </c>
      <c r="I282">
        <f t="shared" ca="1" si="45"/>
        <v>0</v>
      </c>
    </row>
    <row r="283" spans="1:9" x14ac:dyDescent="0.2">
      <c r="A283" t="s">
        <v>282</v>
      </c>
      <c r="B283">
        <f t="shared" ca="1" si="43"/>
        <v>101</v>
      </c>
      <c r="C283">
        <f t="shared" ca="1" si="43"/>
        <v>117</v>
      </c>
      <c r="D283">
        <f t="shared" ca="1" si="43"/>
        <v>134</v>
      </c>
      <c r="E283">
        <f t="shared" ca="1" si="43"/>
        <v>153</v>
      </c>
      <c r="F283">
        <f t="shared" ca="1" si="43"/>
        <v>171</v>
      </c>
      <c r="G283">
        <f t="shared" ca="1" si="43"/>
        <v>192</v>
      </c>
      <c r="H283">
        <f t="shared" ca="1" si="44"/>
        <v>0</v>
      </c>
      <c r="I283">
        <f t="shared" ca="1" si="45"/>
        <v>0</v>
      </c>
    </row>
    <row r="284" spans="1:9" x14ac:dyDescent="0.2">
      <c r="A284" t="s">
        <v>283</v>
      </c>
      <c r="B284">
        <f t="shared" ca="1" si="43"/>
        <v>141</v>
      </c>
      <c r="C284">
        <f t="shared" ca="1" si="43"/>
        <v>164</v>
      </c>
      <c r="D284">
        <f t="shared" ca="1" si="43"/>
        <v>189</v>
      </c>
      <c r="E284">
        <f t="shared" ca="1" si="43"/>
        <v>216</v>
      </c>
      <c r="F284">
        <f t="shared" ca="1" si="43"/>
        <v>245</v>
      </c>
      <c r="G284">
        <f t="shared" ca="1" si="43"/>
        <v>276</v>
      </c>
      <c r="H284">
        <f t="shared" ca="1" si="44"/>
        <v>0</v>
      </c>
      <c r="I284">
        <f t="shared" ca="1" si="45"/>
        <v>0</v>
      </c>
    </row>
    <row r="285" spans="1:9" x14ac:dyDescent="0.2">
      <c r="A285" t="s">
        <v>284</v>
      </c>
      <c r="B285">
        <f t="shared" ca="1" si="43"/>
        <v>22</v>
      </c>
      <c r="C285">
        <f t="shared" ca="1" si="43"/>
        <v>31</v>
      </c>
      <c r="D285">
        <f t="shared" ca="1" si="43"/>
        <v>41</v>
      </c>
      <c r="E285">
        <f t="shared" ca="1" si="43"/>
        <v>52</v>
      </c>
      <c r="F285">
        <f t="shared" ca="1" si="43"/>
        <v>72</v>
      </c>
      <c r="G285">
        <f t="shared" ca="1" si="43"/>
        <v>95</v>
      </c>
      <c r="H285">
        <f t="shared" ca="1" si="44"/>
        <v>49</v>
      </c>
      <c r="I285">
        <f t="shared" ca="1" si="45"/>
        <v>0</v>
      </c>
    </row>
    <row r="286" spans="1:9" x14ac:dyDescent="0.2">
      <c r="A286" t="s">
        <v>285</v>
      </c>
      <c r="B286">
        <f t="shared" ca="1" si="43"/>
        <v>84</v>
      </c>
      <c r="C286">
        <f t="shared" ca="1" si="43"/>
        <v>101</v>
      </c>
      <c r="D286">
        <f t="shared" ca="1" si="43"/>
        <v>118</v>
      </c>
      <c r="E286">
        <f t="shared" ca="1" si="43"/>
        <v>138</v>
      </c>
      <c r="F286">
        <f t="shared" ca="1" si="43"/>
        <v>158</v>
      </c>
      <c r="G286">
        <f t="shared" ca="1" si="43"/>
        <v>180</v>
      </c>
      <c r="H286">
        <f t="shared" ca="1" si="44"/>
        <v>144</v>
      </c>
      <c r="I286">
        <f t="shared" ca="1" si="45"/>
        <v>0</v>
      </c>
    </row>
    <row r="287" spans="1:9" x14ac:dyDescent="0.2">
      <c r="A287" t="s">
        <v>286</v>
      </c>
      <c r="B287">
        <f t="shared" ca="1" si="43"/>
        <v>158</v>
      </c>
      <c r="C287">
        <f t="shared" ca="1" si="43"/>
        <v>182</v>
      </c>
      <c r="D287">
        <f t="shared" ca="1" si="43"/>
        <v>209</v>
      </c>
      <c r="E287">
        <f t="shared" ca="1" si="43"/>
        <v>237</v>
      </c>
      <c r="F287">
        <f t="shared" ca="1" si="43"/>
        <v>268</v>
      </c>
      <c r="G287">
        <f t="shared" ca="1" si="43"/>
        <v>299</v>
      </c>
      <c r="H287">
        <f t="shared" ca="1" si="44"/>
        <v>0</v>
      </c>
      <c r="I287">
        <f t="shared" ca="1" si="45"/>
        <v>0</v>
      </c>
    </row>
    <row r="288" spans="1:9" x14ac:dyDescent="0.2">
      <c r="A288" t="s">
        <v>287</v>
      </c>
      <c r="B288">
        <f t="shared" ca="1" si="43"/>
        <v>269</v>
      </c>
      <c r="C288">
        <f t="shared" ca="1" si="43"/>
        <v>287</v>
      </c>
      <c r="D288">
        <f t="shared" ca="1" si="43"/>
        <v>305</v>
      </c>
      <c r="E288">
        <f t="shared" ca="1" si="43"/>
        <v>323</v>
      </c>
      <c r="F288">
        <f t="shared" ca="1" si="43"/>
        <v>341</v>
      </c>
      <c r="G288">
        <f t="shared" ca="1" si="43"/>
        <v>359</v>
      </c>
      <c r="H288">
        <f t="shared" ca="1" si="44"/>
        <v>0</v>
      </c>
      <c r="I288">
        <f t="shared" ca="1" si="45"/>
        <v>377</v>
      </c>
    </row>
    <row r="289" spans="1:9" x14ac:dyDescent="0.2">
      <c r="A289" t="s">
        <v>617</v>
      </c>
      <c r="B289">
        <f t="shared" ca="1" si="43"/>
        <v>24</v>
      </c>
      <c r="C289">
        <f t="shared" ca="1" si="43"/>
        <v>24</v>
      </c>
      <c r="D289">
        <f t="shared" ca="1" si="43"/>
        <v>24</v>
      </c>
      <c r="E289">
        <f t="shared" ca="1" si="43"/>
        <v>24</v>
      </c>
      <c r="F289">
        <f t="shared" ca="1" si="43"/>
        <v>24</v>
      </c>
      <c r="G289">
        <f t="shared" ca="1" si="43"/>
        <v>24</v>
      </c>
      <c r="H289">
        <f t="shared" ca="1" si="44"/>
        <v>0</v>
      </c>
      <c r="I289">
        <f t="shared" ca="1" si="45"/>
        <v>216</v>
      </c>
    </row>
    <row r="290" spans="1:9" x14ac:dyDescent="0.2">
      <c r="A290" t="s">
        <v>289</v>
      </c>
      <c r="B290">
        <f t="shared" ca="1" si="43"/>
        <v>52</v>
      </c>
      <c r="C290">
        <f t="shared" ca="1" si="43"/>
        <v>62</v>
      </c>
      <c r="D290">
        <f t="shared" ca="1" si="43"/>
        <v>72</v>
      </c>
      <c r="E290">
        <f t="shared" ca="1" si="43"/>
        <v>88</v>
      </c>
      <c r="F290">
        <f t="shared" ca="1" si="43"/>
        <v>100</v>
      </c>
      <c r="G290">
        <f t="shared" ca="1" si="43"/>
        <v>114</v>
      </c>
      <c r="H290">
        <f t="shared" ca="1" si="44"/>
        <v>0</v>
      </c>
      <c r="I290">
        <f t="shared" ca="1" si="45"/>
        <v>0</v>
      </c>
    </row>
    <row r="291" spans="1:9" x14ac:dyDescent="0.2">
      <c r="A291" t="s">
        <v>298</v>
      </c>
      <c r="B291">
        <f t="shared" ca="1" si="43"/>
        <v>135</v>
      </c>
      <c r="C291">
        <f t="shared" ca="1" si="43"/>
        <v>153</v>
      </c>
      <c r="D291">
        <f t="shared" ca="1" si="43"/>
        <v>170</v>
      </c>
      <c r="E291">
        <f t="shared" ca="1" si="43"/>
        <v>192</v>
      </c>
      <c r="F291">
        <f t="shared" ca="1" si="43"/>
        <v>212</v>
      </c>
      <c r="G291">
        <f t="shared" ca="1" si="43"/>
        <v>233</v>
      </c>
      <c r="H291">
        <f t="shared" ca="1" si="44"/>
        <v>0</v>
      </c>
      <c r="I291">
        <f t="shared" ca="1" si="45"/>
        <v>0</v>
      </c>
    </row>
    <row r="292" spans="1:9" x14ac:dyDescent="0.2">
      <c r="A292" t="s">
        <v>288</v>
      </c>
      <c r="B292">
        <f t="shared" ca="1" si="43"/>
        <v>284</v>
      </c>
      <c r="C292">
        <f t="shared" ca="1" si="43"/>
        <v>284</v>
      </c>
      <c r="D292">
        <f t="shared" ca="1" si="43"/>
        <v>284</v>
      </c>
      <c r="E292">
        <f t="shared" ca="1" si="43"/>
        <v>284</v>
      </c>
      <c r="F292">
        <f t="shared" ca="1" si="43"/>
        <v>284</v>
      </c>
      <c r="G292">
        <f t="shared" ca="1" si="43"/>
        <v>284</v>
      </c>
      <c r="H292">
        <f t="shared" ca="1" si="44"/>
        <v>120</v>
      </c>
      <c r="I292">
        <f t="shared" ca="1" si="45"/>
        <v>600</v>
      </c>
    </row>
    <row r="293" spans="1:9" x14ac:dyDescent="0.2">
      <c r="A293" t="s">
        <v>299</v>
      </c>
      <c r="B293">
        <f t="shared" ca="1" si="43"/>
        <v>252</v>
      </c>
      <c r="C293">
        <f t="shared" ca="1" si="43"/>
        <v>252</v>
      </c>
      <c r="D293">
        <f t="shared" ca="1" si="43"/>
        <v>252</v>
      </c>
      <c r="E293">
        <f t="shared" ca="1" si="43"/>
        <v>252</v>
      </c>
      <c r="F293">
        <f t="shared" ca="1" si="43"/>
        <v>252</v>
      </c>
      <c r="G293">
        <f t="shared" ca="1" si="43"/>
        <v>252</v>
      </c>
      <c r="H293">
        <f t="shared" ca="1" si="44"/>
        <v>180</v>
      </c>
      <c r="I293">
        <f t="shared" ca="1" si="45"/>
        <v>315</v>
      </c>
    </row>
    <row r="295" spans="1:9" x14ac:dyDescent="0.2">
      <c r="A295" t="s">
        <v>347</v>
      </c>
    </row>
    <row r="297" spans="1:9" x14ac:dyDescent="0.2">
      <c r="A297" s="8" t="s">
        <v>305</v>
      </c>
      <c r="B297" s="8" t="s">
        <v>278</v>
      </c>
      <c r="C297" s="8" t="s">
        <v>290</v>
      </c>
      <c r="D297" s="14" t="s">
        <v>291</v>
      </c>
      <c r="E297" s="14" t="s">
        <v>292</v>
      </c>
      <c r="F297" s="14" t="s">
        <v>293</v>
      </c>
      <c r="G297" s="14" t="s">
        <v>294</v>
      </c>
      <c r="H297" s="77" t="s">
        <v>644</v>
      </c>
      <c r="I297" s="77" t="s">
        <v>645</v>
      </c>
    </row>
    <row r="298" spans="1:9" x14ac:dyDescent="0.2">
      <c r="A298" t="s">
        <v>279</v>
      </c>
      <c r="B298">
        <f t="shared" ref="B298:G311" ca="1" si="46">VLOOKUP($A298, INDIRECT($C$22&amp;B$297), MATCH("MP", SpellHeader, 0), 0) - TRUNC($C$274*VLOOKUP($A298, INDIRECT($C$22&amp;B$297), MATCH("MP", SpellHeader, 0), 0))</f>
        <v>4</v>
      </c>
      <c r="C298">
        <f t="shared" ca="1" si="46"/>
        <v>9</v>
      </c>
      <c r="D298">
        <f t="shared" ca="1" si="46"/>
        <v>15</v>
      </c>
      <c r="E298">
        <f t="shared" ca="1" si="46"/>
        <v>20</v>
      </c>
      <c r="F298">
        <f t="shared" ca="1" si="46"/>
        <v>26</v>
      </c>
      <c r="G298">
        <f t="shared" ca="1" si="46"/>
        <v>31</v>
      </c>
      <c r="H298">
        <f t="shared" ref="H298:H311" ca="1" si="47">VLOOKUP($A298, INDIRECT($C$22&amp;H$297), MATCH("MP", SpellHeader, 0), 0) - TRUNC($C$275*VLOOKUP($A298, INDIRECT($C$22&amp;H$297), MATCH("MP", SpellHeader, 0), 0))</f>
        <v>18</v>
      </c>
      <c r="I298">
        <f t="shared" ref="I298:I311" ca="1" si="48">VLOOKUP($A298, INDIRECT($C$22&amp;I$297), MATCH("MP", SpellHeader, 0), 0) - TRUNC($C$274*VLOOKUP($A298, INDIRECT($C$22&amp;I$297), MATCH("MP", SpellHeader, 0), 0))</f>
        <v>0</v>
      </c>
    </row>
    <row r="299" spans="1:9" x14ac:dyDescent="0.2">
      <c r="A299" t="s">
        <v>280</v>
      </c>
      <c r="B299">
        <f t="shared" ca="1" si="46"/>
        <v>33</v>
      </c>
      <c r="C299">
        <f t="shared" ca="1" si="46"/>
        <v>39</v>
      </c>
      <c r="D299">
        <f t="shared" ca="1" si="46"/>
        <v>46</v>
      </c>
      <c r="E299">
        <f t="shared" ca="1" si="46"/>
        <v>54</v>
      </c>
      <c r="F299">
        <f t="shared" ca="1" si="46"/>
        <v>62</v>
      </c>
      <c r="G299">
        <f t="shared" ca="1" si="46"/>
        <v>70</v>
      </c>
      <c r="H299">
        <f t="shared" ca="1" si="47"/>
        <v>68</v>
      </c>
      <c r="I299">
        <f t="shared" ca="1" si="48"/>
        <v>0</v>
      </c>
    </row>
    <row r="300" spans="1:9" x14ac:dyDescent="0.2">
      <c r="A300" t="s">
        <v>281</v>
      </c>
      <c r="B300">
        <f t="shared" ca="1" si="46"/>
        <v>58</v>
      </c>
      <c r="C300">
        <f t="shared" ca="1" si="46"/>
        <v>68</v>
      </c>
      <c r="D300">
        <f t="shared" ca="1" si="46"/>
        <v>80</v>
      </c>
      <c r="E300">
        <f t="shared" ca="1" si="46"/>
        <v>91</v>
      </c>
      <c r="F300">
        <f t="shared" ca="1" si="46"/>
        <v>104</v>
      </c>
      <c r="G300">
        <f t="shared" ca="1" si="46"/>
        <v>117</v>
      </c>
      <c r="H300">
        <f t="shared" ca="1" si="47"/>
        <v>115</v>
      </c>
      <c r="I300">
        <f t="shared" ca="1" si="48"/>
        <v>0</v>
      </c>
    </row>
    <row r="301" spans="1:9" x14ac:dyDescent="0.2">
      <c r="A301" t="s">
        <v>282</v>
      </c>
      <c r="B301">
        <f t="shared" ca="1" si="46"/>
        <v>101</v>
      </c>
      <c r="C301">
        <f t="shared" ca="1" si="46"/>
        <v>117</v>
      </c>
      <c r="D301">
        <f t="shared" ca="1" si="46"/>
        <v>134</v>
      </c>
      <c r="E301">
        <f t="shared" ca="1" si="46"/>
        <v>153</v>
      </c>
      <c r="F301">
        <f t="shared" ca="1" si="46"/>
        <v>171</v>
      </c>
      <c r="G301">
        <f t="shared" ca="1" si="46"/>
        <v>192</v>
      </c>
      <c r="H301">
        <f t="shared" ca="1" si="47"/>
        <v>0</v>
      </c>
      <c r="I301">
        <f t="shared" ca="1" si="48"/>
        <v>0</v>
      </c>
    </row>
    <row r="302" spans="1:9" x14ac:dyDescent="0.2">
      <c r="A302" t="s">
        <v>283</v>
      </c>
      <c r="B302">
        <f t="shared" ca="1" si="46"/>
        <v>141</v>
      </c>
      <c r="C302">
        <f t="shared" ca="1" si="46"/>
        <v>164</v>
      </c>
      <c r="D302">
        <f t="shared" ca="1" si="46"/>
        <v>189</v>
      </c>
      <c r="E302">
        <f t="shared" ca="1" si="46"/>
        <v>216</v>
      </c>
      <c r="F302">
        <f t="shared" ca="1" si="46"/>
        <v>245</v>
      </c>
      <c r="G302">
        <f t="shared" ca="1" si="46"/>
        <v>276</v>
      </c>
      <c r="H302">
        <f t="shared" ca="1" si="47"/>
        <v>0</v>
      </c>
      <c r="I302">
        <f t="shared" ca="1" si="48"/>
        <v>0</v>
      </c>
    </row>
    <row r="303" spans="1:9" x14ac:dyDescent="0.2">
      <c r="A303" t="s">
        <v>284</v>
      </c>
      <c r="B303">
        <f t="shared" ca="1" si="46"/>
        <v>22</v>
      </c>
      <c r="C303">
        <f t="shared" ca="1" si="46"/>
        <v>31</v>
      </c>
      <c r="D303">
        <f t="shared" ca="1" si="46"/>
        <v>41</v>
      </c>
      <c r="E303">
        <f t="shared" ca="1" si="46"/>
        <v>52</v>
      </c>
      <c r="F303">
        <f t="shared" ca="1" si="46"/>
        <v>72</v>
      </c>
      <c r="G303">
        <f t="shared" ca="1" si="46"/>
        <v>95</v>
      </c>
      <c r="H303">
        <f t="shared" ca="1" si="47"/>
        <v>49</v>
      </c>
      <c r="I303">
        <f t="shared" ca="1" si="48"/>
        <v>0</v>
      </c>
    </row>
    <row r="304" spans="1:9" x14ac:dyDescent="0.2">
      <c r="A304" t="s">
        <v>285</v>
      </c>
      <c r="B304">
        <f t="shared" ca="1" si="46"/>
        <v>84</v>
      </c>
      <c r="C304">
        <f t="shared" ca="1" si="46"/>
        <v>101</v>
      </c>
      <c r="D304">
        <f t="shared" ca="1" si="46"/>
        <v>118</v>
      </c>
      <c r="E304">
        <f t="shared" ca="1" si="46"/>
        <v>138</v>
      </c>
      <c r="F304">
        <f t="shared" ca="1" si="46"/>
        <v>158</v>
      </c>
      <c r="G304">
        <f t="shared" ca="1" si="46"/>
        <v>180</v>
      </c>
      <c r="H304">
        <f t="shared" ca="1" si="47"/>
        <v>144</v>
      </c>
      <c r="I304">
        <f t="shared" ca="1" si="48"/>
        <v>0</v>
      </c>
    </row>
    <row r="305" spans="1:9" x14ac:dyDescent="0.2">
      <c r="A305" t="s">
        <v>286</v>
      </c>
      <c r="B305">
        <f t="shared" ca="1" si="46"/>
        <v>158</v>
      </c>
      <c r="C305">
        <f t="shared" ca="1" si="46"/>
        <v>182</v>
      </c>
      <c r="D305">
        <f t="shared" ca="1" si="46"/>
        <v>209</v>
      </c>
      <c r="E305">
        <f t="shared" ca="1" si="46"/>
        <v>237</v>
      </c>
      <c r="F305">
        <f t="shared" ca="1" si="46"/>
        <v>268</v>
      </c>
      <c r="G305">
        <f t="shared" ca="1" si="46"/>
        <v>299</v>
      </c>
      <c r="H305">
        <f t="shared" ca="1" si="47"/>
        <v>0</v>
      </c>
      <c r="I305">
        <f t="shared" ca="1" si="48"/>
        <v>0</v>
      </c>
    </row>
    <row r="306" spans="1:9" x14ac:dyDescent="0.2">
      <c r="A306" t="s">
        <v>287</v>
      </c>
      <c r="B306">
        <f t="shared" ca="1" si="46"/>
        <v>269</v>
      </c>
      <c r="C306">
        <f t="shared" ca="1" si="46"/>
        <v>287</v>
      </c>
      <c r="D306">
        <f t="shared" ca="1" si="46"/>
        <v>305</v>
      </c>
      <c r="E306">
        <f t="shared" ca="1" si="46"/>
        <v>323</v>
      </c>
      <c r="F306">
        <f t="shared" ca="1" si="46"/>
        <v>341</v>
      </c>
      <c r="G306">
        <f t="shared" ca="1" si="46"/>
        <v>359</v>
      </c>
      <c r="H306">
        <f t="shared" ca="1" si="47"/>
        <v>0</v>
      </c>
      <c r="I306">
        <f t="shared" ca="1" si="48"/>
        <v>377</v>
      </c>
    </row>
    <row r="307" spans="1:9" x14ac:dyDescent="0.2">
      <c r="A307" t="s">
        <v>617</v>
      </c>
      <c r="B307">
        <f t="shared" ca="1" si="46"/>
        <v>24</v>
      </c>
      <c r="C307">
        <f t="shared" ca="1" si="46"/>
        <v>24</v>
      </c>
      <c r="D307">
        <f t="shared" ca="1" si="46"/>
        <v>24</v>
      </c>
      <c r="E307">
        <f t="shared" ca="1" si="46"/>
        <v>24</v>
      </c>
      <c r="F307">
        <f t="shared" ca="1" si="46"/>
        <v>24</v>
      </c>
      <c r="G307">
        <f t="shared" ca="1" si="46"/>
        <v>24</v>
      </c>
      <c r="H307">
        <f t="shared" ca="1" si="47"/>
        <v>0</v>
      </c>
      <c r="I307">
        <f t="shared" ca="1" si="48"/>
        <v>216</v>
      </c>
    </row>
    <row r="308" spans="1:9" x14ac:dyDescent="0.2">
      <c r="A308" t="s">
        <v>289</v>
      </c>
      <c r="B308">
        <f t="shared" ca="1" si="46"/>
        <v>52</v>
      </c>
      <c r="C308">
        <f t="shared" ca="1" si="46"/>
        <v>62</v>
      </c>
      <c r="D308">
        <f t="shared" ca="1" si="46"/>
        <v>72</v>
      </c>
      <c r="E308">
        <f t="shared" ca="1" si="46"/>
        <v>88</v>
      </c>
      <c r="F308">
        <f t="shared" ca="1" si="46"/>
        <v>100</v>
      </c>
      <c r="G308">
        <f t="shared" ca="1" si="46"/>
        <v>114</v>
      </c>
      <c r="H308">
        <f t="shared" ca="1" si="47"/>
        <v>0</v>
      </c>
      <c r="I308">
        <f t="shared" ca="1" si="48"/>
        <v>0</v>
      </c>
    </row>
    <row r="309" spans="1:9" x14ac:dyDescent="0.2">
      <c r="A309" t="s">
        <v>298</v>
      </c>
      <c r="B309">
        <f t="shared" ca="1" si="46"/>
        <v>135</v>
      </c>
      <c r="C309">
        <f t="shared" ca="1" si="46"/>
        <v>153</v>
      </c>
      <c r="D309">
        <f t="shared" ca="1" si="46"/>
        <v>170</v>
      </c>
      <c r="E309">
        <f t="shared" ca="1" si="46"/>
        <v>192</v>
      </c>
      <c r="F309">
        <f t="shared" ca="1" si="46"/>
        <v>212</v>
      </c>
      <c r="G309">
        <f t="shared" ca="1" si="46"/>
        <v>233</v>
      </c>
      <c r="H309">
        <f t="shared" ca="1" si="47"/>
        <v>0</v>
      </c>
      <c r="I309">
        <f t="shared" ca="1" si="48"/>
        <v>0</v>
      </c>
    </row>
    <row r="310" spans="1:9" x14ac:dyDescent="0.2">
      <c r="A310" t="s">
        <v>288</v>
      </c>
      <c r="B310">
        <f t="shared" ca="1" si="46"/>
        <v>284</v>
      </c>
      <c r="C310">
        <f t="shared" ca="1" si="46"/>
        <v>284</v>
      </c>
      <c r="D310">
        <f t="shared" ca="1" si="46"/>
        <v>284</v>
      </c>
      <c r="E310">
        <f t="shared" ca="1" si="46"/>
        <v>284</v>
      </c>
      <c r="F310">
        <f t="shared" ca="1" si="46"/>
        <v>284</v>
      </c>
      <c r="G310">
        <f t="shared" ca="1" si="46"/>
        <v>284</v>
      </c>
      <c r="H310">
        <f t="shared" ca="1" si="47"/>
        <v>120</v>
      </c>
      <c r="I310">
        <f t="shared" ca="1" si="48"/>
        <v>600</v>
      </c>
    </row>
    <row r="311" spans="1:9" x14ac:dyDescent="0.2">
      <c r="A311" t="s">
        <v>299</v>
      </c>
      <c r="B311">
        <f t="shared" ca="1" si="46"/>
        <v>252</v>
      </c>
      <c r="C311">
        <f t="shared" ca="1" si="46"/>
        <v>252</v>
      </c>
      <c r="D311">
        <f t="shared" ca="1" si="46"/>
        <v>252</v>
      </c>
      <c r="E311">
        <f t="shared" ca="1" si="46"/>
        <v>252</v>
      </c>
      <c r="F311">
        <f t="shared" ca="1" si="46"/>
        <v>252</v>
      </c>
      <c r="G311">
        <f t="shared" ca="1" si="46"/>
        <v>252</v>
      </c>
      <c r="H311">
        <f t="shared" ca="1" si="47"/>
        <v>180</v>
      </c>
      <c r="I311">
        <f t="shared" ca="1" si="48"/>
        <v>315</v>
      </c>
    </row>
    <row r="314" spans="1:9" x14ac:dyDescent="0.2">
      <c r="A314" s="8" t="s">
        <v>25</v>
      </c>
      <c r="B314" s="15" t="s">
        <v>332</v>
      </c>
      <c r="C314" s="15" t="s">
        <v>333</v>
      </c>
    </row>
    <row r="315" spans="1:9" x14ac:dyDescent="0.2">
      <c r="A315" s="21" t="s">
        <v>516</v>
      </c>
      <c r="B315" s="48">
        <f ca="1">MIN(B$18 + C$18 + HLOOKUP($A315, INDIRECT(B$26), MATCH("Total", Slots, 0)+1, 0) + IF(Setup!J42=1, Setup!M42, 0), 100%)</f>
        <v>0.39</v>
      </c>
      <c r="C315" s="48">
        <f ca="1">MIN(B$18 + C$18 + HLOOKUP($A315, INDIRECT(C$26), MATCH("Total", Slots, 0)+1, 0) + IF(Setup!K42=1, Setup!N42, 0), 100%)</f>
        <v>0.39</v>
      </c>
    </row>
    <row r="316" spans="1:9" x14ac:dyDescent="0.2">
      <c r="A316" s="21" t="s">
        <v>490</v>
      </c>
      <c r="B316" s="48">
        <f>IF(OR(Gear!B10="Seidr", Gear!B10="Spaekona", Gear!B10="Spaekona +1"), 2%, 0)</f>
        <v>0.02</v>
      </c>
      <c r="C316" s="48">
        <f>IF(OR(Gear!B34="Seidr", Gear!B34="Spaekona", Gear!B34="Spaekona +1"), 2%, 0)</f>
        <v>0.02</v>
      </c>
    </row>
    <row r="318" spans="1:9" x14ac:dyDescent="0.2">
      <c r="A318" t="s">
        <v>348</v>
      </c>
    </row>
    <row r="320" spans="1:9" x14ac:dyDescent="0.2">
      <c r="A320" s="8" t="s">
        <v>305</v>
      </c>
      <c r="B320" s="8" t="s">
        <v>278</v>
      </c>
      <c r="C320" s="8" t="s">
        <v>290</v>
      </c>
      <c r="D320" s="14" t="s">
        <v>291</v>
      </c>
      <c r="E320" s="14" t="s">
        <v>292</v>
      </c>
      <c r="F320" s="14" t="s">
        <v>293</v>
      </c>
      <c r="G320" s="14" t="s">
        <v>294</v>
      </c>
      <c r="H320" s="77" t="s">
        <v>644</v>
      </c>
      <c r="I320" s="77" t="s">
        <v>645</v>
      </c>
    </row>
    <row r="321" spans="1:9" x14ac:dyDescent="0.2">
      <c r="A321" t="s">
        <v>279</v>
      </c>
      <c r="B321" s="2">
        <f t="shared" ref="B321:I334" ca="1" si="49">MAX((TRUNC(B280*8/16) + TRUNC(B280*9/16) + TRUNC(B280*10/16) + TRUNC(B280*11/16) + TRUNC(B280*12/16) + TRUNC(B280*13/16) + TRUNC(B280*14/16) + TRUNC(B280*15/16)) * $B$315 / 8 + B280*(1-$B$315) - TRUNC($B$316*B166), 0)</f>
        <v>0</v>
      </c>
      <c r="C321" s="2">
        <f t="shared" ca="1" si="49"/>
        <v>0</v>
      </c>
      <c r="D321" s="2">
        <f t="shared" ca="1" si="49"/>
        <v>0</v>
      </c>
      <c r="E321" s="2">
        <f t="shared" ca="1" si="49"/>
        <v>0</v>
      </c>
      <c r="F321" s="2">
        <f t="shared" ca="1" si="49"/>
        <v>0</v>
      </c>
      <c r="G321" s="2">
        <f t="shared" ca="1" si="49"/>
        <v>0</v>
      </c>
      <c r="H321" s="2">
        <f t="shared" ca="1" si="49"/>
        <v>0</v>
      </c>
      <c r="I321" s="2">
        <f t="shared" ca="1" si="49"/>
        <v>0</v>
      </c>
    </row>
    <row r="322" spans="1:9" x14ac:dyDescent="0.2">
      <c r="A322" t="s">
        <v>280</v>
      </c>
      <c r="B322" s="2">
        <f t="shared" ca="1" si="49"/>
        <v>0</v>
      </c>
      <c r="C322" s="2">
        <f t="shared" ca="1" si="49"/>
        <v>0</v>
      </c>
      <c r="D322" s="2">
        <f t="shared" ca="1" si="49"/>
        <v>0</v>
      </c>
      <c r="E322" s="2">
        <f t="shared" ca="1" si="49"/>
        <v>0.90625</v>
      </c>
      <c r="F322" s="2">
        <f t="shared" ca="1" si="49"/>
        <v>7.0287500000000023</v>
      </c>
      <c r="G322" s="2">
        <f t="shared" ca="1" si="49"/>
        <v>13.151249999999997</v>
      </c>
      <c r="H322" s="2">
        <f t="shared" ca="1" si="49"/>
        <v>30.394999999999996</v>
      </c>
      <c r="I322" s="2">
        <f t="shared" ca="1" si="49"/>
        <v>0</v>
      </c>
    </row>
    <row r="323" spans="1:9" x14ac:dyDescent="0.2">
      <c r="A323" t="s">
        <v>281</v>
      </c>
      <c r="B323" s="2">
        <f t="shared" ca="1" si="49"/>
        <v>0</v>
      </c>
      <c r="C323" s="2">
        <f t="shared" ca="1" si="49"/>
        <v>0</v>
      </c>
      <c r="D323" s="2">
        <f t="shared" ca="1" si="49"/>
        <v>9.2249999999999943</v>
      </c>
      <c r="E323" s="2">
        <f t="shared" ca="1" si="49"/>
        <v>17.811250000000001</v>
      </c>
      <c r="F323" s="2">
        <f t="shared" ca="1" si="49"/>
        <v>27.495000000000005</v>
      </c>
      <c r="G323" s="2">
        <f t="shared" ca="1" si="49"/>
        <v>37.983750000000015</v>
      </c>
      <c r="H323" s="2">
        <f t="shared" ca="1" si="49"/>
        <v>62.178749999999994</v>
      </c>
      <c r="I323" s="2">
        <f t="shared" ca="1" si="49"/>
        <v>0</v>
      </c>
    </row>
    <row r="324" spans="1:9" x14ac:dyDescent="0.2">
      <c r="A324" t="s">
        <v>282</v>
      </c>
      <c r="B324" s="2">
        <f t="shared" ca="1" si="49"/>
        <v>6.738749999999996</v>
      </c>
      <c r="C324" s="2">
        <f t="shared" ca="1" si="49"/>
        <v>18.983750000000015</v>
      </c>
      <c r="D324" s="2">
        <f t="shared" ca="1" si="49"/>
        <v>33.131249999999994</v>
      </c>
      <c r="E324" s="2">
        <f t="shared" ca="1" si="49"/>
        <v>48.034999999999997</v>
      </c>
      <c r="F324" s="2">
        <f t="shared" ca="1" si="49"/>
        <v>61.036249999999995</v>
      </c>
      <c r="G324" s="2">
        <f t="shared" ca="1" si="49"/>
        <v>77.94</v>
      </c>
      <c r="H324" s="2">
        <f t="shared" ca="1" si="49"/>
        <v>0</v>
      </c>
      <c r="I324" s="2">
        <f t="shared" ca="1" si="49"/>
        <v>0</v>
      </c>
    </row>
    <row r="325" spans="1:9" x14ac:dyDescent="0.2">
      <c r="A325" t="s">
        <v>283</v>
      </c>
      <c r="B325" s="2">
        <f t="shared" ca="1" si="49"/>
        <v>16.351250000000007</v>
      </c>
      <c r="C325" s="2">
        <f t="shared" ca="1" si="49"/>
        <v>34.865000000000009</v>
      </c>
      <c r="D325" s="2">
        <f t="shared" ca="1" si="49"/>
        <v>55.086250000000007</v>
      </c>
      <c r="E325" s="2">
        <f t="shared" ca="1" si="49"/>
        <v>78.20999999999998</v>
      </c>
      <c r="F325" s="2">
        <f t="shared" ca="1" si="49"/>
        <v>100.94374999999999</v>
      </c>
      <c r="G325" s="2">
        <f t="shared" ca="1" si="49"/>
        <v>125.57999999999998</v>
      </c>
      <c r="H325" s="2">
        <f t="shared" ca="1" si="49"/>
        <v>0</v>
      </c>
      <c r="I325" s="2">
        <f t="shared" ca="1" si="49"/>
        <v>0</v>
      </c>
    </row>
    <row r="326" spans="1:9" x14ac:dyDescent="0.2">
      <c r="A326" t="s">
        <v>284</v>
      </c>
      <c r="B326" s="2">
        <f t="shared" ca="1" si="49"/>
        <v>0</v>
      </c>
      <c r="C326" s="2">
        <f t="shared" ca="1" si="49"/>
        <v>0</v>
      </c>
      <c r="D326" s="2">
        <f t="shared" ca="1" si="49"/>
        <v>0</v>
      </c>
      <c r="E326" s="2">
        <f t="shared" ca="1" si="49"/>
        <v>2.1499999999999986</v>
      </c>
      <c r="F326" s="2">
        <f t="shared" ca="1" si="49"/>
        <v>17.004999999999995</v>
      </c>
      <c r="G326" s="2">
        <f t="shared" ca="1" si="49"/>
        <v>35.47</v>
      </c>
      <c r="H326" s="2">
        <f t="shared" ca="1" si="49"/>
        <v>16.344999999999999</v>
      </c>
      <c r="I326" s="2">
        <f t="shared" ca="1" si="49"/>
        <v>0</v>
      </c>
    </row>
    <row r="327" spans="1:9" x14ac:dyDescent="0.2">
      <c r="A327" t="s">
        <v>285</v>
      </c>
      <c r="B327" s="2">
        <f t="shared" ca="1" si="49"/>
        <v>10.64</v>
      </c>
      <c r="C327" s="2">
        <f t="shared" ca="1" si="49"/>
        <v>24.738749999999996</v>
      </c>
      <c r="D327" s="2">
        <f t="shared" ca="1" si="49"/>
        <v>38.886250000000004</v>
      </c>
      <c r="E327" s="2">
        <f t="shared" ca="1" si="49"/>
        <v>55.692499999999995</v>
      </c>
      <c r="F327" s="2">
        <f t="shared" ca="1" si="49"/>
        <v>71.498750000000001</v>
      </c>
      <c r="G327" s="2">
        <f t="shared" ca="1" si="49"/>
        <v>90.110000000000014</v>
      </c>
      <c r="H327" s="2">
        <f t="shared" ca="1" si="49"/>
        <v>91.205000000000013</v>
      </c>
      <c r="I327" s="2">
        <f t="shared" ca="1" si="49"/>
        <v>0</v>
      </c>
    </row>
    <row r="328" spans="1:9" x14ac:dyDescent="0.2">
      <c r="A328" t="s">
        <v>286</v>
      </c>
      <c r="B328" s="2">
        <f t="shared" ca="1" si="49"/>
        <v>49.498750000000001</v>
      </c>
      <c r="C328" s="2">
        <f t="shared" ca="1" si="49"/>
        <v>69.866250000000008</v>
      </c>
      <c r="D328" s="2">
        <f t="shared" ca="1" si="49"/>
        <v>91.794999999999987</v>
      </c>
      <c r="E328" s="2">
        <f t="shared" ca="1" si="49"/>
        <v>114.82124999999999</v>
      </c>
      <c r="F328" s="2">
        <f t="shared" ca="1" si="49"/>
        <v>139.45749999999998</v>
      </c>
      <c r="G328" s="2">
        <f t="shared" ca="1" si="49"/>
        <v>164.99624999999997</v>
      </c>
      <c r="H328" s="2">
        <f t="shared" ca="1" si="49"/>
        <v>0</v>
      </c>
      <c r="I328" s="2">
        <f t="shared" ca="1" si="49"/>
        <v>0</v>
      </c>
    </row>
    <row r="329" spans="1:9" x14ac:dyDescent="0.2">
      <c r="A329" t="s">
        <v>287</v>
      </c>
      <c r="B329" s="2">
        <f t="shared" ca="1" si="49"/>
        <v>122.31125</v>
      </c>
      <c r="C329" s="2">
        <f t="shared" ca="1" si="49"/>
        <v>136.41</v>
      </c>
      <c r="D329" s="2">
        <f t="shared" ca="1" si="49"/>
        <v>151.26499999999999</v>
      </c>
      <c r="E329" s="2">
        <f t="shared" ca="1" si="49"/>
        <v>165.36374999999998</v>
      </c>
      <c r="F329" s="2">
        <f t="shared" ca="1" si="49"/>
        <v>178.41374999999999</v>
      </c>
      <c r="G329" s="2">
        <f t="shared" ca="1" si="49"/>
        <v>192.41500000000002</v>
      </c>
      <c r="H329" s="2">
        <f t="shared" ca="1" si="49"/>
        <v>0</v>
      </c>
      <c r="I329" s="2">
        <f t="shared" ca="1" si="49"/>
        <v>178.46500000000003</v>
      </c>
    </row>
    <row r="330" spans="1:9" x14ac:dyDescent="0.2">
      <c r="A330" t="s">
        <v>617</v>
      </c>
      <c r="B330" s="2">
        <f t="shared" ca="1" si="49"/>
        <v>0</v>
      </c>
      <c r="C330" s="2">
        <f t="shared" ca="1" si="49"/>
        <v>0</v>
      </c>
      <c r="D330" s="2">
        <f t="shared" ca="1" si="49"/>
        <v>0</v>
      </c>
      <c r="E330" s="2">
        <f t="shared" ca="1" si="49"/>
        <v>0</v>
      </c>
      <c r="F330" s="2">
        <f t="shared" ca="1" si="49"/>
        <v>0</v>
      </c>
      <c r="G330" s="2">
        <f t="shared" ca="1" si="49"/>
        <v>0</v>
      </c>
      <c r="H330" s="2">
        <f t="shared" ca="1" si="49"/>
        <v>0</v>
      </c>
      <c r="I330" s="2">
        <f t="shared" ca="1" si="49"/>
        <v>143.20999999999998</v>
      </c>
    </row>
    <row r="331" spans="1:9" x14ac:dyDescent="0.2">
      <c r="A331" t="s">
        <v>289</v>
      </c>
      <c r="B331" s="2">
        <f t="shared" ca="1" si="49"/>
        <v>0</v>
      </c>
      <c r="C331" s="2">
        <f t="shared" ca="1" si="49"/>
        <v>4.0287500000000023</v>
      </c>
      <c r="D331" s="2">
        <f t="shared" ca="1" si="49"/>
        <v>12.004999999999995</v>
      </c>
      <c r="E331" s="2">
        <f t="shared" ca="1" si="49"/>
        <v>25.25</v>
      </c>
      <c r="F331" s="2">
        <f t="shared" ca="1" si="49"/>
        <v>33.885000000000005</v>
      </c>
      <c r="G331" s="2">
        <f t="shared" ca="1" si="49"/>
        <v>44.324999999999989</v>
      </c>
      <c r="H331" s="2">
        <f t="shared" ca="1" si="49"/>
        <v>0</v>
      </c>
      <c r="I331" s="2">
        <f t="shared" ca="1" si="49"/>
        <v>0</v>
      </c>
    </row>
    <row r="332" spans="1:9" x14ac:dyDescent="0.2">
      <c r="A332" t="s">
        <v>298</v>
      </c>
      <c r="B332" s="2">
        <f t="shared" ca="1" si="49"/>
        <v>47.984999999999985</v>
      </c>
      <c r="C332" s="2">
        <f t="shared" ca="1" si="49"/>
        <v>62.034999999999997</v>
      </c>
      <c r="D332" s="2">
        <f t="shared" ca="1" si="49"/>
        <v>76.182500000000005</v>
      </c>
      <c r="E332" s="2">
        <f t="shared" ca="1" si="49"/>
        <v>93.94</v>
      </c>
      <c r="F332" s="2">
        <f t="shared" ca="1" si="49"/>
        <v>108.6</v>
      </c>
      <c r="G332" s="2">
        <f t="shared" ca="1" si="49"/>
        <v>125.25999999999999</v>
      </c>
      <c r="H332" s="2">
        <f t="shared" ca="1" si="49"/>
        <v>0</v>
      </c>
      <c r="I332" s="2">
        <f t="shared" ca="1" si="49"/>
        <v>0</v>
      </c>
    </row>
    <row r="333" spans="1:9" x14ac:dyDescent="0.2">
      <c r="A333" t="s">
        <v>288</v>
      </c>
      <c r="B333" s="2">
        <f t="shared" ca="1" si="49"/>
        <v>164.70250000000001</v>
      </c>
      <c r="C333" s="2">
        <f t="shared" ca="1" si="49"/>
        <v>164.70250000000001</v>
      </c>
      <c r="D333" s="2">
        <f t="shared" ca="1" si="49"/>
        <v>164.70250000000001</v>
      </c>
      <c r="E333" s="2">
        <f t="shared" ca="1" si="49"/>
        <v>164.70250000000001</v>
      </c>
      <c r="F333" s="2">
        <f t="shared" ca="1" si="49"/>
        <v>162.70250000000001</v>
      </c>
      <c r="G333" s="2">
        <f t="shared" ca="1" si="49"/>
        <v>162.70250000000001</v>
      </c>
      <c r="H333" s="2">
        <f t="shared" ca="1" si="49"/>
        <v>73.740000000000009</v>
      </c>
      <c r="I333" s="2">
        <f t="shared" ca="1" si="49"/>
        <v>446.09000000000003</v>
      </c>
    </row>
    <row r="334" spans="1:9" x14ac:dyDescent="0.2">
      <c r="A334" t="s">
        <v>299</v>
      </c>
      <c r="B334" s="2">
        <f t="shared" ca="1" si="49"/>
        <v>128.21250000000001</v>
      </c>
      <c r="C334" s="2">
        <f t="shared" ca="1" si="49"/>
        <v>128.21250000000001</v>
      </c>
      <c r="D334" s="2">
        <f t="shared" ca="1" si="49"/>
        <v>128.21250000000001</v>
      </c>
      <c r="E334" s="2">
        <f t="shared" ca="1" si="49"/>
        <v>128.21250000000001</v>
      </c>
      <c r="F334" s="2">
        <f t="shared" ca="1" si="49"/>
        <v>126.21250000000001</v>
      </c>
      <c r="G334" s="2">
        <f t="shared" ca="1" si="49"/>
        <v>126.21250000000001</v>
      </c>
      <c r="H334" s="2">
        <f t="shared" ca="1" si="49"/>
        <v>114.11000000000001</v>
      </c>
      <c r="I334" s="2">
        <f t="shared" ca="1" si="49"/>
        <v>156.24125000000004</v>
      </c>
    </row>
    <row r="336" spans="1:9" x14ac:dyDescent="0.2">
      <c r="A336" t="s">
        <v>577</v>
      </c>
    </row>
    <row r="338" spans="1:9" x14ac:dyDescent="0.2">
      <c r="A338" s="8" t="s">
        <v>305</v>
      </c>
      <c r="B338" s="8" t="s">
        <v>278</v>
      </c>
      <c r="C338" s="8" t="s">
        <v>290</v>
      </c>
      <c r="D338" s="14" t="s">
        <v>291</v>
      </c>
      <c r="E338" s="14" t="s">
        <v>292</v>
      </c>
      <c r="F338" s="14" t="s">
        <v>293</v>
      </c>
      <c r="G338" s="14" t="s">
        <v>294</v>
      </c>
      <c r="H338" s="77" t="s">
        <v>644</v>
      </c>
      <c r="I338" s="77" t="s">
        <v>645</v>
      </c>
    </row>
    <row r="339" spans="1:9" x14ac:dyDescent="0.2">
      <c r="A339" t="s">
        <v>279</v>
      </c>
      <c r="B339" s="2">
        <f t="shared" ref="B339:I352" ca="1" si="50">MAX((TRUNC(B298*8/16) + TRUNC(B298*9/16) + TRUNC(B298*10/16) + TRUNC(B298*11/16) + TRUNC(B298*12/16) + TRUNC(B298*13/16) + TRUNC(B298*14/16) + TRUNC(B298*15/16)) * $C$315 / 8 + B298*(1-$C$315) - TRUNC($C$316*B184), 0)</f>
        <v>0</v>
      </c>
      <c r="C339" s="2">
        <f t="shared" ca="1" si="50"/>
        <v>0</v>
      </c>
      <c r="D339" s="2">
        <f t="shared" ca="1" si="50"/>
        <v>0</v>
      </c>
      <c r="E339" s="2">
        <f t="shared" ca="1" si="50"/>
        <v>0</v>
      </c>
      <c r="F339" s="2">
        <f t="shared" ca="1" si="50"/>
        <v>0</v>
      </c>
      <c r="G339" s="2">
        <f t="shared" ca="1" si="50"/>
        <v>0</v>
      </c>
      <c r="H339" s="2">
        <f t="shared" ca="1" si="50"/>
        <v>0</v>
      </c>
      <c r="I339" s="2">
        <f t="shared" ca="1" si="50"/>
        <v>0</v>
      </c>
    </row>
    <row r="340" spans="1:9" x14ac:dyDescent="0.2">
      <c r="A340" t="s">
        <v>280</v>
      </c>
      <c r="B340" s="2">
        <f t="shared" ca="1" si="50"/>
        <v>0</v>
      </c>
      <c r="C340" s="2">
        <f t="shared" ca="1" si="50"/>
        <v>0</v>
      </c>
      <c r="D340" s="2">
        <f t="shared" ca="1" si="50"/>
        <v>0</v>
      </c>
      <c r="E340" s="2">
        <f t="shared" ca="1" si="50"/>
        <v>0.90625</v>
      </c>
      <c r="F340" s="2">
        <f t="shared" ca="1" si="50"/>
        <v>6.0287500000000023</v>
      </c>
      <c r="G340" s="2">
        <f t="shared" ca="1" si="50"/>
        <v>13.151249999999997</v>
      </c>
      <c r="H340" s="2">
        <f t="shared" ca="1" si="50"/>
        <v>30.394999999999996</v>
      </c>
      <c r="I340" s="2">
        <f t="shared" ca="1" si="50"/>
        <v>0</v>
      </c>
    </row>
    <row r="341" spans="1:9" x14ac:dyDescent="0.2">
      <c r="A341" t="s">
        <v>281</v>
      </c>
      <c r="B341" s="2">
        <f t="shared" ca="1" si="50"/>
        <v>0</v>
      </c>
      <c r="C341" s="2">
        <f t="shared" ca="1" si="50"/>
        <v>0</v>
      </c>
      <c r="D341" s="2">
        <f t="shared" ca="1" si="50"/>
        <v>8.2249999999999943</v>
      </c>
      <c r="E341" s="2">
        <f t="shared" ca="1" si="50"/>
        <v>16.811250000000001</v>
      </c>
      <c r="F341" s="2">
        <f t="shared" ca="1" si="50"/>
        <v>26.495000000000005</v>
      </c>
      <c r="G341" s="2">
        <f t="shared" ca="1" si="50"/>
        <v>36.983750000000015</v>
      </c>
      <c r="H341" s="2">
        <f t="shared" ca="1" si="50"/>
        <v>61.178749999999994</v>
      </c>
      <c r="I341" s="2">
        <f t="shared" ca="1" si="50"/>
        <v>0</v>
      </c>
    </row>
    <row r="342" spans="1:9" x14ac:dyDescent="0.2">
      <c r="A342" t="s">
        <v>282</v>
      </c>
      <c r="B342" s="2">
        <f t="shared" ca="1" si="50"/>
        <v>4.738749999999996</v>
      </c>
      <c r="C342" s="2">
        <f t="shared" ca="1" si="50"/>
        <v>17.983750000000015</v>
      </c>
      <c r="D342" s="2">
        <f t="shared" ca="1" si="50"/>
        <v>31.131249999999994</v>
      </c>
      <c r="E342" s="2">
        <f t="shared" ca="1" si="50"/>
        <v>46.034999999999997</v>
      </c>
      <c r="F342" s="2">
        <f t="shared" ca="1" si="50"/>
        <v>59.036249999999995</v>
      </c>
      <c r="G342" s="2">
        <f t="shared" ca="1" si="50"/>
        <v>75.94</v>
      </c>
      <c r="H342" s="2">
        <f t="shared" ca="1" si="50"/>
        <v>0</v>
      </c>
      <c r="I342" s="2">
        <f t="shared" ca="1" si="50"/>
        <v>0</v>
      </c>
    </row>
    <row r="343" spans="1:9" x14ac:dyDescent="0.2">
      <c r="A343" t="s">
        <v>283</v>
      </c>
      <c r="B343" s="2">
        <f t="shared" ca="1" si="50"/>
        <v>13.351250000000007</v>
      </c>
      <c r="C343" s="2">
        <f t="shared" ca="1" si="50"/>
        <v>32.865000000000009</v>
      </c>
      <c r="D343" s="2">
        <f t="shared" ca="1" si="50"/>
        <v>53.086250000000007</v>
      </c>
      <c r="E343" s="2">
        <f t="shared" ca="1" si="50"/>
        <v>76.20999999999998</v>
      </c>
      <c r="F343" s="2">
        <f t="shared" ca="1" si="50"/>
        <v>97.943749999999994</v>
      </c>
      <c r="G343" s="2">
        <f t="shared" ca="1" si="50"/>
        <v>123.57999999999998</v>
      </c>
      <c r="H343" s="2">
        <f t="shared" ca="1" si="50"/>
        <v>0</v>
      </c>
      <c r="I343" s="2">
        <f t="shared" ca="1" si="50"/>
        <v>0</v>
      </c>
    </row>
    <row r="344" spans="1:9" x14ac:dyDescent="0.2">
      <c r="A344" t="s">
        <v>284</v>
      </c>
      <c r="B344" s="2">
        <f t="shared" ca="1" si="50"/>
        <v>0</v>
      </c>
      <c r="C344" s="2">
        <f t="shared" ca="1" si="50"/>
        <v>0</v>
      </c>
      <c r="D344" s="2">
        <f t="shared" ca="1" si="50"/>
        <v>0</v>
      </c>
      <c r="E344" s="2">
        <f t="shared" ca="1" si="50"/>
        <v>2.1499999999999986</v>
      </c>
      <c r="F344" s="2">
        <f t="shared" ca="1" si="50"/>
        <v>17.004999999999995</v>
      </c>
      <c r="G344" s="2">
        <f t="shared" ca="1" si="50"/>
        <v>35.47</v>
      </c>
      <c r="H344" s="2">
        <f t="shared" ca="1" si="50"/>
        <v>16.344999999999999</v>
      </c>
      <c r="I344" s="2">
        <f t="shared" ca="1" si="50"/>
        <v>0</v>
      </c>
    </row>
    <row r="345" spans="1:9" x14ac:dyDescent="0.2">
      <c r="A345" t="s">
        <v>285</v>
      </c>
      <c r="B345" s="2">
        <f t="shared" ca="1" si="50"/>
        <v>9.64</v>
      </c>
      <c r="C345" s="2">
        <f t="shared" ca="1" si="50"/>
        <v>23.738749999999996</v>
      </c>
      <c r="D345" s="2">
        <f t="shared" ca="1" si="50"/>
        <v>37.886250000000004</v>
      </c>
      <c r="E345" s="2">
        <f t="shared" ca="1" si="50"/>
        <v>54.692499999999995</v>
      </c>
      <c r="F345" s="2">
        <f t="shared" ca="1" si="50"/>
        <v>70.498750000000001</v>
      </c>
      <c r="G345" s="2">
        <f t="shared" ca="1" si="50"/>
        <v>89.110000000000014</v>
      </c>
      <c r="H345" s="2">
        <f t="shared" ca="1" si="50"/>
        <v>91.205000000000013</v>
      </c>
      <c r="I345" s="2">
        <f t="shared" ca="1" si="50"/>
        <v>0</v>
      </c>
    </row>
    <row r="346" spans="1:9" x14ac:dyDescent="0.2">
      <c r="A346" t="s">
        <v>286</v>
      </c>
      <c r="B346" s="2">
        <f t="shared" ca="1" si="50"/>
        <v>47.498750000000001</v>
      </c>
      <c r="C346" s="2">
        <f t="shared" ca="1" si="50"/>
        <v>67.866250000000008</v>
      </c>
      <c r="D346" s="2">
        <f t="shared" ca="1" si="50"/>
        <v>89.794999999999987</v>
      </c>
      <c r="E346" s="2">
        <f t="shared" ca="1" si="50"/>
        <v>112.82124999999999</v>
      </c>
      <c r="F346" s="2">
        <f t="shared" ca="1" si="50"/>
        <v>137.45749999999998</v>
      </c>
      <c r="G346" s="2">
        <f t="shared" ca="1" si="50"/>
        <v>162.99624999999997</v>
      </c>
      <c r="H346" s="2">
        <f t="shared" ca="1" si="50"/>
        <v>0</v>
      </c>
      <c r="I346" s="2">
        <f t="shared" ca="1" si="50"/>
        <v>0</v>
      </c>
    </row>
    <row r="347" spans="1:9" x14ac:dyDescent="0.2">
      <c r="A347" t="s">
        <v>287</v>
      </c>
      <c r="B347" s="2">
        <f t="shared" ca="1" si="50"/>
        <v>119.31125</v>
      </c>
      <c r="C347" s="2">
        <f t="shared" ca="1" si="50"/>
        <v>134.41</v>
      </c>
      <c r="D347" s="2">
        <f t="shared" ca="1" si="50"/>
        <v>148.26499999999999</v>
      </c>
      <c r="E347" s="2">
        <f t="shared" ca="1" si="50"/>
        <v>163.36374999999998</v>
      </c>
      <c r="F347" s="2">
        <f t="shared" ca="1" si="50"/>
        <v>175.41374999999999</v>
      </c>
      <c r="G347" s="2">
        <f t="shared" ca="1" si="50"/>
        <v>189.41500000000002</v>
      </c>
      <c r="H347" s="2">
        <f t="shared" ca="1" si="50"/>
        <v>0</v>
      </c>
      <c r="I347" s="2">
        <f t="shared" ca="1" si="50"/>
        <v>176.46500000000003</v>
      </c>
    </row>
    <row r="348" spans="1:9" x14ac:dyDescent="0.2">
      <c r="A348" t="s">
        <v>617</v>
      </c>
      <c r="B348" s="2">
        <f t="shared" ca="1" si="50"/>
        <v>0</v>
      </c>
      <c r="C348" s="2">
        <f t="shared" ca="1" si="50"/>
        <v>0</v>
      </c>
      <c r="D348" s="2">
        <f t="shared" ca="1" si="50"/>
        <v>0</v>
      </c>
      <c r="E348" s="2">
        <f t="shared" ca="1" si="50"/>
        <v>0</v>
      </c>
      <c r="F348" s="2">
        <f t="shared" ca="1" si="50"/>
        <v>0</v>
      </c>
      <c r="G348" s="2">
        <f t="shared" ca="1" si="50"/>
        <v>0</v>
      </c>
      <c r="H348" s="2">
        <f t="shared" ca="1" si="50"/>
        <v>0</v>
      </c>
      <c r="I348" s="2">
        <f t="shared" ca="1" si="50"/>
        <v>142.20999999999998</v>
      </c>
    </row>
    <row r="349" spans="1:9" x14ac:dyDescent="0.2">
      <c r="A349" t="s">
        <v>289</v>
      </c>
      <c r="B349" s="2">
        <f t="shared" ca="1" si="50"/>
        <v>0</v>
      </c>
      <c r="C349" s="2">
        <f t="shared" ca="1" si="50"/>
        <v>4.0287500000000023</v>
      </c>
      <c r="D349" s="2">
        <f t="shared" ca="1" si="50"/>
        <v>11.004999999999995</v>
      </c>
      <c r="E349" s="2">
        <f t="shared" ca="1" si="50"/>
        <v>24.25</v>
      </c>
      <c r="F349" s="2">
        <f t="shared" ca="1" si="50"/>
        <v>32.885000000000005</v>
      </c>
      <c r="G349" s="2">
        <f t="shared" ca="1" si="50"/>
        <v>43.324999999999989</v>
      </c>
      <c r="H349" s="2">
        <f t="shared" ca="1" si="50"/>
        <v>0</v>
      </c>
      <c r="I349" s="2">
        <f t="shared" ca="1" si="50"/>
        <v>0</v>
      </c>
    </row>
    <row r="350" spans="1:9" x14ac:dyDescent="0.2">
      <c r="A350" t="s">
        <v>298</v>
      </c>
      <c r="B350" s="2">
        <f t="shared" ca="1" si="50"/>
        <v>46.984999999999985</v>
      </c>
      <c r="C350" s="2">
        <f t="shared" ca="1" si="50"/>
        <v>61.034999999999997</v>
      </c>
      <c r="D350" s="2">
        <f t="shared" ca="1" si="50"/>
        <v>74.182500000000005</v>
      </c>
      <c r="E350" s="2">
        <f t="shared" ca="1" si="50"/>
        <v>92.94</v>
      </c>
      <c r="F350" s="2">
        <f t="shared" ca="1" si="50"/>
        <v>107.6</v>
      </c>
      <c r="G350" s="2">
        <f t="shared" ca="1" si="50"/>
        <v>124.25999999999999</v>
      </c>
      <c r="H350" s="2">
        <f t="shared" ca="1" si="50"/>
        <v>0</v>
      </c>
      <c r="I350" s="2">
        <f t="shared" ca="1" si="50"/>
        <v>0</v>
      </c>
    </row>
    <row r="351" spans="1:9" x14ac:dyDescent="0.2">
      <c r="A351" t="s">
        <v>288</v>
      </c>
      <c r="B351" s="2">
        <f t="shared" ca="1" si="50"/>
        <v>162.70250000000001</v>
      </c>
      <c r="C351" s="2">
        <f t="shared" ca="1" si="50"/>
        <v>162.70250000000001</v>
      </c>
      <c r="D351" s="2">
        <f t="shared" ca="1" si="50"/>
        <v>162.70250000000001</v>
      </c>
      <c r="E351" s="2">
        <f t="shared" ca="1" si="50"/>
        <v>162.70250000000001</v>
      </c>
      <c r="F351" s="2">
        <f t="shared" ca="1" si="50"/>
        <v>161.70250000000001</v>
      </c>
      <c r="G351" s="2">
        <f t="shared" ca="1" si="50"/>
        <v>160.70250000000001</v>
      </c>
      <c r="H351" s="2">
        <f t="shared" ca="1" si="50"/>
        <v>73.740000000000009</v>
      </c>
      <c r="I351" s="2">
        <f t="shared" ca="1" si="50"/>
        <v>444.09000000000003</v>
      </c>
    </row>
    <row r="352" spans="1:9" x14ac:dyDescent="0.2">
      <c r="A352" t="s">
        <v>299</v>
      </c>
      <c r="B352" s="2">
        <f t="shared" ca="1" si="50"/>
        <v>126.21250000000001</v>
      </c>
      <c r="C352" s="2">
        <f t="shared" ca="1" si="50"/>
        <v>126.21250000000001</v>
      </c>
      <c r="D352" s="2">
        <f t="shared" ca="1" si="50"/>
        <v>126.21250000000001</v>
      </c>
      <c r="E352" s="2">
        <f t="shared" ca="1" si="50"/>
        <v>126.21250000000001</v>
      </c>
      <c r="F352" s="2">
        <f t="shared" ca="1" si="50"/>
        <v>125.21250000000001</v>
      </c>
      <c r="G352" s="2">
        <f t="shared" ca="1" si="50"/>
        <v>124.21250000000001</v>
      </c>
      <c r="H352" s="2">
        <f t="shared" ca="1" si="50"/>
        <v>113.11000000000001</v>
      </c>
      <c r="I352" s="2">
        <f t="shared" ca="1" si="50"/>
        <v>153.24125000000004</v>
      </c>
    </row>
    <row r="356" spans="1:9" x14ac:dyDescent="0.2">
      <c r="A356" t="s">
        <v>344</v>
      </c>
    </row>
    <row r="358" spans="1:9" x14ac:dyDescent="0.2">
      <c r="A358" s="8" t="s">
        <v>305</v>
      </c>
      <c r="B358" s="8" t="s">
        <v>278</v>
      </c>
      <c r="C358" s="8" t="s">
        <v>290</v>
      </c>
      <c r="D358" s="14" t="s">
        <v>291</v>
      </c>
      <c r="E358" s="14" t="s">
        <v>292</v>
      </c>
      <c r="F358" s="14" t="s">
        <v>293</v>
      </c>
      <c r="G358" s="14" t="s">
        <v>294</v>
      </c>
      <c r="H358" s="77" t="s">
        <v>644</v>
      </c>
      <c r="I358" s="77" t="s">
        <v>645</v>
      </c>
    </row>
    <row r="359" spans="1:9" x14ac:dyDescent="0.2">
      <c r="A359" t="s">
        <v>279</v>
      </c>
      <c r="B359" s="2" t="str">
        <f t="shared" ref="B359:G359" ca="1" si="51">IF(B239&gt;0, IF(B321=0, "∞", B239 / B321), 0)</f>
        <v>∞</v>
      </c>
      <c r="C359" s="2" t="str">
        <f t="shared" ca="1" si="51"/>
        <v>∞</v>
      </c>
      <c r="D359" s="2" t="str">
        <f t="shared" ca="1" si="51"/>
        <v>∞</v>
      </c>
      <c r="E359" s="2" t="str">
        <f t="shared" ca="1" si="51"/>
        <v>∞</v>
      </c>
      <c r="F359" s="2" t="str">
        <f t="shared" ca="1" si="51"/>
        <v>∞</v>
      </c>
      <c r="G359" s="2" t="str">
        <f t="shared" ca="1" si="51"/>
        <v>∞</v>
      </c>
      <c r="H359" s="2" t="str">
        <f ca="1">IF(H239&gt;0, IF(H321=0, "∞", H239 / H321), 0)</f>
        <v>∞</v>
      </c>
      <c r="I359" s="2">
        <f ca="1">IF(I239&gt;0, IF(I321=0, "∞", I239 / I321), 0)</f>
        <v>0</v>
      </c>
    </row>
    <row r="360" spans="1:9" x14ac:dyDescent="0.2">
      <c r="A360" t="s">
        <v>280</v>
      </c>
      <c r="B360" s="2" t="str">
        <f t="shared" ref="B360:G360" ca="1" si="52">IF(B240&gt;0, IF(B322=0, "∞", B240 / B322), 0)</f>
        <v>∞</v>
      </c>
      <c r="C360" s="2" t="str">
        <f t="shared" ca="1" si="52"/>
        <v>∞</v>
      </c>
      <c r="D360" s="2" t="str">
        <f t="shared" ca="1" si="52"/>
        <v>∞</v>
      </c>
      <c r="E360" s="2">
        <f t="shared" ca="1" si="52"/>
        <v>2628.2262068965515</v>
      </c>
      <c r="F360" s="2">
        <f t="shared" ca="1" si="52"/>
        <v>347.41027921038574</v>
      </c>
      <c r="G360" s="2">
        <f t="shared" ca="1" si="52"/>
        <v>188.4147894686817</v>
      </c>
      <c r="H360" s="2">
        <f t="shared" ref="H360" ca="1" si="53">IF(H240&gt;0, IF(H322=0, "∞", H240 / H322), 0)</f>
        <v>50.179305806876137</v>
      </c>
      <c r="I360" s="2">
        <f t="shared" ref="I360:I372" ca="1" si="54">IF(I240&gt;0, IF(I322=0, "∞", I240 / I322), 0)</f>
        <v>0</v>
      </c>
    </row>
    <row r="361" spans="1:9" x14ac:dyDescent="0.2">
      <c r="A361" t="s">
        <v>281</v>
      </c>
      <c r="B361" s="2" t="str">
        <f t="shared" ref="B361:G361" ca="1" si="55">IF(B241&gt;0, IF(B323=0, "∞", B241 / B323), 0)</f>
        <v>∞</v>
      </c>
      <c r="C361" s="2" t="str">
        <f t="shared" ca="1" si="55"/>
        <v>∞</v>
      </c>
      <c r="D361" s="2">
        <f t="shared" ca="1" si="55"/>
        <v>339.99241192411944</v>
      </c>
      <c r="E361" s="2">
        <f t="shared" ca="1" si="55"/>
        <v>178.50852691416941</v>
      </c>
      <c r="F361" s="2">
        <f t="shared" ca="1" si="55"/>
        <v>118.98490634660844</v>
      </c>
      <c r="G361" s="2">
        <f t="shared" ca="1" si="55"/>
        <v>87.709875933787444</v>
      </c>
      <c r="H361" s="2">
        <f t="shared" ref="H361" ca="1" si="56">IF(H241&gt;0, IF(H323=0, "∞", H241 / H323), 0)</f>
        <v>32.898538487827437</v>
      </c>
      <c r="I361" s="2">
        <f t="shared" ca="1" si="54"/>
        <v>0</v>
      </c>
    </row>
    <row r="362" spans="1:9" x14ac:dyDescent="0.2">
      <c r="A362" t="s">
        <v>282</v>
      </c>
      <c r="B362" s="2">
        <f t="shared" ref="B362:G362" ca="1" si="57">IF(B242&gt;0, IF(B324=0, "∞", B242 / B324), 0)</f>
        <v>620.6254869226492</v>
      </c>
      <c r="C362" s="2">
        <f t="shared" ca="1" si="57"/>
        <v>224.41825245275547</v>
      </c>
      <c r="D362" s="2">
        <f t="shared" ca="1" si="57"/>
        <v>131.03520090548955</v>
      </c>
      <c r="E362" s="2">
        <f t="shared" ca="1" si="57"/>
        <v>92.462787550744252</v>
      </c>
      <c r="F362" s="2">
        <f t="shared" ca="1" si="57"/>
        <v>75.25871920375188</v>
      </c>
      <c r="G362" s="2">
        <f t="shared" ca="1" si="57"/>
        <v>60.297279958942774</v>
      </c>
      <c r="H362" s="2">
        <f t="shared" ref="H362" ca="1" si="58">IF(H242&gt;0, IF(H324=0, "∞", H242 / H324), 0)</f>
        <v>0</v>
      </c>
      <c r="I362" s="2">
        <f t="shared" ca="1" si="54"/>
        <v>0</v>
      </c>
    </row>
    <row r="363" spans="1:9" x14ac:dyDescent="0.2">
      <c r="A363" t="s">
        <v>283</v>
      </c>
      <c r="B363" s="2">
        <f t="shared" ref="B363:G363" ca="1" si="59">IF(B243&gt;0, IF(B325=0, "∞", B243 / B325), 0)</f>
        <v>336.56509441174205</v>
      </c>
      <c r="C363" s="2">
        <f t="shared" ca="1" si="59"/>
        <v>159.94034131650648</v>
      </c>
      <c r="D363" s="2">
        <f t="shared" ca="1" si="59"/>
        <v>102.64594159159499</v>
      </c>
      <c r="E363" s="2">
        <f t="shared" ca="1" si="59"/>
        <v>73.231556066999119</v>
      </c>
      <c r="F363" s="2">
        <f t="shared" ca="1" si="59"/>
        <v>58.443440034672776</v>
      </c>
      <c r="G363" s="2">
        <f t="shared" ca="1" si="59"/>
        <v>47.814381270903013</v>
      </c>
      <c r="H363" s="2">
        <f t="shared" ref="H363" ca="1" si="60">IF(H243&gt;0, IF(H325=0, "∞", H243 / H325), 0)</f>
        <v>0</v>
      </c>
      <c r="I363" s="2">
        <f t="shared" ca="1" si="54"/>
        <v>0</v>
      </c>
    </row>
    <row r="364" spans="1:9" x14ac:dyDescent="0.2">
      <c r="A364" t="s">
        <v>284</v>
      </c>
      <c r="B364" s="2" t="str">
        <f t="shared" ref="B364:G364" ca="1" si="61">IF(B244&gt;0, IF(B326=0, "∞", B244 / B326), 0)</f>
        <v>∞</v>
      </c>
      <c r="C364" s="2" t="str">
        <f t="shared" ca="1" si="61"/>
        <v>∞</v>
      </c>
      <c r="D364" s="2" t="str">
        <f t="shared" ca="1" si="61"/>
        <v>∞</v>
      </c>
      <c r="E364" s="2">
        <f t="shared" ca="1" si="61"/>
        <v>1035.6790697674426</v>
      </c>
      <c r="F364" s="2">
        <f t="shared" ca="1" si="61"/>
        <v>138.94913260805649</v>
      </c>
      <c r="G364" s="2">
        <f t="shared" ca="1" si="61"/>
        <v>69.858753876515365</v>
      </c>
      <c r="H364" s="2">
        <f t="shared" ref="H364" ca="1" si="62">IF(H244&gt;0, IF(H326=0, "∞", H244 / H326), 0)</f>
        <v>85.046191495870303</v>
      </c>
      <c r="I364" s="2">
        <f t="shared" ca="1" si="54"/>
        <v>0</v>
      </c>
    </row>
    <row r="365" spans="1:9" x14ac:dyDescent="0.2">
      <c r="A365" t="s">
        <v>285</v>
      </c>
      <c r="B365" s="2">
        <f t="shared" ref="B365:G365" ca="1" si="63">IF(B245&gt;0, IF(B327=0, "∞", B245 / B327), 0)</f>
        <v>305.31203007518798</v>
      </c>
      <c r="C365" s="2">
        <f t="shared" ca="1" si="63"/>
        <v>132.89070789752918</v>
      </c>
      <c r="D365" s="2">
        <f t="shared" ca="1" si="63"/>
        <v>85.649297630910652</v>
      </c>
      <c r="E365" s="2">
        <f t="shared" ca="1" si="63"/>
        <v>60.557705256542633</v>
      </c>
      <c r="F365" s="2">
        <f t="shared" ca="1" si="63"/>
        <v>48.513295686987533</v>
      </c>
      <c r="G365" s="2">
        <f t="shared" ca="1" si="63"/>
        <v>39.170680279658193</v>
      </c>
      <c r="H365" s="2">
        <f t="shared" ref="H365" ca="1" si="64">IF(H245&gt;0, IF(H327=0, "∞", H245 / H327), 0)</f>
        <v>20.738665643330954</v>
      </c>
      <c r="I365" s="2">
        <f t="shared" ca="1" si="54"/>
        <v>0</v>
      </c>
    </row>
    <row r="366" spans="1:9" x14ac:dyDescent="0.2">
      <c r="A366" t="s">
        <v>286</v>
      </c>
      <c r="B366" s="2">
        <f t="shared" ref="B366:G366" ca="1" si="65">IF(B246&gt;0, IF(B328=0, "∞", B246 / B328), 0)</f>
        <v>92.316270612894243</v>
      </c>
      <c r="C366" s="2">
        <f t="shared" ca="1" si="65"/>
        <v>66.521389082711607</v>
      </c>
      <c r="D366" s="2">
        <f t="shared" ca="1" si="65"/>
        <v>51.513263249632338</v>
      </c>
      <c r="E366" s="2">
        <f t="shared" ca="1" si="65"/>
        <v>42.054497751940517</v>
      </c>
      <c r="F366" s="2">
        <f t="shared" ca="1" si="65"/>
        <v>35.758636143627996</v>
      </c>
      <c r="G366" s="2">
        <f t="shared" ca="1" si="65"/>
        <v>30.87870178867702</v>
      </c>
      <c r="H366" s="2">
        <f t="shared" ref="H366" ca="1" si="66">IF(H246&gt;0, IF(H328=0, "∞", H246 / H328), 0)</f>
        <v>0</v>
      </c>
      <c r="I366" s="2">
        <f t="shared" ca="1" si="54"/>
        <v>0</v>
      </c>
    </row>
    <row r="367" spans="1:9" x14ac:dyDescent="0.2">
      <c r="A367" t="s">
        <v>287</v>
      </c>
      <c r="B367" s="2">
        <f t="shared" ref="B367:G367" ca="1" si="67">IF(B247&gt;0, IF(B329=0, "∞", B247 / B329), 0)</f>
        <v>48.160410428313014</v>
      </c>
      <c r="C367" s="2">
        <f t="shared" ca="1" si="67"/>
        <v>43.718349094641155</v>
      </c>
      <c r="D367" s="2">
        <f t="shared" ca="1" si="67"/>
        <v>39.941030641589265</v>
      </c>
      <c r="E367" s="2">
        <f t="shared" ca="1" si="67"/>
        <v>37.001700795972518</v>
      </c>
      <c r="F367" s="2">
        <f t="shared" ca="1" si="67"/>
        <v>35.270824137713596</v>
      </c>
      <c r="G367" s="2">
        <f t="shared" ca="1" si="67"/>
        <v>33.260556609411942</v>
      </c>
      <c r="H367" s="2">
        <f t="shared" ref="H367" ca="1" si="68">IF(H247&gt;0, IF(H329=0, "∞", H247 / H329), 0)</f>
        <v>0</v>
      </c>
      <c r="I367" s="2">
        <f t="shared" ca="1" si="54"/>
        <v>44.230577424144784</v>
      </c>
    </row>
    <row r="368" spans="1:9" x14ac:dyDescent="0.2">
      <c r="A368" t="s">
        <v>617</v>
      </c>
      <c r="B368" s="2" t="str">
        <f t="shared" ref="B368:G368" ca="1" si="69">IF(B248&gt;0, IF(B330=0, "∞", B248 / B330), 0)</f>
        <v>∞</v>
      </c>
      <c r="C368" s="2" t="str">
        <f t="shared" ca="1" si="69"/>
        <v>∞</v>
      </c>
      <c r="D368" s="2" t="str">
        <f t="shared" ca="1" si="69"/>
        <v>∞</v>
      </c>
      <c r="E368" s="2" t="str">
        <f t="shared" ca="1" si="69"/>
        <v>∞</v>
      </c>
      <c r="F368" s="2" t="str">
        <f t="shared" ca="1" si="69"/>
        <v>∞</v>
      </c>
      <c r="G368" s="2" t="str">
        <f t="shared" ca="1" si="69"/>
        <v>∞</v>
      </c>
      <c r="H368" s="2">
        <f t="shared" ref="H368" ca="1" si="70">IF(H248&gt;0, IF(H330=0, "∞", H248 / H330), 0)</f>
        <v>0</v>
      </c>
      <c r="I368" s="2">
        <f t="shared" ca="1" si="54"/>
        <v>17.218909294043716</v>
      </c>
    </row>
    <row r="369" spans="1:9" x14ac:dyDescent="0.2">
      <c r="A369" t="s">
        <v>289</v>
      </c>
      <c r="B369" s="2" t="str">
        <f t="shared" ref="B369:G369" ca="1" si="71">IF(B249&gt;0, IF(B331=0, "∞", B249 / B331), 0)</f>
        <v>∞</v>
      </c>
      <c r="C369" s="2">
        <f t="shared" ca="1" si="71"/>
        <v>637.17282035370727</v>
      </c>
      <c r="D369" s="2">
        <f t="shared" ca="1" si="71"/>
        <v>218.99541857559359</v>
      </c>
      <c r="E369" s="2">
        <f t="shared" ca="1" si="71"/>
        <v>106.57821782178218</v>
      </c>
      <c r="F369" s="2">
        <f t="shared" ca="1" si="71"/>
        <v>82.518223402685535</v>
      </c>
      <c r="G369" s="2">
        <f t="shared" ca="1" si="71"/>
        <v>64.820981387478867</v>
      </c>
      <c r="H369" s="2">
        <f t="shared" ref="H369" ca="1" si="72">IF(H249&gt;0, IF(H331=0, "∞", H249 / H331), 0)</f>
        <v>0</v>
      </c>
      <c r="I369" s="2">
        <f t="shared" ca="1" si="54"/>
        <v>0</v>
      </c>
    </row>
    <row r="370" spans="1:9" x14ac:dyDescent="0.2">
      <c r="A370" t="s">
        <v>298</v>
      </c>
      <c r="B370" s="2">
        <f t="shared" ref="B370:G370" ca="1" si="73">IF(B250&gt;0, IF(B332=0, "∞", B250 / B332), 0)</f>
        <v>75.769928102532063</v>
      </c>
      <c r="C370" s="2">
        <f t="shared" ca="1" si="73"/>
        <v>59.86749415652455</v>
      </c>
      <c r="D370" s="2">
        <f t="shared" ca="1" si="73"/>
        <v>49.813802382436904</v>
      </c>
      <c r="E370" s="2">
        <f t="shared" ca="1" si="73"/>
        <v>41.260378965297001</v>
      </c>
      <c r="F370" s="2">
        <f t="shared" ca="1" si="73"/>
        <v>37.007918968692451</v>
      </c>
      <c r="G370" s="2">
        <f t="shared" ca="1" si="73"/>
        <v>32.908749800415137</v>
      </c>
      <c r="H370" s="2">
        <f t="shared" ref="H370" ca="1" si="74">IF(H250&gt;0, IF(H332=0, "∞", H250 / H332), 0)</f>
        <v>0</v>
      </c>
      <c r="I370" s="2">
        <f t="shared" ca="1" si="54"/>
        <v>0</v>
      </c>
    </row>
    <row r="371" spans="1:9" x14ac:dyDescent="0.2">
      <c r="A371" t="s">
        <v>288</v>
      </c>
      <c r="B371" s="2">
        <f t="shared" ref="B371:G371" ca="1" si="75">IF(B251&gt;0, IF(B333=0, "∞", B251 / B333), 0)</f>
        <v>26.990786417935364</v>
      </c>
      <c r="C371" s="2">
        <f t="shared" ca="1" si="75"/>
        <v>26.990786417935364</v>
      </c>
      <c r="D371" s="2">
        <f t="shared" ca="1" si="75"/>
        <v>26.990786417935364</v>
      </c>
      <c r="E371" s="2">
        <f t="shared" ca="1" si="75"/>
        <v>26.990786417935364</v>
      </c>
      <c r="F371" s="2">
        <f t="shared" ca="1" si="75"/>
        <v>27.746654169419642</v>
      </c>
      <c r="G371" s="2">
        <f t="shared" ca="1" si="75"/>
        <v>27.888016471781317</v>
      </c>
      <c r="H371" s="2">
        <f t="shared" ref="H371" ca="1" si="76">IF(H251&gt;0, IF(H333=0, "∞", H251 / H333), 0)</f>
        <v>22.773528614049358</v>
      </c>
      <c r="I371" s="2">
        <f t="shared" ca="1" si="54"/>
        <v>9.9138066309489119</v>
      </c>
    </row>
    <row r="372" spans="1:9" x14ac:dyDescent="0.2">
      <c r="A372" t="s">
        <v>299</v>
      </c>
      <c r="B372" s="2">
        <f t="shared" ref="B372:G372" ca="1" si="77">IF(B252&gt;0, IF(B334=0, "∞", B252 / B334), 0)</f>
        <v>37.693282636248412</v>
      </c>
      <c r="C372" s="2">
        <f t="shared" ca="1" si="77"/>
        <v>37.693282636248412</v>
      </c>
      <c r="D372" s="2">
        <f t="shared" ca="1" si="77"/>
        <v>37.693282636248412</v>
      </c>
      <c r="E372" s="2">
        <f t="shared" ca="1" si="77"/>
        <v>37.693282636248412</v>
      </c>
      <c r="F372" s="2">
        <f t="shared" ca="1" si="77"/>
        <v>38.884817272457163</v>
      </c>
      <c r="G372" s="2">
        <f t="shared" ca="1" si="77"/>
        <v>39.082895909676139</v>
      </c>
      <c r="H372" s="2">
        <f t="shared" ref="H372" ca="1" si="78">IF(H252&gt;0, IF(H334=0, "∞", H252 / H334), 0)</f>
        <v>20.460958724038203</v>
      </c>
      <c r="I372" s="2">
        <f t="shared" ca="1" si="54"/>
        <v>39.924539774227348</v>
      </c>
    </row>
    <row r="374" spans="1:9" x14ac:dyDescent="0.2">
      <c r="A374" t="s">
        <v>345</v>
      </c>
    </row>
    <row r="376" spans="1:9" x14ac:dyDescent="0.2">
      <c r="A376" s="8" t="s">
        <v>305</v>
      </c>
      <c r="B376" s="8" t="s">
        <v>278</v>
      </c>
      <c r="C376" s="8" t="s">
        <v>290</v>
      </c>
      <c r="D376" s="14" t="s">
        <v>291</v>
      </c>
      <c r="E376" s="14" t="s">
        <v>292</v>
      </c>
      <c r="F376" s="14" t="s">
        <v>293</v>
      </c>
      <c r="G376" s="14" t="s">
        <v>294</v>
      </c>
      <c r="H376" s="77" t="s">
        <v>644</v>
      </c>
      <c r="I376" s="77" t="s">
        <v>645</v>
      </c>
    </row>
    <row r="377" spans="1:9" x14ac:dyDescent="0.2">
      <c r="A377" t="s">
        <v>279</v>
      </c>
      <c r="B377" s="2" t="str">
        <f t="shared" ref="B377:F377" ca="1" si="79">IF(B257&gt;0, IF(B339=0, "∞", B257 / B339), 0)</f>
        <v>∞</v>
      </c>
      <c r="C377" s="2" t="str">
        <f t="shared" ca="1" si="79"/>
        <v>∞</v>
      </c>
      <c r="D377" s="2" t="str">
        <f t="shared" ca="1" si="79"/>
        <v>∞</v>
      </c>
      <c r="E377" s="2" t="str">
        <f t="shared" ca="1" si="79"/>
        <v>∞</v>
      </c>
      <c r="F377" s="2" t="str">
        <f t="shared" ca="1" si="79"/>
        <v>∞</v>
      </c>
      <c r="G377" s="2" t="str">
        <f ca="1">IF(G257&gt;0, IF(G339=0, "∞", G257 / G339), 0)</f>
        <v>∞</v>
      </c>
      <c r="H377" s="2" t="str">
        <f t="shared" ref="H377:I377" ca="1" si="80">IF(H257&gt;0, IF(H339=0, "∞", H257 / H339), 0)</f>
        <v>∞</v>
      </c>
      <c r="I377" s="2">
        <f t="shared" ca="1" si="80"/>
        <v>0</v>
      </c>
    </row>
    <row r="378" spans="1:9" x14ac:dyDescent="0.2">
      <c r="A378" t="s">
        <v>280</v>
      </c>
      <c r="B378" s="2" t="str">
        <f t="shared" ref="B378:F378" ca="1" si="81">IF(B258&gt;0, IF(B340=0, "∞", B258 / B340), 0)</f>
        <v>∞</v>
      </c>
      <c r="C378" s="2" t="str">
        <f t="shared" ca="1" si="81"/>
        <v>∞</v>
      </c>
      <c r="D378" s="2" t="str">
        <f t="shared" ca="1" si="81"/>
        <v>∞</v>
      </c>
      <c r="E378" s="2">
        <f t="shared" ca="1" si="81"/>
        <v>2646.9848275862068</v>
      </c>
      <c r="F378" s="2">
        <f t="shared" ca="1" si="81"/>
        <v>408.01658718639834</v>
      </c>
      <c r="G378" s="2">
        <f t="shared" ref="G378:I378" ca="1" si="82">IF(G258&gt;0, IF(G340=0, "∞", G258 / G340), 0)</f>
        <v>189.78119950575041</v>
      </c>
      <c r="H378" s="2">
        <f t="shared" ca="1" si="82"/>
        <v>49.914130613587766</v>
      </c>
      <c r="I378" s="2">
        <f t="shared" ca="1" si="82"/>
        <v>0</v>
      </c>
    </row>
    <row r="379" spans="1:9" x14ac:dyDescent="0.2">
      <c r="A379" t="s">
        <v>281</v>
      </c>
      <c r="B379" s="2" t="str">
        <f t="shared" ref="B379:F379" ca="1" si="83">IF(B259&gt;0, IF(B341=0, "∞", B259 / B341), 0)</f>
        <v>∞</v>
      </c>
      <c r="C379" s="2" t="str">
        <f t="shared" ca="1" si="83"/>
        <v>∞</v>
      </c>
      <c r="D379" s="2">
        <f t="shared" ca="1" si="83"/>
        <v>386.42796352583611</v>
      </c>
      <c r="E379" s="2">
        <f t="shared" ca="1" si="83"/>
        <v>191.62346642873075</v>
      </c>
      <c r="F379" s="2">
        <f t="shared" ca="1" si="83"/>
        <v>125.09756557841101</v>
      </c>
      <c r="G379" s="2">
        <f t="shared" ref="G379:I379" ca="1" si="84">IF(G259&gt;0, IF(G341=0, "∞", G259 / G341), 0)</f>
        <v>91.295771791665217</v>
      </c>
      <c r="H379" s="2">
        <f t="shared" ca="1" si="84"/>
        <v>33.566557015303516</v>
      </c>
      <c r="I379" s="2">
        <f t="shared" ca="1" si="84"/>
        <v>0</v>
      </c>
    </row>
    <row r="380" spans="1:9" x14ac:dyDescent="0.2">
      <c r="A380" t="s">
        <v>282</v>
      </c>
      <c r="B380" s="2">
        <f t="shared" ref="B380:F380" ca="1" si="85">IF(B260&gt;0, IF(B342=0, "∞", B260 / B342), 0)</f>
        <v>898.16512793458276</v>
      </c>
      <c r="C380" s="2">
        <f t="shared" ca="1" si="85"/>
        <v>241.11989990964042</v>
      </c>
      <c r="D380" s="2">
        <f t="shared" ca="1" si="85"/>
        <v>141.95800040152582</v>
      </c>
      <c r="E380" s="2">
        <f t="shared" ca="1" si="85"/>
        <v>98.259802324318443</v>
      </c>
      <c r="F380" s="2">
        <f t="shared" ca="1" si="85"/>
        <v>79.213703444917314</v>
      </c>
      <c r="G380" s="2">
        <f t="shared" ref="G380:I380" ca="1" si="86">IF(G260&gt;0, IF(G342=0, "∞", G260 / G342), 0)</f>
        <v>63.016987095075066</v>
      </c>
      <c r="H380" s="2">
        <f t="shared" ca="1" si="86"/>
        <v>0</v>
      </c>
      <c r="I380" s="2">
        <f t="shared" ca="1" si="86"/>
        <v>0</v>
      </c>
    </row>
    <row r="381" spans="1:9" x14ac:dyDescent="0.2">
      <c r="A381" t="s">
        <v>283</v>
      </c>
      <c r="B381" s="2">
        <f t="shared" ref="B381:F381" ca="1" si="87">IF(B261&gt;0, IF(B343=0, "∞", B261 / B343), 0)</f>
        <v>420.72689823050251</v>
      </c>
      <c r="C381" s="2">
        <f t="shared" ca="1" si="87"/>
        <v>173.23261828693134</v>
      </c>
      <c r="D381" s="2">
        <f t="shared" ca="1" si="87"/>
        <v>108.75415008594503</v>
      </c>
      <c r="E381" s="2">
        <f t="shared" ca="1" si="87"/>
        <v>76.753444429864857</v>
      </c>
      <c r="F381" s="2">
        <f t="shared" ca="1" si="87"/>
        <v>61.488762682662241</v>
      </c>
      <c r="G381" s="2">
        <f t="shared" ref="G381:I381" ca="1" si="88">IF(G261&gt;0, IF(G343=0, "∞", G261 / G343), 0)</f>
        <v>49.599449749150352</v>
      </c>
      <c r="H381" s="2">
        <f t="shared" ca="1" si="88"/>
        <v>0</v>
      </c>
      <c r="I381" s="2">
        <f t="shared" ca="1" si="88"/>
        <v>0</v>
      </c>
    </row>
    <row r="382" spans="1:9" x14ac:dyDescent="0.2">
      <c r="A382" t="s">
        <v>284</v>
      </c>
      <c r="B382" s="2" t="str">
        <f t="shared" ref="B382:F382" ca="1" si="89">IF(B262&gt;0, IF(B344=0, "∞", B262 / B344), 0)</f>
        <v>∞</v>
      </c>
      <c r="C382" s="2" t="str">
        <f t="shared" ca="1" si="89"/>
        <v>∞</v>
      </c>
      <c r="D382" s="2" t="str">
        <f t="shared" ca="1" si="89"/>
        <v>∞</v>
      </c>
      <c r="E382" s="2">
        <f t="shared" ca="1" si="89"/>
        <v>1041.7116279069776</v>
      </c>
      <c r="F382" s="2">
        <f t="shared" ca="1" si="89"/>
        <v>139.8865039694208</v>
      </c>
      <c r="G382" s="2">
        <f t="shared" ref="G382:I382" ca="1" si="90">IF(G262&gt;0, IF(G344=0, "∞", G262 / G344), 0)</f>
        <v>70.365379193684802</v>
      </c>
      <c r="H382" s="2">
        <f t="shared" ca="1" si="90"/>
        <v>84.310186601407167</v>
      </c>
      <c r="I382" s="2">
        <f t="shared" ca="1" si="90"/>
        <v>0</v>
      </c>
    </row>
    <row r="383" spans="1:9" x14ac:dyDescent="0.2">
      <c r="A383" t="s">
        <v>285</v>
      </c>
      <c r="B383" s="2">
        <f t="shared" ref="B383:F383" ca="1" si="91">IF(B263&gt;0, IF(B345=0, "∞", B263 / B345), 0)</f>
        <v>341.6483402489626</v>
      </c>
      <c r="C383" s="2">
        <f t="shared" ca="1" si="91"/>
        <v>140.42525406771628</v>
      </c>
      <c r="D383" s="2">
        <f t="shared" ca="1" si="91"/>
        <v>89.149757497772939</v>
      </c>
      <c r="E383" s="2">
        <f t="shared" ca="1" si="91"/>
        <v>62.560314485532757</v>
      </c>
      <c r="F383" s="2">
        <f t="shared" ca="1" si="91"/>
        <v>49.896061986914653</v>
      </c>
      <c r="G383" s="2">
        <f t="shared" ref="G383:I383" ca="1" si="92">IF(G263&gt;0, IF(G345=0, "∞", G263 / G345), 0)</f>
        <v>40.171024576366278</v>
      </c>
      <c r="H383" s="2">
        <f t="shared" ca="1" si="92"/>
        <v>20.771229647497393</v>
      </c>
      <c r="I383" s="2">
        <f t="shared" ca="1" si="92"/>
        <v>0</v>
      </c>
    </row>
    <row r="384" spans="1:9" x14ac:dyDescent="0.2">
      <c r="A384" t="s">
        <v>286</v>
      </c>
      <c r="B384" s="2">
        <f t="shared" ref="B384:F384" ca="1" si="93">IF(B264&gt;0, IF(B346=0, "∞", B264 / B346), 0)</f>
        <v>98.012684544330099</v>
      </c>
      <c r="C384" s="2">
        <f t="shared" ca="1" si="93"/>
        <v>69.777540382738096</v>
      </c>
      <c r="D384" s="2">
        <f t="shared" ca="1" si="93"/>
        <v>53.662564730775664</v>
      </c>
      <c r="E384" s="2">
        <f t="shared" ca="1" si="93"/>
        <v>43.632648991213983</v>
      </c>
      <c r="F384" s="2">
        <f t="shared" ca="1" si="93"/>
        <v>36.969827037447942</v>
      </c>
      <c r="G384" s="2">
        <f t="shared" ref="G384:I384" ca="1" si="94">IF(G264&gt;0, IF(G346=0, "∞", G264 / G346), 0)</f>
        <v>31.858463001449422</v>
      </c>
      <c r="H384" s="2">
        <f t="shared" ca="1" si="94"/>
        <v>0</v>
      </c>
      <c r="I384" s="2">
        <f t="shared" ca="1" si="94"/>
        <v>0</v>
      </c>
    </row>
    <row r="385" spans="1:9" x14ac:dyDescent="0.2">
      <c r="A385" t="s">
        <v>287</v>
      </c>
      <c r="B385" s="2">
        <f t="shared" ref="B385:F385" ca="1" si="95">IF(B265&gt;0, IF(B347=0, "∞", B265 / B347), 0)</f>
        <v>50.42718100765854</v>
      </c>
      <c r="C385" s="2">
        <f t="shared" ca="1" si="95"/>
        <v>45.328398184658873</v>
      </c>
      <c r="D385" s="2">
        <f t="shared" ca="1" si="95"/>
        <v>41.632549826324485</v>
      </c>
      <c r="E385" s="2">
        <f t="shared" ca="1" si="95"/>
        <v>38.274586620348764</v>
      </c>
      <c r="F385" s="2">
        <f t="shared" ca="1" si="95"/>
        <v>36.643307608440047</v>
      </c>
      <c r="G385" s="2">
        <f t="shared" ref="G385:I385" ca="1" si="96">IF(G265&gt;0, IF(G347=0, "∞", G265 / G347), 0)</f>
        <v>34.510466436132297</v>
      </c>
      <c r="H385" s="2">
        <f t="shared" ca="1" si="96"/>
        <v>0</v>
      </c>
      <c r="I385" s="2">
        <f t="shared" ca="1" si="96"/>
        <v>45.332558864364032</v>
      </c>
    </row>
    <row r="386" spans="1:9" x14ac:dyDescent="0.2">
      <c r="A386" t="s">
        <v>617</v>
      </c>
      <c r="B386" s="2" t="str">
        <f t="shared" ref="B386:F386" ca="1" si="97">IF(B266&gt;0, IF(B348=0, "∞", B266 / B348), 0)</f>
        <v>∞</v>
      </c>
      <c r="C386" s="2" t="str">
        <f t="shared" ca="1" si="97"/>
        <v>∞</v>
      </c>
      <c r="D386" s="2" t="str">
        <f t="shared" ca="1" si="97"/>
        <v>∞</v>
      </c>
      <c r="E386" s="2" t="str">
        <f t="shared" ca="1" si="97"/>
        <v>∞</v>
      </c>
      <c r="F386" s="2" t="str">
        <f t="shared" ca="1" si="97"/>
        <v>∞</v>
      </c>
      <c r="G386" s="2" t="str">
        <f t="shared" ref="G386:I386" ca="1" si="98">IF(G266&gt;0, IF(G348=0, "∞", G266 / G348), 0)</f>
        <v>∞</v>
      </c>
      <c r="H386" s="2">
        <f t="shared" ca="1" si="98"/>
        <v>0</v>
      </c>
      <c r="I386" s="2">
        <f t="shared" ca="1" si="98"/>
        <v>17.874411082202375</v>
      </c>
    </row>
    <row r="387" spans="1:9" x14ac:dyDescent="0.2">
      <c r="A387" t="s">
        <v>289</v>
      </c>
      <c r="B387" s="2" t="str">
        <f t="shared" ref="B387:F387" ca="1" si="99">IF(B267&gt;0, IF(B349=0, "∞", B267 / B349), 0)</f>
        <v>∞</v>
      </c>
      <c r="C387" s="2">
        <f t="shared" ca="1" si="99"/>
        <v>643.11511014582641</v>
      </c>
      <c r="D387" s="2">
        <f t="shared" ca="1" si="99"/>
        <v>241.25215810995013</v>
      </c>
      <c r="E387" s="2">
        <f t="shared" ca="1" si="99"/>
        <v>112.12536082474227</v>
      </c>
      <c r="F387" s="2">
        <f t="shared" ca="1" si="99"/>
        <v>85.878059905732101</v>
      </c>
      <c r="G387" s="2">
        <f t="shared" ref="G387:I387" ca="1" si="100">IF(G267&gt;0, IF(G349=0, "∞", G267 / G349), 0)</f>
        <v>67.008886324293144</v>
      </c>
      <c r="H387" s="2">
        <f t="shared" ca="1" si="100"/>
        <v>0</v>
      </c>
      <c r="I387" s="2">
        <f t="shared" ca="1" si="100"/>
        <v>0</v>
      </c>
    </row>
    <row r="388" spans="1:9" x14ac:dyDescent="0.2">
      <c r="A388" t="s">
        <v>298</v>
      </c>
      <c r="B388" s="2">
        <f t="shared" ref="B388:F388" ca="1" si="101">IF(B268&gt;0, IF(B350=0, "∞", B268 / B350), 0)</f>
        <v>78.595083537299146</v>
      </c>
      <c r="C388" s="2">
        <f t="shared" ca="1" si="101"/>
        <v>61.81453264520357</v>
      </c>
      <c r="D388" s="2">
        <f t="shared" ca="1" si="101"/>
        <v>51.991777036363025</v>
      </c>
      <c r="E388" s="2">
        <f t="shared" ca="1" si="101"/>
        <v>42.40305573488272</v>
      </c>
      <c r="F388" s="2">
        <f t="shared" ca="1" si="101"/>
        <v>37.96496282527881</v>
      </c>
      <c r="G388" s="2">
        <f t="shared" ref="G388:I388" ca="1" si="102">IF(G268&gt;0, IF(G350=0, "∞", G268 / G350), 0)</f>
        <v>33.728150651859004</v>
      </c>
      <c r="H388" s="2">
        <f t="shared" ca="1" si="102"/>
        <v>0</v>
      </c>
      <c r="I388" s="2">
        <f t="shared" ca="1" si="102"/>
        <v>0</v>
      </c>
    </row>
    <row r="389" spans="1:9" x14ac:dyDescent="0.2">
      <c r="A389" t="s">
        <v>288</v>
      </c>
      <c r="B389" s="2">
        <f t="shared" ref="B389:F389" ca="1" si="103">IF(B269&gt;0, IF(B351=0, "∞", B269 / B351), 0)</f>
        <v>27.826370215577509</v>
      </c>
      <c r="C389" s="2">
        <f t="shared" ca="1" si="103"/>
        <v>27.826370215577509</v>
      </c>
      <c r="D389" s="2">
        <f t="shared" ca="1" si="103"/>
        <v>27.826370215577509</v>
      </c>
      <c r="E389" s="2">
        <f t="shared" ca="1" si="103"/>
        <v>27.826370215577509</v>
      </c>
      <c r="F389" s="2">
        <f t="shared" ca="1" si="103"/>
        <v>28.418979298402927</v>
      </c>
      <c r="G389" s="2">
        <f t="shared" ref="G389:I389" ca="1" si="104">IF(G269&gt;0, IF(G351=0, "∞", G269 / G351), 0)</f>
        <v>28.738756397691386</v>
      </c>
      <c r="H389" s="2">
        <f t="shared" ca="1" si="104"/>
        <v>22.732031461893136</v>
      </c>
      <c r="I389" s="2">
        <f t="shared" ca="1" si="104"/>
        <v>10.143034069670561</v>
      </c>
    </row>
    <row r="390" spans="1:9" x14ac:dyDescent="0.2">
      <c r="A390" t="s">
        <v>299</v>
      </c>
      <c r="B390" s="2">
        <f t="shared" ref="B390:F390" ca="1" si="105">IF(B270&gt;0, IF(B352=0, "∞", B270 / B352), 0)</f>
        <v>39.03511934237892</v>
      </c>
      <c r="C390" s="2">
        <f t="shared" ca="1" si="105"/>
        <v>39.03511934237892</v>
      </c>
      <c r="D390" s="2">
        <f t="shared" ca="1" si="105"/>
        <v>39.03511934237892</v>
      </c>
      <c r="E390" s="2">
        <f t="shared" ca="1" si="105"/>
        <v>39.03511934237892</v>
      </c>
      <c r="F390" s="2">
        <f t="shared" ca="1" si="105"/>
        <v>39.937865628431666</v>
      </c>
      <c r="G390" s="2">
        <f t="shared" ref="G390:I390" ca="1" si="106">IF(G270&gt;0, IF(G352=0, "∞", G270 / G352), 0)</f>
        <v>40.460420650095607</v>
      </c>
      <c r="H390" s="2">
        <f t="shared" ca="1" si="106"/>
        <v>20.791884006719119</v>
      </c>
      <c r="I390" s="2">
        <f t="shared" ca="1" si="106"/>
        <v>41.606486504123389</v>
      </c>
    </row>
    <row r="393" spans="1:9" x14ac:dyDescent="0.2">
      <c r="B393" s="4" t="s">
        <v>561</v>
      </c>
      <c r="C393" s="4" t="s">
        <v>562</v>
      </c>
    </row>
    <row r="394" spans="1:9" x14ac:dyDescent="0.2">
      <c r="A394" s="8" t="s">
        <v>25</v>
      </c>
      <c r="B394" s="15" t="s">
        <v>332</v>
      </c>
      <c r="C394" s="15" t="s">
        <v>333</v>
      </c>
    </row>
    <row r="395" spans="1:9" x14ac:dyDescent="0.2">
      <c r="A395" s="13" t="s">
        <v>312</v>
      </c>
      <c r="B395" s="48">
        <f ca="1">MIN($B$19 + C$19+ HLOOKUP($A395, INDIRECT(B$393), MATCH("Total", Slots, 0)+1, 0) + IF(Setup!J43=1, Setup!M43, 0) + IF(Setup!F34=1, VLOOKUP($A395, Ionis, 2, 0), 0), 80%)</f>
        <v>0.4</v>
      </c>
      <c r="C395" s="48">
        <f ca="1">MIN($B$19 + D$19+ HLOOKUP($A395, INDIRECT(C$393), MATCH("Total", Slots, 0)+1, 0) + IF(Setup!K43=1, Setup!N43, 0) + IF(Setup!G34=1, VLOOKUP($A395, Ionis, 2, 0), 0), 80%)</f>
        <v>0.30000000000000004</v>
      </c>
    </row>
    <row r="396" spans="1:9" x14ac:dyDescent="0.2">
      <c r="A396" s="13" t="s">
        <v>552</v>
      </c>
      <c r="B396" s="48">
        <f ca="1">MIN(B395 + $B$20 + IF(ISBLANK(Gear!$AI3), 0, VLOOKUP(Gear!$AI3, INDIRECT(Gear!$AH3), MATCH("AffCast", StatHeader, 0), 0)), 80%)</f>
        <v>0.7</v>
      </c>
      <c r="C396" s="48">
        <f ca="1">MIN(C395 + $B$20 + IF(ISBLANK(Gear!$AI27), 0, VLOOKUP(Gear!$AI27, INDIRECT(Gear!$AH27), MATCH("AffCast", StatHeader, 0), 0)), 80%)</f>
        <v>0.60000000000000009</v>
      </c>
      <c r="E396" s="31"/>
    </row>
    <row r="397" spans="1:9" x14ac:dyDescent="0.2">
      <c r="A397" s="13" t="s">
        <v>551</v>
      </c>
      <c r="B397" s="31">
        <f ca="1">FLOOR(B395/2, 0.01) + IF(ISBLANK(Gear!$B3), 0, VLOOKUP(Gear!$B3, INDIRECT(Gear!$A3), MATCH("AffRecast", StatHeader, 0), 0))</f>
        <v>0.2</v>
      </c>
      <c r="C397" s="31">
        <f ca="1">FLOOR(C395/2, 0.01) + IF(ISBLANK(Gear!$B27), 0, VLOOKUP(Gear!$B27, INDIRECT(Gear!$A27), MATCH("AffRecast", StatHeader, 0), 0))</f>
        <v>0.15</v>
      </c>
    </row>
    <row r="398" spans="1:9" x14ac:dyDescent="0.2">
      <c r="A398" s="13" t="s">
        <v>11</v>
      </c>
      <c r="B398" s="48">
        <f ca="1">MIN(819, MIN(256, HLOOKUP($A398, INDIRECT(B$26), MATCH("Total", Slots, 0)+1, 0) + IF(Setup!F34=1, VLOOKUP($A398, Ionis, 2, 0), 0)) + IF(Setup!J4=1, 150, 0) + IF(Setup!J15=1, (96 + 16 * Setup!J14) * IF(Setup!J13=1, 2, 1), 0) + IF(Setup!J16=1, (64 + 16 * Setup!J14) * IF(Setup!J13=1, 2, 1), 0)) / 1024</f>
        <v>0.3642578125</v>
      </c>
      <c r="C398" s="48">
        <f ca="1">MIN(819, MIN(256, HLOOKUP($A398, INDIRECT(C$26), MATCH("Total", Slots, 0)+1, 0) + IF(Setup!G34=1, VLOOKUP($A398, Ionis, 2, 0), 0)) + IF(Setup!K4=1, 150, 0) + IF(Setup!K15=1, (96 + 16 * Setup!K14) * IF(Setup!K13=1, 2, 1), 0) + IF(Setup!K16=1, (64 + 16 * Setup!K14) * IF(Setup!K13=1, 2, 1), 0)) / 1024</f>
        <v>0.3642578125</v>
      </c>
    </row>
    <row r="399" spans="1:9" x14ac:dyDescent="0.2">
      <c r="A399" s="13" t="s">
        <v>553</v>
      </c>
      <c r="B399" s="31">
        <f>IF(AND(OR($C$1="Sch", $D$1="Sch"), Setup!F3=1), 10%, IF(Setup!F4=1,-20%,0))</f>
        <v>0.1</v>
      </c>
      <c r="C399" s="31">
        <f>IF(AND(OR($C$1="Sch", $D$1="Sch"), Setup!G3=1), 10%, IF(Setup!G4=1,-20%,0))</f>
        <v>0.1</v>
      </c>
    </row>
    <row r="400" spans="1:9" x14ac:dyDescent="0.2">
      <c r="A400" s="70" t="s">
        <v>660</v>
      </c>
      <c r="B400" s="31">
        <f>IF(AND(OR($C$1="Sch", $D$1="Sch"), Setup!F4=1), 10%, IF(Setup!F3=1,-20%,0))</f>
        <v>-0.2</v>
      </c>
      <c r="C400" s="31">
        <f>IF(AND(OR($C$1="Sch", $D$1="Sch"), Setup!G4=1), 10%, IF(Setup!G3=1,-20%,0))</f>
        <v>-0.2</v>
      </c>
    </row>
    <row r="403" spans="1:9" x14ac:dyDescent="0.2">
      <c r="A403" t="s">
        <v>544</v>
      </c>
    </row>
    <row r="405" spans="1:9" x14ac:dyDescent="0.2">
      <c r="A405" s="8" t="s">
        <v>305</v>
      </c>
      <c r="B405" s="8" t="s">
        <v>278</v>
      </c>
      <c r="C405" s="8" t="s">
        <v>290</v>
      </c>
      <c r="D405" s="14" t="s">
        <v>291</v>
      </c>
      <c r="E405" s="14" t="s">
        <v>292</v>
      </c>
      <c r="F405" s="14" t="s">
        <v>293</v>
      </c>
      <c r="G405" s="14" t="s">
        <v>294</v>
      </c>
      <c r="H405" s="77" t="s">
        <v>644</v>
      </c>
      <c r="I405" s="77" t="s">
        <v>645</v>
      </c>
    </row>
    <row r="406" spans="1:9" x14ac:dyDescent="0.2">
      <c r="A406" t="s">
        <v>279</v>
      </c>
      <c r="B406" s="2">
        <f t="shared" ref="B406:G419" ca="1" si="107">VLOOKUP($A406, INDIRECT($B$22&amp;B$405), MATCH("Cast Time", SpellHeader, 0), 0) * (1-$B$396) * (1-$B$399)</f>
        <v>0.13500000000000004</v>
      </c>
      <c r="C406" s="2">
        <f t="shared" ca="1" si="107"/>
        <v>0.13500000000000004</v>
      </c>
      <c r="D406" s="2">
        <f t="shared" ca="1" si="107"/>
        <v>0.13500000000000004</v>
      </c>
      <c r="E406" s="2">
        <f t="shared" ca="1" si="107"/>
        <v>0.13500000000000004</v>
      </c>
      <c r="F406" s="2">
        <f t="shared" ca="1" si="107"/>
        <v>0.13500000000000004</v>
      </c>
      <c r="G406" s="2">
        <f t="shared" ca="1" si="107"/>
        <v>0.13500000000000004</v>
      </c>
      <c r="H406" s="2">
        <f t="shared" ref="H406:H419" ca="1" si="108">VLOOKUP($A406, INDIRECT($B$22&amp;H$405), MATCH("Cast Time", SpellHeader, 0), 0) * (1-$B$396) * (1-$B$400)</f>
        <v>0.72000000000000008</v>
      </c>
      <c r="I406" s="2">
        <f t="shared" ref="I406:I419" ca="1" si="109">VLOOKUP($A406, INDIRECT($B$22&amp;I$405), MATCH("Cast Time", SpellHeader, 0), 0) * (1-$B$396) * (1-$B$399)</f>
        <v>0</v>
      </c>
    </row>
    <row r="407" spans="1:9" x14ac:dyDescent="0.2">
      <c r="A407" t="s">
        <v>280</v>
      </c>
      <c r="B407" s="2">
        <f t="shared" ca="1" si="107"/>
        <v>0.40500000000000008</v>
      </c>
      <c r="C407" s="2">
        <f t="shared" ca="1" si="107"/>
        <v>0.40500000000000008</v>
      </c>
      <c r="D407" s="2">
        <f t="shared" ca="1" si="107"/>
        <v>0.40500000000000008</v>
      </c>
      <c r="E407" s="2">
        <f t="shared" ca="1" si="107"/>
        <v>0.40500000000000008</v>
      </c>
      <c r="F407" s="2">
        <f t="shared" ca="1" si="107"/>
        <v>0.40500000000000008</v>
      </c>
      <c r="G407" s="2">
        <f t="shared" ca="1" si="107"/>
        <v>0.40500000000000008</v>
      </c>
      <c r="H407" s="2">
        <f t="shared" ca="1" si="108"/>
        <v>1.3500000000000003</v>
      </c>
      <c r="I407" s="2">
        <f t="shared" ca="1" si="109"/>
        <v>0</v>
      </c>
    </row>
    <row r="408" spans="1:9" x14ac:dyDescent="0.2">
      <c r="A408" t="s">
        <v>281</v>
      </c>
      <c r="B408" s="2">
        <f t="shared" ca="1" si="107"/>
        <v>0.81000000000000016</v>
      </c>
      <c r="C408" s="2">
        <f t="shared" ca="1" si="107"/>
        <v>0.81000000000000016</v>
      </c>
      <c r="D408" s="2">
        <f t="shared" ca="1" si="107"/>
        <v>0.81000000000000016</v>
      </c>
      <c r="E408" s="2">
        <f t="shared" ca="1" si="107"/>
        <v>0.81000000000000016</v>
      </c>
      <c r="F408" s="2">
        <f t="shared" ca="1" si="107"/>
        <v>0.81000000000000016</v>
      </c>
      <c r="G408" s="2">
        <f t="shared" ca="1" si="107"/>
        <v>0.81000000000000016</v>
      </c>
      <c r="H408" s="2">
        <f t="shared" ca="1" si="108"/>
        <v>1.9800000000000004</v>
      </c>
      <c r="I408" s="2">
        <f t="shared" ca="1" si="109"/>
        <v>0</v>
      </c>
    </row>
    <row r="409" spans="1:9" x14ac:dyDescent="0.2">
      <c r="A409" t="s">
        <v>282</v>
      </c>
      <c r="B409" s="2">
        <f t="shared" ca="1" si="107"/>
        <v>1.6200000000000003</v>
      </c>
      <c r="C409" s="2">
        <f t="shared" ca="1" si="107"/>
        <v>1.6200000000000003</v>
      </c>
      <c r="D409" s="2">
        <f t="shared" ca="1" si="107"/>
        <v>1.6200000000000003</v>
      </c>
      <c r="E409" s="2">
        <f t="shared" ca="1" si="107"/>
        <v>1.6200000000000003</v>
      </c>
      <c r="F409" s="2">
        <f t="shared" ca="1" si="107"/>
        <v>1.6200000000000003</v>
      </c>
      <c r="G409" s="2">
        <f t="shared" ca="1" si="107"/>
        <v>1.6200000000000003</v>
      </c>
      <c r="H409" s="2">
        <f t="shared" ca="1" si="108"/>
        <v>0</v>
      </c>
      <c r="I409" s="2">
        <f t="shared" ca="1" si="109"/>
        <v>0</v>
      </c>
    </row>
    <row r="410" spans="1:9" x14ac:dyDescent="0.2">
      <c r="A410" t="s">
        <v>283</v>
      </c>
      <c r="B410" s="2">
        <f t="shared" ca="1" si="107"/>
        <v>2.7000000000000006</v>
      </c>
      <c r="C410" s="2">
        <f t="shared" ca="1" si="107"/>
        <v>2.7000000000000006</v>
      </c>
      <c r="D410" s="2">
        <f t="shared" ca="1" si="107"/>
        <v>2.7000000000000006</v>
      </c>
      <c r="E410" s="2">
        <f t="shared" ca="1" si="107"/>
        <v>2.7000000000000006</v>
      </c>
      <c r="F410" s="2">
        <f t="shared" ca="1" si="107"/>
        <v>2.7000000000000006</v>
      </c>
      <c r="G410" s="2">
        <f t="shared" ca="1" si="107"/>
        <v>2.7000000000000006</v>
      </c>
      <c r="H410" s="2">
        <f t="shared" ca="1" si="108"/>
        <v>0</v>
      </c>
      <c r="I410" s="2">
        <f t="shared" ca="1" si="109"/>
        <v>0</v>
      </c>
    </row>
    <row r="411" spans="1:9" x14ac:dyDescent="0.2">
      <c r="A411" t="s">
        <v>284</v>
      </c>
      <c r="B411" s="2">
        <f t="shared" ca="1" si="107"/>
        <v>0.54000000000000015</v>
      </c>
      <c r="C411" s="2">
        <f t="shared" ca="1" si="107"/>
        <v>0.54000000000000015</v>
      </c>
      <c r="D411" s="2">
        <f t="shared" ca="1" si="107"/>
        <v>0.54000000000000015</v>
      </c>
      <c r="E411" s="2">
        <f t="shared" ca="1" si="107"/>
        <v>0.54000000000000015</v>
      </c>
      <c r="F411" s="2">
        <f t="shared" ca="1" si="107"/>
        <v>0.54000000000000015</v>
      </c>
      <c r="G411" s="2">
        <f t="shared" ca="1" si="107"/>
        <v>0.54000000000000015</v>
      </c>
      <c r="H411" s="2">
        <f t="shared" ca="1" si="108"/>
        <v>0.99000000000000021</v>
      </c>
      <c r="I411" s="2">
        <f t="shared" ca="1" si="109"/>
        <v>0</v>
      </c>
    </row>
    <row r="412" spans="1:9" x14ac:dyDescent="0.2">
      <c r="A412" t="s">
        <v>285</v>
      </c>
      <c r="B412" s="2">
        <f t="shared" ca="1" si="107"/>
        <v>1.0800000000000003</v>
      </c>
      <c r="C412" s="2">
        <f t="shared" ca="1" si="107"/>
        <v>1.0800000000000003</v>
      </c>
      <c r="D412" s="2">
        <f t="shared" ca="1" si="107"/>
        <v>1.0800000000000003</v>
      </c>
      <c r="E412" s="2">
        <f t="shared" ca="1" si="107"/>
        <v>1.0800000000000003</v>
      </c>
      <c r="F412" s="2">
        <f t="shared" ca="1" si="107"/>
        <v>1.0800000000000003</v>
      </c>
      <c r="G412" s="2">
        <f t="shared" ca="1" si="107"/>
        <v>1.0800000000000003</v>
      </c>
      <c r="H412" s="2">
        <f t="shared" ca="1" si="108"/>
        <v>1.62</v>
      </c>
      <c r="I412" s="2">
        <f t="shared" ca="1" si="109"/>
        <v>0</v>
      </c>
    </row>
    <row r="413" spans="1:9" x14ac:dyDescent="0.2">
      <c r="A413" t="s">
        <v>286</v>
      </c>
      <c r="B413" s="2">
        <f t="shared" ca="1" si="107"/>
        <v>1.8900000000000006</v>
      </c>
      <c r="C413" s="2">
        <f t="shared" ca="1" si="107"/>
        <v>1.8900000000000006</v>
      </c>
      <c r="D413" s="2">
        <f t="shared" ca="1" si="107"/>
        <v>1.8900000000000006</v>
      </c>
      <c r="E413" s="2">
        <f t="shared" ca="1" si="107"/>
        <v>1.8900000000000006</v>
      </c>
      <c r="F413" s="2">
        <f t="shared" ca="1" si="107"/>
        <v>1.8900000000000006</v>
      </c>
      <c r="G413" s="2">
        <f t="shared" ca="1" si="107"/>
        <v>1.8900000000000006</v>
      </c>
      <c r="H413" s="2">
        <f t="shared" ca="1" si="108"/>
        <v>0</v>
      </c>
      <c r="I413" s="2">
        <f t="shared" ca="1" si="109"/>
        <v>0</v>
      </c>
    </row>
    <row r="414" spans="1:9" x14ac:dyDescent="0.2">
      <c r="A414" t="s">
        <v>287</v>
      </c>
      <c r="B414" s="2">
        <f t="shared" ca="1" si="107"/>
        <v>1.8900000000000006</v>
      </c>
      <c r="C414" s="2">
        <f t="shared" ca="1" si="107"/>
        <v>1.8900000000000006</v>
      </c>
      <c r="D414" s="2">
        <f t="shared" ca="1" si="107"/>
        <v>1.8900000000000006</v>
      </c>
      <c r="E414" s="2">
        <f t="shared" ca="1" si="107"/>
        <v>1.8900000000000006</v>
      </c>
      <c r="F414" s="2">
        <f t="shared" ca="1" si="107"/>
        <v>1.8900000000000006</v>
      </c>
      <c r="G414" s="2">
        <f t="shared" ca="1" si="107"/>
        <v>1.8900000000000006</v>
      </c>
      <c r="H414" s="2">
        <f t="shared" ca="1" si="108"/>
        <v>0</v>
      </c>
      <c r="I414" s="2">
        <f t="shared" ca="1" si="109"/>
        <v>2.1600000000000006</v>
      </c>
    </row>
    <row r="415" spans="1:9" x14ac:dyDescent="0.2">
      <c r="A415" t="s">
        <v>617</v>
      </c>
      <c r="B415" s="2">
        <f t="shared" ca="1" si="107"/>
        <v>1.0125000000000002</v>
      </c>
      <c r="C415" s="2">
        <f t="shared" ca="1" si="107"/>
        <v>1.0125000000000002</v>
      </c>
      <c r="D415" s="2">
        <f t="shared" ca="1" si="107"/>
        <v>1.0125000000000002</v>
      </c>
      <c r="E415" s="2">
        <f t="shared" ca="1" si="107"/>
        <v>1.0125000000000002</v>
      </c>
      <c r="F415" s="2">
        <f t="shared" ca="1" si="107"/>
        <v>1.0125000000000002</v>
      </c>
      <c r="G415" s="2">
        <f t="shared" ca="1" si="107"/>
        <v>1.0125000000000002</v>
      </c>
      <c r="H415" s="2">
        <f t="shared" ca="1" si="108"/>
        <v>0</v>
      </c>
      <c r="I415" s="2">
        <f t="shared" ca="1" si="109"/>
        <v>1.3500000000000003</v>
      </c>
    </row>
    <row r="416" spans="1:9" x14ac:dyDescent="0.2">
      <c r="A416" t="s">
        <v>289</v>
      </c>
      <c r="B416" s="2">
        <f t="shared" ca="1" si="107"/>
        <v>0.40500000000000008</v>
      </c>
      <c r="C416" s="2">
        <f t="shared" ca="1" si="107"/>
        <v>0.40500000000000008</v>
      </c>
      <c r="D416" s="2">
        <f t="shared" ca="1" si="107"/>
        <v>0.40500000000000008</v>
      </c>
      <c r="E416" s="2">
        <f t="shared" ca="1" si="107"/>
        <v>0.40500000000000008</v>
      </c>
      <c r="F416" s="2">
        <f t="shared" ca="1" si="107"/>
        <v>0.40500000000000008</v>
      </c>
      <c r="G416" s="2">
        <f t="shared" ca="1" si="107"/>
        <v>0.40500000000000008</v>
      </c>
      <c r="H416" s="2">
        <f t="shared" ca="1" si="108"/>
        <v>0</v>
      </c>
      <c r="I416" s="2">
        <f t="shared" ca="1" si="109"/>
        <v>0</v>
      </c>
    </row>
    <row r="417" spans="1:9" x14ac:dyDescent="0.2">
      <c r="A417" t="s">
        <v>298</v>
      </c>
      <c r="B417" s="2">
        <f t="shared" ca="1" si="107"/>
        <v>0.81000000000000016</v>
      </c>
      <c r="C417" s="2">
        <f t="shared" ca="1" si="107"/>
        <v>0.81000000000000016</v>
      </c>
      <c r="D417" s="2">
        <f t="shared" ca="1" si="107"/>
        <v>0.81000000000000016</v>
      </c>
      <c r="E417" s="2">
        <f t="shared" ca="1" si="107"/>
        <v>0.81000000000000016</v>
      </c>
      <c r="F417" s="2">
        <f t="shared" ca="1" si="107"/>
        <v>0.81000000000000016</v>
      </c>
      <c r="G417" s="2">
        <f t="shared" ca="1" si="107"/>
        <v>0.81000000000000016</v>
      </c>
      <c r="H417" s="2">
        <f t="shared" ca="1" si="108"/>
        <v>0</v>
      </c>
      <c r="I417" s="2">
        <f t="shared" ca="1" si="109"/>
        <v>0</v>
      </c>
    </row>
    <row r="418" spans="1:9" x14ac:dyDescent="0.2">
      <c r="A418" t="s">
        <v>288</v>
      </c>
      <c r="B418" s="2">
        <f t="shared" ca="1" si="107"/>
        <v>3.2400000000000007</v>
      </c>
      <c r="C418" s="2">
        <f t="shared" ca="1" si="107"/>
        <v>3.2400000000000007</v>
      </c>
      <c r="D418" s="2">
        <f t="shared" ca="1" si="107"/>
        <v>3.2400000000000007</v>
      </c>
      <c r="E418" s="2">
        <f t="shared" ca="1" si="107"/>
        <v>3.2400000000000007</v>
      </c>
      <c r="F418" s="2">
        <f t="shared" ca="1" si="107"/>
        <v>3.2400000000000007</v>
      </c>
      <c r="G418" s="2">
        <f t="shared" ca="1" si="107"/>
        <v>3.2400000000000007</v>
      </c>
      <c r="H418" s="2">
        <f t="shared" ca="1" si="108"/>
        <v>0.27</v>
      </c>
      <c r="I418" s="2">
        <f t="shared" ca="1" si="109"/>
        <v>3.2400000000000007</v>
      </c>
    </row>
    <row r="419" spans="1:9" x14ac:dyDescent="0.2">
      <c r="A419" t="s">
        <v>299</v>
      </c>
      <c r="B419" s="2">
        <f t="shared" ca="1" si="107"/>
        <v>2.7000000000000006</v>
      </c>
      <c r="C419" s="2">
        <f t="shared" ca="1" si="107"/>
        <v>2.7000000000000006</v>
      </c>
      <c r="D419" s="2">
        <f t="shared" ca="1" si="107"/>
        <v>2.7000000000000006</v>
      </c>
      <c r="E419" s="2">
        <f t="shared" ca="1" si="107"/>
        <v>2.7000000000000006</v>
      </c>
      <c r="F419" s="2">
        <f t="shared" ca="1" si="107"/>
        <v>2.7000000000000006</v>
      </c>
      <c r="G419" s="2">
        <f t="shared" ca="1" si="107"/>
        <v>2.7000000000000006</v>
      </c>
      <c r="H419" s="2">
        <f t="shared" ca="1" si="108"/>
        <v>0.45000000000000007</v>
      </c>
      <c r="I419" s="2">
        <f t="shared" ca="1" si="109"/>
        <v>2.7000000000000006</v>
      </c>
    </row>
    <row r="421" spans="1:9" x14ac:dyDescent="0.2">
      <c r="A421" t="s">
        <v>545</v>
      </c>
    </row>
    <row r="423" spans="1:9" x14ac:dyDescent="0.2">
      <c r="A423" s="8" t="s">
        <v>305</v>
      </c>
      <c r="B423" s="8" t="s">
        <v>278</v>
      </c>
      <c r="C423" s="8" t="s">
        <v>290</v>
      </c>
      <c r="D423" s="14" t="s">
        <v>291</v>
      </c>
      <c r="E423" s="14" t="s">
        <v>292</v>
      </c>
      <c r="F423" s="14" t="s">
        <v>293</v>
      </c>
      <c r="G423" s="14" t="s">
        <v>294</v>
      </c>
      <c r="H423" s="77" t="s">
        <v>644</v>
      </c>
      <c r="I423" s="77" t="s">
        <v>645</v>
      </c>
    </row>
    <row r="424" spans="1:9" x14ac:dyDescent="0.2">
      <c r="A424" t="s">
        <v>279</v>
      </c>
      <c r="B424" s="2">
        <f t="shared" ref="B424:G437" ca="1" si="110">VLOOKUP($A424, INDIRECT($C$22&amp;B$423), MATCH("Cast Time", SpellHeader, 0), 0) * (1-$C$396) * (1-$C$399)</f>
        <v>0.17999999999999997</v>
      </c>
      <c r="C424" s="2">
        <f t="shared" ca="1" si="110"/>
        <v>0.17999999999999997</v>
      </c>
      <c r="D424" s="2">
        <f t="shared" ca="1" si="110"/>
        <v>0.17999999999999997</v>
      </c>
      <c r="E424" s="2">
        <f t="shared" ca="1" si="110"/>
        <v>0.17999999999999997</v>
      </c>
      <c r="F424" s="2">
        <f t="shared" ca="1" si="110"/>
        <v>0.17999999999999997</v>
      </c>
      <c r="G424" s="2">
        <f t="shared" ca="1" si="110"/>
        <v>0.17999999999999997</v>
      </c>
      <c r="H424" s="2">
        <f t="shared" ref="H424:H437" ca="1" si="111">VLOOKUP($A424, INDIRECT($C$22&amp;H$423), MATCH("Cast Time", SpellHeader, 0), 0) * (1-$C$396) * (1-$C$400)</f>
        <v>0.95999999999999974</v>
      </c>
      <c r="I424" s="2">
        <f t="shared" ref="I424:I437" ca="1" si="112">VLOOKUP($A424, INDIRECT($C$22&amp;I$423), MATCH("Cast Time", SpellHeader, 0), 0) * (1-$C$396) * (1-$C$399)</f>
        <v>0</v>
      </c>
    </row>
    <row r="425" spans="1:9" x14ac:dyDescent="0.2">
      <c r="A425" t="s">
        <v>280</v>
      </c>
      <c r="B425" s="2">
        <f t="shared" ca="1" si="110"/>
        <v>0.53999999999999992</v>
      </c>
      <c r="C425" s="2">
        <f t="shared" ca="1" si="110"/>
        <v>0.53999999999999992</v>
      </c>
      <c r="D425" s="2">
        <f t="shared" ca="1" si="110"/>
        <v>0.53999999999999992</v>
      </c>
      <c r="E425" s="2">
        <f t="shared" ca="1" si="110"/>
        <v>0.53999999999999992</v>
      </c>
      <c r="F425" s="2">
        <f t="shared" ca="1" si="110"/>
        <v>0.53999999999999992</v>
      </c>
      <c r="G425" s="2">
        <f t="shared" ca="1" si="110"/>
        <v>0.53999999999999992</v>
      </c>
      <c r="H425" s="2">
        <f t="shared" ca="1" si="111"/>
        <v>1.7999999999999994</v>
      </c>
      <c r="I425" s="2">
        <f t="shared" ca="1" si="112"/>
        <v>0</v>
      </c>
    </row>
    <row r="426" spans="1:9" x14ac:dyDescent="0.2">
      <c r="A426" t="s">
        <v>281</v>
      </c>
      <c r="B426" s="2">
        <f t="shared" ca="1" si="110"/>
        <v>1.0799999999999998</v>
      </c>
      <c r="C426" s="2">
        <f t="shared" ca="1" si="110"/>
        <v>1.0799999999999998</v>
      </c>
      <c r="D426" s="2">
        <f t="shared" ca="1" si="110"/>
        <v>1.0799999999999998</v>
      </c>
      <c r="E426" s="2">
        <f t="shared" ca="1" si="110"/>
        <v>1.0799999999999998</v>
      </c>
      <c r="F426" s="2">
        <f t="shared" ca="1" si="110"/>
        <v>1.0799999999999998</v>
      </c>
      <c r="G426" s="2">
        <f t="shared" ca="1" si="110"/>
        <v>1.0799999999999998</v>
      </c>
      <c r="H426" s="2">
        <f t="shared" ca="1" si="111"/>
        <v>2.6399999999999992</v>
      </c>
      <c r="I426" s="2">
        <f t="shared" ca="1" si="112"/>
        <v>0</v>
      </c>
    </row>
    <row r="427" spans="1:9" x14ac:dyDescent="0.2">
      <c r="A427" t="s">
        <v>282</v>
      </c>
      <c r="B427" s="2">
        <f t="shared" ca="1" si="110"/>
        <v>2.1599999999999997</v>
      </c>
      <c r="C427" s="2">
        <f t="shared" ca="1" si="110"/>
        <v>2.1599999999999997</v>
      </c>
      <c r="D427" s="2">
        <f t="shared" ca="1" si="110"/>
        <v>2.1599999999999997</v>
      </c>
      <c r="E427" s="2">
        <f t="shared" ca="1" si="110"/>
        <v>2.1599999999999997</v>
      </c>
      <c r="F427" s="2">
        <f t="shared" ca="1" si="110"/>
        <v>2.1599999999999997</v>
      </c>
      <c r="G427" s="2">
        <f t="shared" ca="1" si="110"/>
        <v>2.1599999999999997</v>
      </c>
      <c r="H427" s="2">
        <f t="shared" ca="1" si="111"/>
        <v>0</v>
      </c>
      <c r="I427" s="2">
        <f t="shared" ca="1" si="112"/>
        <v>0</v>
      </c>
    </row>
    <row r="428" spans="1:9" x14ac:dyDescent="0.2">
      <c r="A428" t="s">
        <v>283</v>
      </c>
      <c r="B428" s="2">
        <f t="shared" ca="1" si="110"/>
        <v>3.5999999999999992</v>
      </c>
      <c r="C428" s="2">
        <f t="shared" ca="1" si="110"/>
        <v>3.5999999999999992</v>
      </c>
      <c r="D428" s="2">
        <f t="shared" ca="1" si="110"/>
        <v>3.5999999999999992</v>
      </c>
      <c r="E428" s="2">
        <f t="shared" ca="1" si="110"/>
        <v>3.5999999999999992</v>
      </c>
      <c r="F428" s="2">
        <f t="shared" ca="1" si="110"/>
        <v>3.5999999999999992</v>
      </c>
      <c r="G428" s="2">
        <f t="shared" ca="1" si="110"/>
        <v>3.5999999999999992</v>
      </c>
      <c r="H428" s="2">
        <f t="shared" ca="1" si="111"/>
        <v>0</v>
      </c>
      <c r="I428" s="2">
        <f t="shared" ca="1" si="112"/>
        <v>0</v>
      </c>
    </row>
    <row r="429" spans="1:9" x14ac:dyDescent="0.2">
      <c r="A429" t="s">
        <v>284</v>
      </c>
      <c r="B429" s="2">
        <f t="shared" ca="1" si="110"/>
        <v>0.71999999999999986</v>
      </c>
      <c r="C429" s="2">
        <f t="shared" ca="1" si="110"/>
        <v>0.71999999999999986</v>
      </c>
      <c r="D429" s="2">
        <f t="shared" ca="1" si="110"/>
        <v>0.71999999999999986</v>
      </c>
      <c r="E429" s="2">
        <f t="shared" ca="1" si="110"/>
        <v>0.71999999999999986</v>
      </c>
      <c r="F429" s="2">
        <f t="shared" ca="1" si="110"/>
        <v>0.71999999999999986</v>
      </c>
      <c r="G429" s="2">
        <f t="shared" ca="1" si="110"/>
        <v>0.71999999999999986</v>
      </c>
      <c r="H429" s="2">
        <f t="shared" ca="1" si="111"/>
        <v>1.3199999999999996</v>
      </c>
      <c r="I429" s="2">
        <f t="shared" ca="1" si="112"/>
        <v>0</v>
      </c>
    </row>
    <row r="430" spans="1:9" x14ac:dyDescent="0.2">
      <c r="A430" t="s">
        <v>285</v>
      </c>
      <c r="B430" s="2">
        <f t="shared" ca="1" si="110"/>
        <v>1.4399999999999997</v>
      </c>
      <c r="C430" s="2">
        <f t="shared" ca="1" si="110"/>
        <v>1.4399999999999997</v>
      </c>
      <c r="D430" s="2">
        <f t="shared" ca="1" si="110"/>
        <v>1.4399999999999997</v>
      </c>
      <c r="E430" s="2">
        <f t="shared" ca="1" si="110"/>
        <v>1.4399999999999997</v>
      </c>
      <c r="F430" s="2">
        <f t="shared" ca="1" si="110"/>
        <v>1.4399999999999997</v>
      </c>
      <c r="G430" s="2">
        <f t="shared" ca="1" si="110"/>
        <v>1.4399999999999997</v>
      </c>
      <c r="H430" s="2">
        <f t="shared" ca="1" si="111"/>
        <v>2.1599999999999993</v>
      </c>
      <c r="I430" s="2">
        <f t="shared" ca="1" si="112"/>
        <v>0</v>
      </c>
    </row>
    <row r="431" spans="1:9" x14ac:dyDescent="0.2">
      <c r="A431" t="s">
        <v>286</v>
      </c>
      <c r="B431" s="2">
        <f t="shared" ca="1" si="110"/>
        <v>2.5199999999999996</v>
      </c>
      <c r="C431" s="2">
        <f t="shared" ca="1" si="110"/>
        <v>2.5199999999999996</v>
      </c>
      <c r="D431" s="2">
        <f t="shared" ca="1" si="110"/>
        <v>2.5199999999999996</v>
      </c>
      <c r="E431" s="2">
        <f t="shared" ca="1" si="110"/>
        <v>2.5199999999999996</v>
      </c>
      <c r="F431" s="2">
        <f t="shared" ca="1" si="110"/>
        <v>2.5199999999999996</v>
      </c>
      <c r="G431" s="2">
        <f t="shared" ca="1" si="110"/>
        <v>2.5199999999999996</v>
      </c>
      <c r="H431" s="2">
        <f t="shared" ca="1" si="111"/>
        <v>0</v>
      </c>
      <c r="I431" s="2">
        <f t="shared" ca="1" si="112"/>
        <v>0</v>
      </c>
    </row>
    <row r="432" spans="1:9" x14ac:dyDescent="0.2">
      <c r="A432" t="s">
        <v>287</v>
      </c>
      <c r="B432" s="2">
        <f t="shared" ca="1" si="110"/>
        <v>2.5199999999999996</v>
      </c>
      <c r="C432" s="2">
        <f t="shared" ca="1" si="110"/>
        <v>2.5199999999999996</v>
      </c>
      <c r="D432" s="2">
        <f t="shared" ca="1" si="110"/>
        <v>2.5199999999999996</v>
      </c>
      <c r="E432" s="2">
        <f t="shared" ca="1" si="110"/>
        <v>2.5199999999999996</v>
      </c>
      <c r="F432" s="2">
        <f t="shared" ca="1" si="110"/>
        <v>2.5199999999999996</v>
      </c>
      <c r="G432" s="2">
        <f t="shared" ca="1" si="110"/>
        <v>2.5199999999999996</v>
      </c>
      <c r="H432" s="2">
        <f t="shared" ca="1" si="111"/>
        <v>0</v>
      </c>
      <c r="I432" s="2">
        <f t="shared" ca="1" si="112"/>
        <v>2.8799999999999994</v>
      </c>
    </row>
    <row r="433" spans="1:9" x14ac:dyDescent="0.2">
      <c r="A433" t="s">
        <v>617</v>
      </c>
      <c r="B433" s="2">
        <f t="shared" ca="1" si="110"/>
        <v>1.3499999999999996</v>
      </c>
      <c r="C433" s="2">
        <f t="shared" ca="1" si="110"/>
        <v>1.3499999999999996</v>
      </c>
      <c r="D433" s="2">
        <f t="shared" ca="1" si="110"/>
        <v>1.3499999999999996</v>
      </c>
      <c r="E433" s="2">
        <f t="shared" ca="1" si="110"/>
        <v>1.3499999999999996</v>
      </c>
      <c r="F433" s="2">
        <f t="shared" ca="1" si="110"/>
        <v>1.3499999999999996</v>
      </c>
      <c r="G433" s="2">
        <f t="shared" ca="1" si="110"/>
        <v>1.3499999999999996</v>
      </c>
      <c r="H433" s="2">
        <f t="shared" ca="1" si="111"/>
        <v>0</v>
      </c>
      <c r="I433" s="2">
        <f t="shared" ca="1" si="112"/>
        <v>1.7999999999999996</v>
      </c>
    </row>
    <row r="434" spans="1:9" x14ac:dyDescent="0.2">
      <c r="A434" t="s">
        <v>289</v>
      </c>
      <c r="B434" s="2">
        <f t="shared" ca="1" si="110"/>
        <v>0.53999999999999992</v>
      </c>
      <c r="C434" s="2">
        <f t="shared" ca="1" si="110"/>
        <v>0.53999999999999992</v>
      </c>
      <c r="D434" s="2">
        <f t="shared" ca="1" si="110"/>
        <v>0.53999999999999992</v>
      </c>
      <c r="E434" s="2">
        <f t="shared" ca="1" si="110"/>
        <v>0.53999999999999992</v>
      </c>
      <c r="F434" s="2">
        <f t="shared" ca="1" si="110"/>
        <v>0.53999999999999992</v>
      </c>
      <c r="G434" s="2">
        <f t="shared" ca="1" si="110"/>
        <v>0.53999999999999992</v>
      </c>
      <c r="H434" s="2">
        <f t="shared" ca="1" si="111"/>
        <v>0</v>
      </c>
      <c r="I434" s="2">
        <f t="shared" ca="1" si="112"/>
        <v>0</v>
      </c>
    </row>
    <row r="435" spans="1:9" x14ac:dyDescent="0.2">
      <c r="A435" t="s">
        <v>298</v>
      </c>
      <c r="B435" s="2">
        <f t="shared" ca="1" si="110"/>
        <v>1.0799999999999998</v>
      </c>
      <c r="C435" s="2">
        <f t="shared" ca="1" si="110"/>
        <v>1.0799999999999998</v>
      </c>
      <c r="D435" s="2">
        <f t="shared" ca="1" si="110"/>
        <v>1.0799999999999998</v>
      </c>
      <c r="E435" s="2">
        <f t="shared" ca="1" si="110"/>
        <v>1.0799999999999998</v>
      </c>
      <c r="F435" s="2">
        <f t="shared" ca="1" si="110"/>
        <v>1.0799999999999998</v>
      </c>
      <c r="G435" s="2">
        <f t="shared" ca="1" si="110"/>
        <v>1.0799999999999998</v>
      </c>
      <c r="H435" s="2">
        <f t="shared" ca="1" si="111"/>
        <v>0</v>
      </c>
      <c r="I435" s="2">
        <f t="shared" ca="1" si="112"/>
        <v>0</v>
      </c>
    </row>
    <row r="436" spans="1:9" x14ac:dyDescent="0.2">
      <c r="A436" t="s">
        <v>288</v>
      </c>
      <c r="B436" s="2">
        <f t="shared" ca="1" si="110"/>
        <v>4.3199999999999994</v>
      </c>
      <c r="C436" s="2">
        <f t="shared" ca="1" si="110"/>
        <v>4.3199999999999994</v>
      </c>
      <c r="D436" s="2">
        <f t="shared" ca="1" si="110"/>
        <v>4.3199999999999994</v>
      </c>
      <c r="E436" s="2">
        <f t="shared" ca="1" si="110"/>
        <v>4.3199999999999994</v>
      </c>
      <c r="F436" s="2">
        <f t="shared" ca="1" si="110"/>
        <v>4.3199999999999994</v>
      </c>
      <c r="G436" s="2">
        <f t="shared" ca="1" si="110"/>
        <v>4.3199999999999994</v>
      </c>
      <c r="H436" s="2">
        <f t="shared" ca="1" si="111"/>
        <v>0.35999999999999993</v>
      </c>
      <c r="I436" s="2">
        <f t="shared" ca="1" si="112"/>
        <v>4.3199999999999994</v>
      </c>
    </row>
    <row r="437" spans="1:9" x14ac:dyDescent="0.2">
      <c r="A437" t="s">
        <v>299</v>
      </c>
      <c r="B437" s="2">
        <f t="shared" ca="1" si="110"/>
        <v>3.5999999999999992</v>
      </c>
      <c r="C437" s="2">
        <f t="shared" ca="1" si="110"/>
        <v>3.5999999999999992</v>
      </c>
      <c r="D437" s="2">
        <f t="shared" ca="1" si="110"/>
        <v>3.5999999999999992</v>
      </c>
      <c r="E437" s="2">
        <f t="shared" ca="1" si="110"/>
        <v>3.5999999999999992</v>
      </c>
      <c r="F437" s="2">
        <f t="shared" ca="1" si="110"/>
        <v>3.5999999999999992</v>
      </c>
      <c r="G437" s="2">
        <f t="shared" ca="1" si="110"/>
        <v>3.5999999999999992</v>
      </c>
      <c r="H437" s="2">
        <f t="shared" ca="1" si="111"/>
        <v>0.59999999999999987</v>
      </c>
      <c r="I437" s="2">
        <f t="shared" ca="1" si="112"/>
        <v>3.5999999999999992</v>
      </c>
    </row>
    <row r="440" spans="1:9" x14ac:dyDescent="0.2">
      <c r="A440" t="s">
        <v>547</v>
      </c>
    </row>
    <row r="442" spans="1:9" x14ac:dyDescent="0.2">
      <c r="A442" s="8" t="s">
        <v>305</v>
      </c>
      <c r="B442" s="8" t="s">
        <v>278</v>
      </c>
      <c r="C442" s="8" t="s">
        <v>290</v>
      </c>
      <c r="D442" s="14" t="s">
        <v>291</v>
      </c>
      <c r="E442" s="14" t="s">
        <v>292</v>
      </c>
      <c r="F442" s="14" t="s">
        <v>293</v>
      </c>
      <c r="G442" s="14" t="s">
        <v>294</v>
      </c>
      <c r="H442" s="77" t="s">
        <v>644</v>
      </c>
      <c r="I442" s="77" t="s">
        <v>645</v>
      </c>
    </row>
    <row r="443" spans="1:9" x14ac:dyDescent="0.2">
      <c r="A443" t="s">
        <v>279</v>
      </c>
      <c r="B443" s="2">
        <f t="shared" ref="B443:I456" ca="1" si="113">MAX(TRUNC(TRUNC(TRUNC(TRUNC((VLOOKUP($A443, INDIRECT($B$22&amp;B$442), MATCH("Recast Time", SpellHeader, 0), 0) * 60) * (1-$B$397)) * (1-$B$398)) * (1-$B$399)) / 60), 1)</f>
        <v>1</v>
      </c>
      <c r="C443" s="2">
        <f t="shared" ca="1" si="113"/>
        <v>1</v>
      </c>
      <c r="D443" s="2">
        <f t="shared" ca="1" si="113"/>
        <v>1</v>
      </c>
      <c r="E443" s="2">
        <f t="shared" ca="1" si="113"/>
        <v>1</v>
      </c>
      <c r="F443" s="2">
        <f t="shared" ca="1" si="113"/>
        <v>1</v>
      </c>
      <c r="G443" s="2">
        <f t="shared" ca="1" si="113"/>
        <v>1</v>
      </c>
      <c r="H443" s="2">
        <f t="shared" ca="1" si="113"/>
        <v>6</v>
      </c>
      <c r="I443" s="2">
        <f t="shared" ca="1" si="113"/>
        <v>1</v>
      </c>
    </row>
    <row r="444" spans="1:9" x14ac:dyDescent="0.2">
      <c r="A444" t="s">
        <v>280</v>
      </c>
      <c r="B444" s="2">
        <f t="shared" ca="1" si="113"/>
        <v>2</v>
      </c>
      <c r="C444" s="2">
        <f t="shared" ca="1" si="113"/>
        <v>2</v>
      </c>
      <c r="D444" s="2">
        <f t="shared" ca="1" si="113"/>
        <v>2</v>
      </c>
      <c r="E444" s="2">
        <f t="shared" ca="1" si="113"/>
        <v>2</v>
      </c>
      <c r="F444" s="2">
        <f t="shared" ca="1" si="113"/>
        <v>2</v>
      </c>
      <c r="G444" s="2">
        <f t="shared" ca="1" si="113"/>
        <v>2</v>
      </c>
      <c r="H444" s="2">
        <f t="shared" ca="1" si="113"/>
        <v>13</v>
      </c>
      <c r="I444" s="2">
        <f t="shared" ca="1" si="113"/>
        <v>1</v>
      </c>
    </row>
    <row r="445" spans="1:9" x14ac:dyDescent="0.2">
      <c r="A445" t="s">
        <v>281</v>
      </c>
      <c r="B445" s="2">
        <f t="shared" ca="1" si="113"/>
        <v>6</v>
      </c>
      <c r="C445" s="2">
        <f t="shared" ca="1" si="113"/>
        <v>6</v>
      </c>
      <c r="D445" s="2">
        <f t="shared" ca="1" si="113"/>
        <v>6</v>
      </c>
      <c r="E445" s="2">
        <f t="shared" ca="1" si="113"/>
        <v>6</v>
      </c>
      <c r="F445" s="2">
        <f t="shared" ca="1" si="113"/>
        <v>6</v>
      </c>
      <c r="G445" s="2">
        <f t="shared" ca="1" si="113"/>
        <v>6</v>
      </c>
      <c r="H445" s="2">
        <f t="shared" ca="1" si="113"/>
        <v>20</v>
      </c>
      <c r="I445" s="2">
        <f t="shared" ca="1" si="113"/>
        <v>1</v>
      </c>
    </row>
    <row r="446" spans="1:9" x14ac:dyDescent="0.2">
      <c r="A446" t="s">
        <v>282</v>
      </c>
      <c r="B446" s="2">
        <f t="shared" ca="1" si="113"/>
        <v>13</v>
      </c>
      <c r="C446" s="2">
        <f t="shared" ca="1" si="113"/>
        <v>13</v>
      </c>
      <c r="D446" s="2">
        <f t="shared" ca="1" si="113"/>
        <v>13</v>
      </c>
      <c r="E446" s="2">
        <f t="shared" ca="1" si="113"/>
        <v>13</v>
      </c>
      <c r="F446" s="2">
        <f t="shared" ca="1" si="113"/>
        <v>13</v>
      </c>
      <c r="G446" s="2">
        <f t="shared" ca="1" si="113"/>
        <v>13</v>
      </c>
      <c r="H446" s="2">
        <f t="shared" ca="1" si="113"/>
        <v>1</v>
      </c>
      <c r="I446" s="2">
        <f t="shared" ca="1" si="113"/>
        <v>1</v>
      </c>
    </row>
    <row r="447" spans="1:9" x14ac:dyDescent="0.2">
      <c r="A447" t="s">
        <v>283</v>
      </c>
      <c r="B447" s="2">
        <f t="shared" ca="1" si="113"/>
        <v>20</v>
      </c>
      <c r="C447" s="2">
        <f t="shared" ca="1" si="113"/>
        <v>20</v>
      </c>
      <c r="D447" s="2">
        <f t="shared" ca="1" si="113"/>
        <v>20</v>
      </c>
      <c r="E447" s="2">
        <f t="shared" ca="1" si="113"/>
        <v>20</v>
      </c>
      <c r="F447" s="2">
        <f t="shared" ca="1" si="113"/>
        <v>20</v>
      </c>
      <c r="G447" s="2">
        <f t="shared" ca="1" si="113"/>
        <v>20</v>
      </c>
      <c r="H447" s="2">
        <f t="shared" ca="1" si="113"/>
        <v>1</v>
      </c>
      <c r="I447" s="2">
        <f t="shared" ca="1" si="113"/>
        <v>1</v>
      </c>
    </row>
    <row r="448" spans="1:9" x14ac:dyDescent="0.2">
      <c r="A448" t="s">
        <v>284</v>
      </c>
      <c r="B448" s="2">
        <f t="shared" ca="1" si="113"/>
        <v>2</v>
      </c>
      <c r="C448" s="2">
        <f t="shared" ca="1" si="113"/>
        <v>2</v>
      </c>
      <c r="D448" s="2">
        <f t="shared" ca="1" si="113"/>
        <v>2</v>
      </c>
      <c r="E448" s="2">
        <f t="shared" ca="1" si="113"/>
        <v>2</v>
      </c>
      <c r="F448" s="2">
        <f t="shared" ca="1" si="113"/>
        <v>2</v>
      </c>
      <c r="G448" s="2">
        <f t="shared" ca="1" si="113"/>
        <v>2</v>
      </c>
      <c r="H448" s="2">
        <f t="shared" ca="1" si="113"/>
        <v>6</v>
      </c>
      <c r="I448" s="2">
        <f t="shared" ca="1" si="113"/>
        <v>1</v>
      </c>
    </row>
    <row r="449" spans="1:9" x14ac:dyDescent="0.2">
      <c r="A449" t="s">
        <v>285</v>
      </c>
      <c r="B449" s="2">
        <f t="shared" ca="1" si="113"/>
        <v>4</v>
      </c>
      <c r="C449" s="2">
        <f t="shared" ca="1" si="113"/>
        <v>4</v>
      </c>
      <c r="D449" s="2">
        <f t="shared" ca="1" si="113"/>
        <v>4</v>
      </c>
      <c r="E449" s="2">
        <f t="shared" ca="1" si="113"/>
        <v>4</v>
      </c>
      <c r="F449" s="2">
        <f t="shared" ca="1" si="113"/>
        <v>4</v>
      </c>
      <c r="G449" s="2">
        <f t="shared" ca="1" si="113"/>
        <v>4</v>
      </c>
      <c r="H449" s="2">
        <f t="shared" ca="1" si="113"/>
        <v>13</v>
      </c>
      <c r="I449" s="2">
        <f t="shared" ca="1" si="113"/>
        <v>1</v>
      </c>
    </row>
    <row r="450" spans="1:9" x14ac:dyDescent="0.2">
      <c r="A450" t="s">
        <v>286</v>
      </c>
      <c r="B450" s="2">
        <f t="shared" ca="1" si="113"/>
        <v>11</v>
      </c>
      <c r="C450" s="2">
        <f t="shared" ca="1" si="113"/>
        <v>11</v>
      </c>
      <c r="D450" s="2">
        <f t="shared" ca="1" si="113"/>
        <v>11</v>
      </c>
      <c r="E450" s="2">
        <f t="shared" ca="1" si="113"/>
        <v>11</v>
      </c>
      <c r="F450" s="2">
        <f t="shared" ca="1" si="113"/>
        <v>11</v>
      </c>
      <c r="G450" s="2">
        <f t="shared" ca="1" si="113"/>
        <v>11</v>
      </c>
      <c r="H450" s="2">
        <f t="shared" ca="1" si="113"/>
        <v>1</v>
      </c>
      <c r="I450" s="2">
        <f t="shared" ca="1" si="113"/>
        <v>1</v>
      </c>
    </row>
    <row r="451" spans="1:9" x14ac:dyDescent="0.2">
      <c r="A451" t="s">
        <v>287</v>
      </c>
      <c r="B451" s="2">
        <f t="shared" ca="1" si="113"/>
        <v>20</v>
      </c>
      <c r="C451" s="2">
        <f t="shared" ca="1" si="113"/>
        <v>20</v>
      </c>
      <c r="D451" s="2">
        <f t="shared" ca="1" si="113"/>
        <v>20</v>
      </c>
      <c r="E451" s="2">
        <f t="shared" ca="1" si="113"/>
        <v>20</v>
      </c>
      <c r="F451" s="2">
        <f t="shared" ca="1" si="113"/>
        <v>20</v>
      </c>
      <c r="G451" s="2">
        <f t="shared" ca="1" si="113"/>
        <v>20</v>
      </c>
      <c r="H451" s="2">
        <f t="shared" ca="1" si="113"/>
        <v>1</v>
      </c>
      <c r="I451" s="2">
        <f t="shared" ca="1" si="113"/>
        <v>23</v>
      </c>
    </row>
    <row r="452" spans="1:9" x14ac:dyDescent="0.2">
      <c r="A452" t="s">
        <v>617</v>
      </c>
      <c r="B452" s="2">
        <f t="shared" ca="1" si="113"/>
        <v>20</v>
      </c>
      <c r="C452" s="2">
        <f t="shared" ca="1" si="113"/>
        <v>20</v>
      </c>
      <c r="D452" s="2">
        <f t="shared" ca="1" si="113"/>
        <v>20</v>
      </c>
      <c r="E452" s="2">
        <f t="shared" ca="1" si="113"/>
        <v>20</v>
      </c>
      <c r="F452" s="2">
        <f t="shared" ca="1" si="113"/>
        <v>20</v>
      </c>
      <c r="G452" s="2">
        <f t="shared" ca="1" si="113"/>
        <v>20</v>
      </c>
      <c r="H452" s="2">
        <f t="shared" ca="1" si="113"/>
        <v>1</v>
      </c>
      <c r="I452" s="2">
        <f t="shared" ca="1" si="113"/>
        <v>13</v>
      </c>
    </row>
    <row r="453" spans="1:9" x14ac:dyDescent="0.2">
      <c r="A453" t="s">
        <v>289</v>
      </c>
      <c r="B453" s="2">
        <f t="shared" ca="1" si="113"/>
        <v>2</v>
      </c>
      <c r="C453" s="2">
        <f t="shared" ca="1" si="113"/>
        <v>2</v>
      </c>
      <c r="D453" s="2">
        <f t="shared" ca="1" si="113"/>
        <v>2</v>
      </c>
      <c r="E453" s="2">
        <f t="shared" ca="1" si="113"/>
        <v>2</v>
      </c>
      <c r="F453" s="2">
        <f t="shared" ca="1" si="113"/>
        <v>2</v>
      </c>
      <c r="G453" s="2">
        <f t="shared" ca="1" si="113"/>
        <v>2</v>
      </c>
      <c r="H453" s="2">
        <f t="shared" ca="1" si="113"/>
        <v>1</v>
      </c>
      <c r="I453" s="2">
        <f t="shared" ca="1" si="113"/>
        <v>1</v>
      </c>
    </row>
    <row r="454" spans="1:9" x14ac:dyDescent="0.2">
      <c r="A454" t="s">
        <v>298</v>
      </c>
      <c r="B454" s="2">
        <f t="shared" ca="1" si="113"/>
        <v>6</v>
      </c>
      <c r="C454" s="2">
        <f t="shared" ca="1" si="113"/>
        <v>6</v>
      </c>
      <c r="D454" s="2">
        <f t="shared" ca="1" si="113"/>
        <v>6</v>
      </c>
      <c r="E454" s="2">
        <f t="shared" ca="1" si="113"/>
        <v>6</v>
      </c>
      <c r="F454" s="2">
        <f t="shared" ca="1" si="113"/>
        <v>6</v>
      </c>
      <c r="G454" s="2">
        <f t="shared" ca="1" si="113"/>
        <v>6</v>
      </c>
      <c r="H454" s="2">
        <f t="shared" ca="1" si="113"/>
        <v>1</v>
      </c>
      <c r="I454" s="2">
        <f t="shared" ca="1" si="113"/>
        <v>1</v>
      </c>
    </row>
    <row r="455" spans="1:9" x14ac:dyDescent="0.2">
      <c r="A455" t="s">
        <v>288</v>
      </c>
      <c r="B455" s="2">
        <f t="shared" ca="1" si="113"/>
        <v>27</v>
      </c>
      <c r="C455" s="2">
        <f t="shared" ca="1" si="113"/>
        <v>27</v>
      </c>
      <c r="D455" s="2">
        <f t="shared" ca="1" si="113"/>
        <v>27</v>
      </c>
      <c r="E455" s="2">
        <f t="shared" ca="1" si="113"/>
        <v>27</v>
      </c>
      <c r="F455" s="2">
        <f t="shared" ca="1" si="113"/>
        <v>27</v>
      </c>
      <c r="G455" s="2">
        <f t="shared" ca="1" si="113"/>
        <v>27</v>
      </c>
      <c r="H455" s="2">
        <f t="shared" ca="1" si="113"/>
        <v>27</v>
      </c>
      <c r="I455" s="2">
        <f t="shared" ca="1" si="113"/>
        <v>54</v>
      </c>
    </row>
    <row r="456" spans="1:9" x14ac:dyDescent="0.2">
      <c r="A456" t="s">
        <v>299</v>
      </c>
      <c r="B456" s="2">
        <f t="shared" ca="1" si="113"/>
        <v>27</v>
      </c>
      <c r="C456" s="2">
        <f t="shared" ca="1" si="113"/>
        <v>27</v>
      </c>
      <c r="D456" s="2">
        <f t="shared" ca="1" si="113"/>
        <v>27</v>
      </c>
      <c r="E456" s="2">
        <f t="shared" ca="1" si="113"/>
        <v>27</v>
      </c>
      <c r="F456" s="2">
        <f t="shared" ca="1" si="113"/>
        <v>27</v>
      </c>
      <c r="G456" s="2">
        <f t="shared" ca="1" si="113"/>
        <v>27</v>
      </c>
      <c r="H456" s="2">
        <f t="shared" ca="1" si="113"/>
        <v>27</v>
      </c>
      <c r="I456" s="2">
        <f t="shared" ca="1" si="113"/>
        <v>20</v>
      </c>
    </row>
    <row r="458" spans="1:9" x14ac:dyDescent="0.2">
      <c r="A458" t="s">
        <v>548</v>
      </c>
    </row>
    <row r="460" spans="1:9" x14ac:dyDescent="0.2">
      <c r="A460" s="8" t="s">
        <v>305</v>
      </c>
      <c r="B460" s="8" t="s">
        <v>278</v>
      </c>
      <c r="C460" s="8" t="s">
        <v>290</v>
      </c>
      <c r="D460" s="14" t="s">
        <v>291</v>
      </c>
      <c r="E460" s="14" t="s">
        <v>292</v>
      </c>
      <c r="F460" s="14" t="s">
        <v>293</v>
      </c>
      <c r="G460" s="14" t="s">
        <v>294</v>
      </c>
      <c r="H460" s="77" t="s">
        <v>644</v>
      </c>
      <c r="I460" s="77" t="s">
        <v>645</v>
      </c>
    </row>
    <row r="461" spans="1:9" x14ac:dyDescent="0.2">
      <c r="A461" t="s">
        <v>279</v>
      </c>
      <c r="B461" s="2">
        <f t="shared" ref="B461:I474" ca="1" si="114">MAX(TRUNC(TRUNC(TRUNC(TRUNC((VLOOKUP($A461, INDIRECT($C$22&amp;B$460), MATCH("Recast Time", SpellHeader, 0), 0) * 60) * (1-$C$397)) * (1-$C$398)) * (1-$C$399)) / 60), 1)</f>
        <v>1</v>
      </c>
      <c r="C461" s="2">
        <f t="shared" ca="1" si="114"/>
        <v>1</v>
      </c>
      <c r="D461" s="2">
        <f t="shared" ca="1" si="114"/>
        <v>1</v>
      </c>
      <c r="E461" s="2">
        <f t="shared" ca="1" si="114"/>
        <v>1</v>
      </c>
      <c r="F461" s="2">
        <f t="shared" ca="1" si="114"/>
        <v>1</v>
      </c>
      <c r="G461" s="2">
        <f t="shared" ca="1" si="114"/>
        <v>1</v>
      </c>
      <c r="H461" s="2">
        <f t="shared" ca="1" si="114"/>
        <v>7</v>
      </c>
      <c r="I461" s="2">
        <f t="shared" ca="1" si="114"/>
        <v>1</v>
      </c>
    </row>
    <row r="462" spans="1:9" x14ac:dyDescent="0.2">
      <c r="A462" t="s">
        <v>280</v>
      </c>
      <c r="B462" s="2">
        <f t="shared" ca="1" si="114"/>
        <v>2</v>
      </c>
      <c r="C462" s="2">
        <f t="shared" ca="1" si="114"/>
        <v>2</v>
      </c>
      <c r="D462" s="2">
        <f t="shared" ca="1" si="114"/>
        <v>2</v>
      </c>
      <c r="E462" s="2">
        <f t="shared" ca="1" si="114"/>
        <v>2</v>
      </c>
      <c r="F462" s="2">
        <f t="shared" ca="1" si="114"/>
        <v>2</v>
      </c>
      <c r="G462" s="2">
        <f t="shared" ca="1" si="114"/>
        <v>2</v>
      </c>
      <c r="H462" s="2">
        <f t="shared" ca="1" si="114"/>
        <v>14</v>
      </c>
      <c r="I462" s="2">
        <f t="shared" ca="1" si="114"/>
        <v>1</v>
      </c>
    </row>
    <row r="463" spans="1:9" x14ac:dyDescent="0.2">
      <c r="A463" t="s">
        <v>281</v>
      </c>
      <c r="B463" s="2">
        <f t="shared" ca="1" si="114"/>
        <v>7</v>
      </c>
      <c r="C463" s="2">
        <f t="shared" ca="1" si="114"/>
        <v>7</v>
      </c>
      <c r="D463" s="2">
        <f t="shared" ca="1" si="114"/>
        <v>7</v>
      </c>
      <c r="E463" s="2">
        <f t="shared" ca="1" si="114"/>
        <v>7</v>
      </c>
      <c r="F463" s="2">
        <f t="shared" ca="1" si="114"/>
        <v>7</v>
      </c>
      <c r="G463" s="2">
        <f t="shared" ca="1" si="114"/>
        <v>7</v>
      </c>
      <c r="H463" s="2">
        <f t="shared" ca="1" si="114"/>
        <v>21</v>
      </c>
      <c r="I463" s="2">
        <f t="shared" ca="1" si="114"/>
        <v>1</v>
      </c>
    </row>
    <row r="464" spans="1:9" x14ac:dyDescent="0.2">
      <c r="A464" t="s">
        <v>282</v>
      </c>
      <c r="B464" s="2">
        <f t="shared" ca="1" si="114"/>
        <v>14</v>
      </c>
      <c r="C464" s="2">
        <f t="shared" ca="1" si="114"/>
        <v>14</v>
      </c>
      <c r="D464" s="2">
        <f t="shared" ca="1" si="114"/>
        <v>14</v>
      </c>
      <c r="E464" s="2">
        <f t="shared" ca="1" si="114"/>
        <v>14</v>
      </c>
      <c r="F464" s="2">
        <f t="shared" ca="1" si="114"/>
        <v>14</v>
      </c>
      <c r="G464" s="2">
        <f t="shared" ca="1" si="114"/>
        <v>14</v>
      </c>
      <c r="H464" s="2">
        <f t="shared" ca="1" si="114"/>
        <v>1</v>
      </c>
      <c r="I464" s="2">
        <f t="shared" ca="1" si="114"/>
        <v>1</v>
      </c>
    </row>
    <row r="465" spans="1:9" x14ac:dyDescent="0.2">
      <c r="A465" t="s">
        <v>283</v>
      </c>
      <c r="B465" s="2">
        <f t="shared" ca="1" si="114"/>
        <v>21</v>
      </c>
      <c r="C465" s="2">
        <f t="shared" ca="1" si="114"/>
        <v>21</v>
      </c>
      <c r="D465" s="2">
        <f t="shared" ca="1" si="114"/>
        <v>21</v>
      </c>
      <c r="E465" s="2">
        <f t="shared" ca="1" si="114"/>
        <v>21</v>
      </c>
      <c r="F465" s="2">
        <f t="shared" ca="1" si="114"/>
        <v>21</v>
      </c>
      <c r="G465" s="2">
        <f t="shared" ca="1" si="114"/>
        <v>21</v>
      </c>
      <c r="H465" s="2">
        <f t="shared" ca="1" si="114"/>
        <v>1</v>
      </c>
      <c r="I465" s="2">
        <f t="shared" ca="1" si="114"/>
        <v>1</v>
      </c>
    </row>
    <row r="466" spans="1:9" x14ac:dyDescent="0.2">
      <c r="A466" t="s">
        <v>284</v>
      </c>
      <c r="B466" s="2">
        <f t="shared" ca="1" si="114"/>
        <v>2</v>
      </c>
      <c r="C466" s="2">
        <f t="shared" ca="1" si="114"/>
        <v>2</v>
      </c>
      <c r="D466" s="2">
        <f t="shared" ca="1" si="114"/>
        <v>2</v>
      </c>
      <c r="E466" s="2">
        <f t="shared" ca="1" si="114"/>
        <v>2</v>
      </c>
      <c r="F466" s="2">
        <f t="shared" ca="1" si="114"/>
        <v>2</v>
      </c>
      <c r="G466" s="2">
        <f t="shared" ca="1" si="114"/>
        <v>2</v>
      </c>
      <c r="H466" s="2">
        <f t="shared" ca="1" si="114"/>
        <v>7</v>
      </c>
      <c r="I466" s="2">
        <f t="shared" ca="1" si="114"/>
        <v>1</v>
      </c>
    </row>
    <row r="467" spans="1:9" x14ac:dyDescent="0.2">
      <c r="A467" t="s">
        <v>285</v>
      </c>
      <c r="B467" s="2">
        <f t="shared" ca="1" si="114"/>
        <v>4</v>
      </c>
      <c r="C467" s="2">
        <f t="shared" ca="1" si="114"/>
        <v>4</v>
      </c>
      <c r="D467" s="2">
        <f t="shared" ca="1" si="114"/>
        <v>4</v>
      </c>
      <c r="E467" s="2">
        <f t="shared" ca="1" si="114"/>
        <v>4</v>
      </c>
      <c r="F467" s="2">
        <f t="shared" ca="1" si="114"/>
        <v>4</v>
      </c>
      <c r="G467" s="2">
        <f t="shared" ca="1" si="114"/>
        <v>4</v>
      </c>
      <c r="H467" s="2">
        <f t="shared" ca="1" si="114"/>
        <v>14</v>
      </c>
      <c r="I467" s="2">
        <f t="shared" ca="1" si="114"/>
        <v>1</v>
      </c>
    </row>
    <row r="468" spans="1:9" x14ac:dyDescent="0.2">
      <c r="A468" t="s">
        <v>286</v>
      </c>
      <c r="B468" s="2">
        <f t="shared" ca="1" si="114"/>
        <v>12</v>
      </c>
      <c r="C468" s="2">
        <f t="shared" ca="1" si="114"/>
        <v>12</v>
      </c>
      <c r="D468" s="2">
        <f t="shared" ca="1" si="114"/>
        <v>12</v>
      </c>
      <c r="E468" s="2">
        <f t="shared" ca="1" si="114"/>
        <v>12</v>
      </c>
      <c r="F468" s="2">
        <f t="shared" ca="1" si="114"/>
        <v>12</v>
      </c>
      <c r="G468" s="2">
        <f t="shared" ca="1" si="114"/>
        <v>12</v>
      </c>
      <c r="H468" s="2">
        <f t="shared" ca="1" si="114"/>
        <v>1</v>
      </c>
      <c r="I468" s="2">
        <f t="shared" ca="1" si="114"/>
        <v>1</v>
      </c>
    </row>
    <row r="469" spans="1:9" x14ac:dyDescent="0.2">
      <c r="A469" t="s">
        <v>287</v>
      </c>
      <c r="B469" s="2">
        <f t="shared" ca="1" si="114"/>
        <v>21</v>
      </c>
      <c r="C469" s="2">
        <f t="shared" ca="1" si="114"/>
        <v>21</v>
      </c>
      <c r="D469" s="2">
        <f t="shared" ca="1" si="114"/>
        <v>21</v>
      </c>
      <c r="E469" s="2">
        <f t="shared" ca="1" si="114"/>
        <v>21</v>
      </c>
      <c r="F469" s="2">
        <f t="shared" ca="1" si="114"/>
        <v>21</v>
      </c>
      <c r="G469" s="2">
        <f t="shared" ca="1" si="114"/>
        <v>21</v>
      </c>
      <c r="H469" s="2">
        <f t="shared" ca="1" si="114"/>
        <v>1</v>
      </c>
      <c r="I469" s="2">
        <f t="shared" ca="1" si="114"/>
        <v>25</v>
      </c>
    </row>
    <row r="470" spans="1:9" x14ac:dyDescent="0.2">
      <c r="A470" t="s">
        <v>617</v>
      </c>
      <c r="B470" s="2">
        <f t="shared" ca="1" si="114"/>
        <v>21</v>
      </c>
      <c r="C470" s="2">
        <f t="shared" ca="1" si="114"/>
        <v>21</v>
      </c>
      <c r="D470" s="2">
        <f t="shared" ca="1" si="114"/>
        <v>21</v>
      </c>
      <c r="E470" s="2">
        <f t="shared" ca="1" si="114"/>
        <v>21</v>
      </c>
      <c r="F470" s="2">
        <f t="shared" ca="1" si="114"/>
        <v>21</v>
      </c>
      <c r="G470" s="2">
        <f t="shared" ca="1" si="114"/>
        <v>21</v>
      </c>
      <c r="H470" s="2">
        <f t="shared" ca="1" si="114"/>
        <v>1</v>
      </c>
      <c r="I470" s="2">
        <f t="shared" ca="1" si="114"/>
        <v>14</v>
      </c>
    </row>
    <row r="471" spans="1:9" x14ac:dyDescent="0.2">
      <c r="A471" t="s">
        <v>289</v>
      </c>
      <c r="B471" s="2">
        <f t="shared" ca="1" si="114"/>
        <v>2</v>
      </c>
      <c r="C471" s="2">
        <f t="shared" ca="1" si="114"/>
        <v>2</v>
      </c>
      <c r="D471" s="2">
        <f t="shared" ca="1" si="114"/>
        <v>2</v>
      </c>
      <c r="E471" s="2">
        <f t="shared" ca="1" si="114"/>
        <v>2</v>
      </c>
      <c r="F471" s="2">
        <f t="shared" ca="1" si="114"/>
        <v>2</v>
      </c>
      <c r="G471" s="2">
        <f t="shared" ca="1" si="114"/>
        <v>2</v>
      </c>
      <c r="H471" s="2">
        <f t="shared" ca="1" si="114"/>
        <v>1</v>
      </c>
      <c r="I471" s="2">
        <f t="shared" ca="1" si="114"/>
        <v>1</v>
      </c>
    </row>
    <row r="472" spans="1:9" x14ac:dyDescent="0.2">
      <c r="A472" t="s">
        <v>298</v>
      </c>
      <c r="B472" s="2">
        <f t="shared" ca="1" si="114"/>
        <v>7</v>
      </c>
      <c r="C472" s="2">
        <f t="shared" ca="1" si="114"/>
        <v>7</v>
      </c>
      <c r="D472" s="2">
        <f t="shared" ca="1" si="114"/>
        <v>7</v>
      </c>
      <c r="E472" s="2">
        <f t="shared" ca="1" si="114"/>
        <v>7</v>
      </c>
      <c r="F472" s="2">
        <f t="shared" ca="1" si="114"/>
        <v>7</v>
      </c>
      <c r="G472" s="2">
        <f t="shared" ca="1" si="114"/>
        <v>7</v>
      </c>
      <c r="H472" s="2">
        <f t="shared" ca="1" si="114"/>
        <v>1</v>
      </c>
      <c r="I472" s="2">
        <f t="shared" ca="1" si="114"/>
        <v>1</v>
      </c>
    </row>
    <row r="473" spans="1:9" x14ac:dyDescent="0.2">
      <c r="A473" t="s">
        <v>288</v>
      </c>
      <c r="B473" s="2">
        <f t="shared" ca="1" si="114"/>
        <v>29</v>
      </c>
      <c r="C473" s="2">
        <f t="shared" ca="1" si="114"/>
        <v>29</v>
      </c>
      <c r="D473" s="2">
        <f t="shared" ca="1" si="114"/>
        <v>29</v>
      </c>
      <c r="E473" s="2">
        <f t="shared" ca="1" si="114"/>
        <v>29</v>
      </c>
      <c r="F473" s="2">
        <f t="shared" ca="1" si="114"/>
        <v>29</v>
      </c>
      <c r="G473" s="2">
        <f t="shared" ca="1" si="114"/>
        <v>29</v>
      </c>
      <c r="H473" s="2">
        <f t="shared" ca="1" si="114"/>
        <v>29</v>
      </c>
      <c r="I473" s="2">
        <f t="shared" ca="1" si="114"/>
        <v>58</v>
      </c>
    </row>
    <row r="474" spans="1:9" x14ac:dyDescent="0.2">
      <c r="A474" t="s">
        <v>299</v>
      </c>
      <c r="B474" s="2">
        <f t="shared" ca="1" si="114"/>
        <v>29</v>
      </c>
      <c r="C474" s="2">
        <f t="shared" ca="1" si="114"/>
        <v>29</v>
      </c>
      <c r="D474" s="2">
        <f t="shared" ca="1" si="114"/>
        <v>29</v>
      </c>
      <c r="E474" s="2">
        <f t="shared" ca="1" si="114"/>
        <v>29</v>
      </c>
      <c r="F474" s="2">
        <f t="shared" ca="1" si="114"/>
        <v>29</v>
      </c>
      <c r="G474" s="2">
        <f t="shared" ca="1" si="114"/>
        <v>29</v>
      </c>
      <c r="H474" s="2">
        <f t="shared" ca="1" si="114"/>
        <v>29</v>
      </c>
      <c r="I474" s="2">
        <f t="shared" ca="1" si="114"/>
        <v>21</v>
      </c>
    </row>
    <row r="477" spans="1:9" x14ac:dyDescent="0.2">
      <c r="A477" t="s">
        <v>554</v>
      </c>
    </row>
    <row r="479" spans="1:9" x14ac:dyDescent="0.2">
      <c r="A479" s="8" t="s">
        <v>305</v>
      </c>
      <c r="B479" s="8" t="s">
        <v>278</v>
      </c>
      <c r="C479" s="8" t="s">
        <v>290</v>
      </c>
      <c r="D479" s="14" t="s">
        <v>291</v>
      </c>
      <c r="E479" s="14" t="s">
        <v>292</v>
      </c>
      <c r="F479" s="14" t="s">
        <v>293</v>
      </c>
      <c r="G479" s="14" t="s">
        <v>294</v>
      </c>
      <c r="H479" s="77" t="s">
        <v>644</v>
      </c>
      <c r="I479" s="77" t="s">
        <v>645</v>
      </c>
    </row>
    <row r="480" spans="1:9" x14ac:dyDescent="0.2">
      <c r="A480" t="s">
        <v>279</v>
      </c>
      <c r="B480" s="2">
        <f ca="1">MAX(B443, 3+B406) + Setup!$F$37</f>
        <v>3.6350000000000002</v>
      </c>
      <c r="C480" s="2">
        <f ca="1">MAX(C443, 3+C406) + Setup!$F$37</f>
        <v>3.6350000000000002</v>
      </c>
      <c r="D480" s="2">
        <f ca="1">MAX(D443, 3+D406) + Setup!$F$37</f>
        <v>3.6350000000000002</v>
      </c>
      <c r="E480" s="2">
        <f ca="1">MAX(E443, 3+E406) + Setup!$F$37</f>
        <v>3.6350000000000002</v>
      </c>
      <c r="F480" s="2">
        <f ca="1">MAX(F443, 3+F406) + Setup!$F$37</f>
        <v>3.6350000000000002</v>
      </c>
      <c r="G480" s="2">
        <f ca="1">MAX(G443, 3+G406) + Setup!$F$37</f>
        <v>3.6350000000000002</v>
      </c>
      <c r="H480" s="2">
        <f ca="1">MAX(H443, 3+H406) + Setup!$F$37</f>
        <v>6.5</v>
      </c>
      <c r="I480" s="2">
        <f ca="1">MAX(I443, 3+I406) + Setup!$F$37</f>
        <v>3.5</v>
      </c>
    </row>
    <row r="481" spans="1:9" x14ac:dyDescent="0.2">
      <c r="A481" t="s">
        <v>280</v>
      </c>
      <c r="B481" s="2">
        <f ca="1">MAX(B444, 3+B407) + Setup!$F$37</f>
        <v>3.9050000000000002</v>
      </c>
      <c r="C481" s="2">
        <f ca="1">MAX(C444, 3+C407) + Setup!$F$37</f>
        <v>3.9050000000000002</v>
      </c>
      <c r="D481" s="2">
        <f ca="1">MAX(D444, 3+D407) + Setup!$F$37</f>
        <v>3.9050000000000002</v>
      </c>
      <c r="E481" s="2">
        <f ca="1">MAX(E444, 3+E407) + Setup!$F$37</f>
        <v>3.9050000000000002</v>
      </c>
      <c r="F481" s="2">
        <f ca="1">MAX(F444, 3+F407) + Setup!$F$37</f>
        <v>3.9050000000000002</v>
      </c>
      <c r="G481" s="2">
        <f ca="1">MAX(G444, 3+G407) + Setup!$F$37</f>
        <v>3.9050000000000002</v>
      </c>
      <c r="H481" s="2">
        <f ca="1">MAX(H444, 3+H407) + Setup!$F$37</f>
        <v>13.5</v>
      </c>
      <c r="I481" s="2">
        <f ca="1">MAX(I444, 3+I407) + Setup!$F$37</f>
        <v>3.5</v>
      </c>
    </row>
    <row r="482" spans="1:9" x14ac:dyDescent="0.2">
      <c r="A482" t="s">
        <v>281</v>
      </c>
      <c r="B482" s="2">
        <f ca="1">MAX(B445, 3+B408) + Setup!$F$37</f>
        <v>6.5</v>
      </c>
      <c r="C482" s="2">
        <f ca="1">MAX(C445, 3+C408) + Setup!$F$37</f>
        <v>6.5</v>
      </c>
      <c r="D482" s="2">
        <f ca="1">MAX(D445, 3+D408) + Setup!$F$37</f>
        <v>6.5</v>
      </c>
      <c r="E482" s="2">
        <f ca="1">MAX(E445, 3+E408) + Setup!$F$37</f>
        <v>6.5</v>
      </c>
      <c r="F482" s="2">
        <f ca="1">MAX(F445, 3+F408) + Setup!$F$37</f>
        <v>6.5</v>
      </c>
      <c r="G482" s="2">
        <f ca="1">MAX(G445, 3+G408) + Setup!$F$37</f>
        <v>6.5</v>
      </c>
      <c r="H482" s="2">
        <f ca="1">MAX(H445, 3+H408) + Setup!$F$37</f>
        <v>20.5</v>
      </c>
      <c r="I482" s="2">
        <f ca="1">MAX(I445, 3+I408) + Setup!$F$37</f>
        <v>3.5</v>
      </c>
    </row>
    <row r="483" spans="1:9" x14ac:dyDescent="0.2">
      <c r="A483" t="s">
        <v>282</v>
      </c>
      <c r="B483" s="2">
        <f ca="1">MAX(B446, 3+B409) + Setup!$F$37</f>
        <v>13.5</v>
      </c>
      <c r="C483" s="2">
        <f ca="1">MAX(C446, 3+C409) + Setup!$F$37</f>
        <v>13.5</v>
      </c>
      <c r="D483" s="2">
        <f ca="1">MAX(D446, 3+D409) + Setup!$F$37</f>
        <v>13.5</v>
      </c>
      <c r="E483" s="2">
        <f ca="1">MAX(E446, 3+E409) + Setup!$F$37</f>
        <v>13.5</v>
      </c>
      <c r="F483" s="2">
        <f ca="1">MAX(F446, 3+F409) + Setup!$F$37</f>
        <v>13.5</v>
      </c>
      <c r="G483" s="2">
        <f ca="1">MAX(G446, 3+G409) + Setup!$F$37</f>
        <v>13.5</v>
      </c>
      <c r="H483" s="2">
        <f ca="1">MAX(H446, 3+H409) + Setup!$F$37</f>
        <v>3.5</v>
      </c>
      <c r="I483" s="2">
        <f ca="1">MAX(I446, 3+I409) + Setup!$F$37</f>
        <v>3.5</v>
      </c>
    </row>
    <row r="484" spans="1:9" x14ac:dyDescent="0.2">
      <c r="A484" t="s">
        <v>283</v>
      </c>
      <c r="B484" s="2">
        <f ca="1">MAX(B447, 3+B410) + Setup!$F$37</f>
        <v>20.5</v>
      </c>
      <c r="C484" s="2">
        <f ca="1">MAX(C447, 3+C410) + Setup!$F$37</f>
        <v>20.5</v>
      </c>
      <c r="D484" s="2">
        <f ca="1">MAX(D447, 3+D410) + Setup!$F$37</f>
        <v>20.5</v>
      </c>
      <c r="E484" s="2">
        <f ca="1">MAX(E447, 3+E410) + Setup!$F$37</f>
        <v>20.5</v>
      </c>
      <c r="F484" s="2">
        <f ca="1">MAX(F447, 3+F410) + Setup!$F$37</f>
        <v>20.5</v>
      </c>
      <c r="G484" s="2">
        <f ca="1">MAX(G447, 3+G410) + Setup!$F$37</f>
        <v>20.5</v>
      </c>
      <c r="H484" s="2">
        <f ca="1">MAX(H447, 3+H410) + Setup!$F$37</f>
        <v>3.5</v>
      </c>
      <c r="I484" s="2">
        <f ca="1">MAX(I447, 3+I410) + Setup!$F$37</f>
        <v>3.5</v>
      </c>
    </row>
    <row r="485" spans="1:9" x14ac:dyDescent="0.2">
      <c r="A485" t="s">
        <v>284</v>
      </c>
      <c r="B485" s="2">
        <f ca="1">MAX(B448, 3+B411) + Setup!$F$37</f>
        <v>4.04</v>
      </c>
      <c r="C485" s="2">
        <f ca="1">MAX(C448, 3+C411) + Setup!$F$37</f>
        <v>4.04</v>
      </c>
      <c r="D485" s="2">
        <f ca="1">MAX(D448, 3+D411) + Setup!$F$37</f>
        <v>4.04</v>
      </c>
      <c r="E485" s="2">
        <f ca="1">MAX(E448, 3+E411) + Setup!$F$37</f>
        <v>4.04</v>
      </c>
      <c r="F485" s="2">
        <f ca="1">MAX(F448, 3+F411) + Setup!$F$37</f>
        <v>4.04</v>
      </c>
      <c r="G485" s="2">
        <f ca="1">MAX(G448, 3+G411) + Setup!$F$37</f>
        <v>4.04</v>
      </c>
      <c r="H485" s="2">
        <f ca="1">MAX(H448, 3+H411) + Setup!$F$37</f>
        <v>6.5</v>
      </c>
      <c r="I485" s="2">
        <f ca="1">MAX(I448, 3+I411) + Setup!$F$37</f>
        <v>3.5</v>
      </c>
    </row>
    <row r="486" spans="1:9" x14ac:dyDescent="0.2">
      <c r="A486" t="s">
        <v>285</v>
      </c>
      <c r="B486" s="2">
        <f ca="1">MAX(B449, 3+B412) + Setup!$F$37</f>
        <v>4.58</v>
      </c>
      <c r="C486" s="2">
        <f ca="1">MAX(C449, 3+C412) + Setup!$F$37</f>
        <v>4.58</v>
      </c>
      <c r="D486" s="2">
        <f ca="1">MAX(D449, 3+D412) + Setup!$F$37</f>
        <v>4.58</v>
      </c>
      <c r="E486" s="2">
        <f ca="1">MAX(E449, 3+E412) + Setup!$F$37</f>
        <v>4.58</v>
      </c>
      <c r="F486" s="2">
        <f ca="1">MAX(F449, 3+F412) + Setup!$F$37</f>
        <v>4.58</v>
      </c>
      <c r="G486" s="2">
        <f ca="1">MAX(G449, 3+G412) + Setup!$F$37</f>
        <v>4.58</v>
      </c>
      <c r="H486" s="2">
        <f ca="1">MAX(H449, 3+H412) + Setup!$F$37</f>
        <v>13.5</v>
      </c>
      <c r="I486" s="2">
        <f ca="1">MAX(I449, 3+I412) + Setup!$F$37</f>
        <v>3.5</v>
      </c>
    </row>
    <row r="487" spans="1:9" x14ac:dyDescent="0.2">
      <c r="A487" t="s">
        <v>286</v>
      </c>
      <c r="B487" s="2">
        <f ca="1">MAX(B450, 3+B413) + Setup!$F$37</f>
        <v>11.5</v>
      </c>
      <c r="C487" s="2">
        <f ca="1">MAX(C450, 3+C413) + Setup!$F$37</f>
        <v>11.5</v>
      </c>
      <c r="D487" s="2">
        <f ca="1">MAX(D450, 3+D413) + Setup!$F$37</f>
        <v>11.5</v>
      </c>
      <c r="E487" s="2">
        <f ca="1">MAX(E450, 3+E413) + Setup!$F$37</f>
        <v>11.5</v>
      </c>
      <c r="F487" s="2">
        <f ca="1">MAX(F450, 3+F413) + Setup!$F$37</f>
        <v>11.5</v>
      </c>
      <c r="G487" s="2">
        <f ca="1">MAX(G450, 3+G413) + Setup!$F$37</f>
        <v>11.5</v>
      </c>
      <c r="H487" s="2">
        <f ca="1">MAX(H450, 3+H413) + Setup!$F$37</f>
        <v>3.5</v>
      </c>
      <c r="I487" s="2">
        <f ca="1">MAX(I450, 3+I413) + Setup!$F$37</f>
        <v>3.5</v>
      </c>
    </row>
    <row r="488" spans="1:9" x14ac:dyDescent="0.2">
      <c r="A488" t="s">
        <v>287</v>
      </c>
      <c r="B488" s="2">
        <f ca="1">MAX(B451, 3+B414) + Setup!$F$37</f>
        <v>20.5</v>
      </c>
      <c r="C488" s="2">
        <f ca="1">MAX(C451, 3+C414) + Setup!$F$37</f>
        <v>20.5</v>
      </c>
      <c r="D488" s="2">
        <f ca="1">MAX(D451, 3+D414) + Setup!$F$37</f>
        <v>20.5</v>
      </c>
      <c r="E488" s="2">
        <f ca="1">MAX(E451, 3+E414) + Setup!$F$37</f>
        <v>20.5</v>
      </c>
      <c r="F488" s="2">
        <f ca="1">MAX(F451, 3+F414) + Setup!$F$37</f>
        <v>20.5</v>
      </c>
      <c r="G488" s="2">
        <f ca="1">MAX(G451, 3+G414) + Setup!$F$37</f>
        <v>20.5</v>
      </c>
      <c r="H488" s="2">
        <f ca="1">MAX(H451, 3+H414) + Setup!$F$37</f>
        <v>3.5</v>
      </c>
      <c r="I488" s="2">
        <f ca="1">MAX(I451, 3+I414) + Setup!$F$37</f>
        <v>23.5</v>
      </c>
    </row>
    <row r="489" spans="1:9" x14ac:dyDescent="0.2">
      <c r="A489" t="s">
        <v>617</v>
      </c>
      <c r="B489" s="2">
        <f ca="1">MAX(B452, 3+B415) + Setup!$F$37</f>
        <v>20.5</v>
      </c>
      <c r="C489" s="2">
        <f ca="1">MAX(C452, 3+C415) + Setup!$F$37</f>
        <v>20.5</v>
      </c>
      <c r="D489" s="2">
        <f ca="1">MAX(D452, 3+D415) + Setup!$F$37</f>
        <v>20.5</v>
      </c>
      <c r="E489" s="2">
        <f ca="1">MAX(E452, 3+E415) + Setup!$F$37</f>
        <v>20.5</v>
      </c>
      <c r="F489" s="2">
        <f ca="1">MAX(F452, 3+F415) + Setup!$F$37</f>
        <v>20.5</v>
      </c>
      <c r="G489" s="2">
        <f ca="1">MAX(G452, 3+G415) + Setup!$F$37</f>
        <v>20.5</v>
      </c>
      <c r="H489" s="2">
        <f ca="1">MAX(H452, 3+H415) + Setup!$F$37</f>
        <v>3.5</v>
      </c>
      <c r="I489" s="2">
        <f ca="1">MAX(I452, 3+I415) + Setup!$F$37</f>
        <v>13.5</v>
      </c>
    </row>
    <row r="490" spans="1:9" x14ac:dyDescent="0.2">
      <c r="A490" t="s">
        <v>289</v>
      </c>
      <c r="B490" s="2">
        <f ca="1">MAX(B453, 3+B416) + Setup!$F$37</f>
        <v>3.9050000000000002</v>
      </c>
      <c r="C490" s="2">
        <f ca="1">MAX(C453, 3+C416) + Setup!$F$37</f>
        <v>3.9050000000000002</v>
      </c>
      <c r="D490" s="2">
        <f ca="1">MAX(D453, 3+D416) + Setup!$F$37</f>
        <v>3.9050000000000002</v>
      </c>
      <c r="E490" s="2">
        <f ca="1">MAX(E453, 3+E416) + Setup!$F$37</f>
        <v>3.9050000000000002</v>
      </c>
      <c r="F490" s="2">
        <f ca="1">MAX(F453, 3+F416) + Setup!$F$37</f>
        <v>3.9050000000000002</v>
      </c>
      <c r="G490" s="2">
        <f ca="1">MAX(G453, 3+G416) + Setup!$F$37</f>
        <v>3.9050000000000002</v>
      </c>
      <c r="H490" s="2">
        <f ca="1">MAX(H453, 3+H416) + Setup!$F$37</f>
        <v>3.5</v>
      </c>
      <c r="I490" s="2">
        <f ca="1">MAX(I453, 3+I416) + Setup!$F$37</f>
        <v>3.5</v>
      </c>
    </row>
    <row r="491" spans="1:9" x14ac:dyDescent="0.2">
      <c r="A491" t="s">
        <v>298</v>
      </c>
      <c r="B491" s="2">
        <f ca="1">MAX(B454, 3+B417) + Setup!$F$37</f>
        <v>6.5</v>
      </c>
      <c r="C491" s="2">
        <f ca="1">MAX(C454, 3+C417) + Setup!$F$37</f>
        <v>6.5</v>
      </c>
      <c r="D491" s="2">
        <f ca="1">MAX(D454, 3+D417) + Setup!$F$37</f>
        <v>6.5</v>
      </c>
      <c r="E491" s="2">
        <f ca="1">MAX(E454, 3+E417) + Setup!$F$37</f>
        <v>6.5</v>
      </c>
      <c r="F491" s="2">
        <f ca="1">MAX(F454, 3+F417) + Setup!$F$37</f>
        <v>6.5</v>
      </c>
      <c r="G491" s="2">
        <f ca="1">MAX(G454, 3+G417) + Setup!$F$37</f>
        <v>6.5</v>
      </c>
      <c r="H491" s="2">
        <f ca="1">MAX(H454, 3+H417) + Setup!$F$37</f>
        <v>3.5</v>
      </c>
      <c r="I491" s="2">
        <f ca="1">MAX(I454, 3+I417) + Setup!$F$37</f>
        <v>3.5</v>
      </c>
    </row>
    <row r="492" spans="1:9" x14ac:dyDescent="0.2">
      <c r="A492" t="s">
        <v>288</v>
      </c>
      <c r="B492" s="2">
        <f ca="1">MAX(B455, 3+B418) + Setup!$F$37</f>
        <v>27.5</v>
      </c>
      <c r="C492" s="2">
        <f ca="1">MAX(C455, 3+C418) + Setup!$F$37</f>
        <v>27.5</v>
      </c>
      <c r="D492" s="2">
        <f ca="1">MAX(D455, 3+D418) + Setup!$F$37</f>
        <v>27.5</v>
      </c>
      <c r="E492" s="2">
        <f ca="1">MAX(E455, 3+E418) + Setup!$F$37</f>
        <v>27.5</v>
      </c>
      <c r="F492" s="2">
        <f ca="1">MAX(F455, 3+F418) + Setup!$F$37</f>
        <v>27.5</v>
      </c>
      <c r="G492" s="2">
        <f ca="1">MAX(G455, 3+G418) + Setup!$F$37</f>
        <v>27.5</v>
      </c>
      <c r="H492" s="2">
        <f ca="1">MAX(H455, 3+H418) + Setup!$F$37</f>
        <v>27.5</v>
      </c>
      <c r="I492" s="2">
        <f ca="1">MAX(I455, 3+I418) + Setup!$F$37</f>
        <v>54.5</v>
      </c>
    </row>
    <row r="493" spans="1:9" x14ac:dyDescent="0.2">
      <c r="A493" t="s">
        <v>299</v>
      </c>
      <c r="B493" s="2">
        <f ca="1">MAX(B456, 3+B419) + Setup!$F$37</f>
        <v>27.5</v>
      </c>
      <c r="C493" s="2">
        <f ca="1">MAX(C456, 3+C419) + Setup!$F$37</f>
        <v>27.5</v>
      </c>
      <c r="D493" s="2">
        <f ca="1">MAX(D456, 3+D419) + Setup!$F$37</f>
        <v>27.5</v>
      </c>
      <c r="E493" s="2">
        <f ca="1">MAX(E456, 3+E419) + Setup!$F$37</f>
        <v>27.5</v>
      </c>
      <c r="F493" s="2">
        <f ca="1">MAX(F456, 3+F419) + Setup!$F$37</f>
        <v>27.5</v>
      </c>
      <c r="G493" s="2">
        <f ca="1">MAX(G456, 3+G419) + Setup!$F$37</f>
        <v>27.5</v>
      </c>
      <c r="H493" s="2">
        <f ca="1">MAX(H456, 3+H419) + Setup!$F$37</f>
        <v>27.5</v>
      </c>
      <c r="I493" s="2">
        <f ca="1">MAX(I456, 3+I419) + Setup!$F$37</f>
        <v>20.5</v>
      </c>
    </row>
    <row r="495" spans="1:9" x14ac:dyDescent="0.2">
      <c r="A495" t="s">
        <v>555</v>
      </c>
    </row>
    <row r="497" spans="1:9" x14ac:dyDescent="0.2">
      <c r="A497" s="8" t="s">
        <v>305</v>
      </c>
      <c r="B497" s="8" t="s">
        <v>278</v>
      </c>
      <c r="C497" s="8" t="s">
        <v>290</v>
      </c>
      <c r="D497" s="14" t="s">
        <v>291</v>
      </c>
      <c r="E497" s="14" t="s">
        <v>292</v>
      </c>
      <c r="F497" s="14" t="s">
        <v>293</v>
      </c>
      <c r="G497" s="14" t="s">
        <v>294</v>
      </c>
      <c r="H497" s="77" t="s">
        <v>644</v>
      </c>
      <c r="I497" s="77" t="s">
        <v>645</v>
      </c>
    </row>
    <row r="498" spans="1:9" x14ac:dyDescent="0.2">
      <c r="A498" t="s">
        <v>279</v>
      </c>
      <c r="B498" s="2">
        <f ca="1">MAX(B461, 3+B424) + Setup!$G$37</f>
        <v>3.68</v>
      </c>
      <c r="C498" s="2">
        <f ca="1">MAX(C461, 3+C424) + Setup!$G$37</f>
        <v>3.68</v>
      </c>
      <c r="D498" s="2">
        <f ca="1">MAX(D461, 3+D424) + Setup!$G$37</f>
        <v>3.68</v>
      </c>
      <c r="E498" s="2">
        <f ca="1">MAX(E461, 3+E424) + Setup!$G$37</f>
        <v>3.68</v>
      </c>
      <c r="F498" s="2">
        <f ca="1">MAX(F461, 3+F424) + Setup!$G$37</f>
        <v>3.68</v>
      </c>
      <c r="G498" s="2">
        <f ca="1">MAX(G461, 3+G424) + Setup!$G$37</f>
        <v>3.68</v>
      </c>
      <c r="H498" s="2">
        <f ca="1">MAX(H461, 3+H424) + Setup!$G$37</f>
        <v>7.5</v>
      </c>
      <c r="I498" s="2">
        <f ca="1">MAX(I461, 3+I424) + Setup!$G$37</f>
        <v>3.5</v>
      </c>
    </row>
    <row r="499" spans="1:9" x14ac:dyDescent="0.2">
      <c r="A499" t="s">
        <v>280</v>
      </c>
      <c r="B499" s="2">
        <f ca="1">MAX(B462, 3+B425) + Setup!$G$37</f>
        <v>4.04</v>
      </c>
      <c r="C499" s="2">
        <f ca="1">MAX(C462, 3+C425) + Setup!$G$37</f>
        <v>4.04</v>
      </c>
      <c r="D499" s="2">
        <f ca="1">MAX(D462, 3+D425) + Setup!$G$37</f>
        <v>4.04</v>
      </c>
      <c r="E499" s="2">
        <f ca="1">MAX(E462, 3+E425) + Setup!$G$37</f>
        <v>4.04</v>
      </c>
      <c r="F499" s="2">
        <f ca="1">MAX(F462, 3+F425) + Setup!$G$37</f>
        <v>4.04</v>
      </c>
      <c r="G499" s="2">
        <f ca="1">MAX(G462, 3+G425) + Setup!$G$37</f>
        <v>4.04</v>
      </c>
      <c r="H499" s="2">
        <f ca="1">MAX(H462, 3+H425) + Setup!$G$37</f>
        <v>14.5</v>
      </c>
      <c r="I499" s="2">
        <f ca="1">MAX(I462, 3+I425) + Setup!$G$37</f>
        <v>3.5</v>
      </c>
    </row>
    <row r="500" spans="1:9" x14ac:dyDescent="0.2">
      <c r="A500" t="s">
        <v>281</v>
      </c>
      <c r="B500" s="2">
        <f ca="1">MAX(B463, 3+B426) + Setup!$G$37</f>
        <v>7.5</v>
      </c>
      <c r="C500" s="2">
        <f ca="1">MAX(C463, 3+C426) + Setup!$G$37</f>
        <v>7.5</v>
      </c>
      <c r="D500" s="2">
        <f ca="1">MAX(D463, 3+D426) + Setup!$G$37</f>
        <v>7.5</v>
      </c>
      <c r="E500" s="2">
        <f ca="1">MAX(E463, 3+E426) + Setup!$G$37</f>
        <v>7.5</v>
      </c>
      <c r="F500" s="2">
        <f ca="1">MAX(F463, 3+F426) + Setup!$G$37</f>
        <v>7.5</v>
      </c>
      <c r="G500" s="2">
        <f ca="1">MAX(G463, 3+G426) + Setup!$G$37</f>
        <v>7.5</v>
      </c>
      <c r="H500" s="2">
        <f ca="1">MAX(H463, 3+H426) + Setup!$G$37</f>
        <v>21.5</v>
      </c>
      <c r="I500" s="2">
        <f ca="1">MAX(I463, 3+I426) + Setup!$G$37</f>
        <v>3.5</v>
      </c>
    </row>
    <row r="501" spans="1:9" x14ac:dyDescent="0.2">
      <c r="A501" t="s">
        <v>282</v>
      </c>
      <c r="B501" s="2">
        <f ca="1">MAX(B464, 3+B427) + Setup!$G$37</f>
        <v>14.5</v>
      </c>
      <c r="C501" s="2">
        <f ca="1">MAX(C464, 3+C427) + Setup!$G$37</f>
        <v>14.5</v>
      </c>
      <c r="D501" s="2">
        <f ca="1">MAX(D464, 3+D427) + Setup!$G$37</f>
        <v>14.5</v>
      </c>
      <c r="E501" s="2">
        <f ca="1">MAX(E464, 3+E427) + Setup!$G$37</f>
        <v>14.5</v>
      </c>
      <c r="F501" s="2">
        <f ca="1">MAX(F464, 3+F427) + Setup!$G$37</f>
        <v>14.5</v>
      </c>
      <c r="G501" s="2">
        <f ca="1">MAX(G464, 3+G427) + Setup!$G$37</f>
        <v>14.5</v>
      </c>
      <c r="H501" s="2">
        <f ca="1">MAX(H464, 3+H427) + Setup!$G$37</f>
        <v>3.5</v>
      </c>
      <c r="I501" s="2">
        <f ca="1">MAX(I464, 3+I427) + Setup!$G$37</f>
        <v>3.5</v>
      </c>
    </row>
    <row r="502" spans="1:9" x14ac:dyDescent="0.2">
      <c r="A502" t="s">
        <v>283</v>
      </c>
      <c r="B502" s="2">
        <f ca="1">MAX(B465, 3+B428) + Setup!$G$37</f>
        <v>21.5</v>
      </c>
      <c r="C502" s="2">
        <f ca="1">MAX(C465, 3+C428) + Setup!$G$37</f>
        <v>21.5</v>
      </c>
      <c r="D502" s="2">
        <f ca="1">MAX(D465, 3+D428) + Setup!$G$37</f>
        <v>21.5</v>
      </c>
      <c r="E502" s="2">
        <f ca="1">MAX(E465, 3+E428) + Setup!$G$37</f>
        <v>21.5</v>
      </c>
      <c r="F502" s="2">
        <f ca="1">MAX(F465, 3+F428) + Setup!$G$37</f>
        <v>21.5</v>
      </c>
      <c r="G502" s="2">
        <f ca="1">MAX(G465, 3+G428) + Setup!$G$37</f>
        <v>21.5</v>
      </c>
      <c r="H502" s="2">
        <f ca="1">MAX(H465, 3+H428) + Setup!$G$37</f>
        <v>3.5</v>
      </c>
      <c r="I502" s="2">
        <f ca="1">MAX(I465, 3+I428) + Setup!$G$37</f>
        <v>3.5</v>
      </c>
    </row>
    <row r="503" spans="1:9" x14ac:dyDescent="0.2">
      <c r="A503" t="s">
        <v>284</v>
      </c>
      <c r="B503" s="2">
        <f ca="1">MAX(B466, 3+B429) + Setup!$G$37</f>
        <v>4.22</v>
      </c>
      <c r="C503" s="2">
        <f ca="1">MAX(C466, 3+C429) + Setup!$G$37</f>
        <v>4.22</v>
      </c>
      <c r="D503" s="2">
        <f ca="1">MAX(D466, 3+D429) + Setup!$G$37</f>
        <v>4.22</v>
      </c>
      <c r="E503" s="2">
        <f ca="1">MAX(E466, 3+E429) + Setup!$G$37</f>
        <v>4.22</v>
      </c>
      <c r="F503" s="2">
        <f ca="1">MAX(F466, 3+F429) + Setup!$G$37</f>
        <v>4.22</v>
      </c>
      <c r="G503" s="2">
        <f ca="1">MAX(G466, 3+G429) + Setup!$G$37</f>
        <v>4.22</v>
      </c>
      <c r="H503" s="2">
        <f ca="1">MAX(H466, 3+H429) + Setup!$G$37</f>
        <v>7.5</v>
      </c>
      <c r="I503" s="2">
        <f ca="1">MAX(I466, 3+I429) + Setup!$G$37</f>
        <v>3.5</v>
      </c>
    </row>
    <row r="504" spans="1:9" x14ac:dyDescent="0.2">
      <c r="A504" t="s">
        <v>285</v>
      </c>
      <c r="B504" s="2">
        <f ca="1">MAX(B467, 3+B430) + Setup!$G$37</f>
        <v>4.9399999999999995</v>
      </c>
      <c r="C504" s="2">
        <f ca="1">MAX(C467, 3+C430) + Setup!$G$37</f>
        <v>4.9399999999999995</v>
      </c>
      <c r="D504" s="2">
        <f ca="1">MAX(D467, 3+D430) + Setup!$G$37</f>
        <v>4.9399999999999995</v>
      </c>
      <c r="E504" s="2">
        <f ca="1">MAX(E467, 3+E430) + Setup!$G$37</f>
        <v>4.9399999999999995</v>
      </c>
      <c r="F504" s="2">
        <f ca="1">MAX(F467, 3+F430) + Setup!$G$37</f>
        <v>4.9399999999999995</v>
      </c>
      <c r="G504" s="2">
        <f ca="1">MAX(G467, 3+G430) + Setup!$G$37</f>
        <v>4.9399999999999995</v>
      </c>
      <c r="H504" s="2">
        <f ca="1">MAX(H467, 3+H430) + Setup!$G$37</f>
        <v>14.5</v>
      </c>
      <c r="I504" s="2">
        <f ca="1">MAX(I467, 3+I430) + Setup!$G$37</f>
        <v>3.5</v>
      </c>
    </row>
    <row r="505" spans="1:9" x14ac:dyDescent="0.2">
      <c r="A505" t="s">
        <v>286</v>
      </c>
      <c r="B505" s="2">
        <f ca="1">MAX(B468, 3+B431) + Setup!$G$37</f>
        <v>12.5</v>
      </c>
      <c r="C505" s="2">
        <f ca="1">MAX(C468, 3+C431) + Setup!$G$37</f>
        <v>12.5</v>
      </c>
      <c r="D505" s="2">
        <f ca="1">MAX(D468, 3+D431) + Setup!$G$37</f>
        <v>12.5</v>
      </c>
      <c r="E505" s="2">
        <f ca="1">MAX(E468, 3+E431) + Setup!$G$37</f>
        <v>12.5</v>
      </c>
      <c r="F505" s="2">
        <f ca="1">MAX(F468, 3+F431) + Setup!$G$37</f>
        <v>12.5</v>
      </c>
      <c r="G505" s="2">
        <f ca="1">MAX(G468, 3+G431) + Setup!$G$37</f>
        <v>12.5</v>
      </c>
      <c r="H505" s="2">
        <f ca="1">MAX(H468, 3+H431) + Setup!$G$37</f>
        <v>3.5</v>
      </c>
      <c r="I505" s="2">
        <f ca="1">MAX(I468, 3+I431) + Setup!$G$37</f>
        <v>3.5</v>
      </c>
    </row>
    <row r="506" spans="1:9" x14ac:dyDescent="0.2">
      <c r="A506" t="s">
        <v>287</v>
      </c>
      <c r="B506" s="2">
        <f ca="1">MAX(B469, 3+B432) + Setup!$G$37</f>
        <v>21.5</v>
      </c>
      <c r="C506" s="2">
        <f ca="1">MAX(C469, 3+C432) + Setup!$G$37</f>
        <v>21.5</v>
      </c>
      <c r="D506" s="2">
        <f ca="1">MAX(D469, 3+D432) + Setup!$G$37</f>
        <v>21.5</v>
      </c>
      <c r="E506" s="2">
        <f ca="1">MAX(E469, 3+E432) + Setup!$G$37</f>
        <v>21.5</v>
      </c>
      <c r="F506" s="2">
        <f ca="1">MAX(F469, 3+F432) + Setup!$G$37</f>
        <v>21.5</v>
      </c>
      <c r="G506" s="2">
        <f ca="1">MAX(G469, 3+G432) + Setup!$G$37</f>
        <v>21.5</v>
      </c>
      <c r="H506" s="2">
        <f ca="1">MAX(H469, 3+H432) + Setup!$G$37</f>
        <v>3.5</v>
      </c>
      <c r="I506" s="2">
        <f ca="1">MAX(I469, 3+I432) + Setup!$G$37</f>
        <v>25.5</v>
      </c>
    </row>
    <row r="507" spans="1:9" x14ac:dyDescent="0.2">
      <c r="A507" t="s">
        <v>617</v>
      </c>
      <c r="B507" s="2">
        <f ca="1">MAX(B470, 3+B433) + Setup!$G$37</f>
        <v>21.5</v>
      </c>
      <c r="C507" s="2">
        <f ca="1">MAX(C470, 3+C433) + Setup!$G$37</f>
        <v>21.5</v>
      </c>
      <c r="D507" s="2">
        <f ca="1">MAX(D470, 3+D433) + Setup!$G$37</f>
        <v>21.5</v>
      </c>
      <c r="E507" s="2">
        <f ca="1">MAX(E470, 3+E433) + Setup!$G$37</f>
        <v>21.5</v>
      </c>
      <c r="F507" s="2">
        <f ca="1">MAX(F470, 3+F433) + Setup!$G$37</f>
        <v>21.5</v>
      </c>
      <c r="G507" s="2">
        <f ca="1">MAX(G470, 3+G433) + Setup!$G$37</f>
        <v>21.5</v>
      </c>
      <c r="H507" s="2">
        <f ca="1">MAX(H470, 3+H433) + Setup!$G$37</f>
        <v>3.5</v>
      </c>
      <c r="I507" s="2">
        <f ca="1">MAX(I470, 3+I433) + Setup!$G$37</f>
        <v>14.5</v>
      </c>
    </row>
    <row r="508" spans="1:9" x14ac:dyDescent="0.2">
      <c r="A508" t="s">
        <v>289</v>
      </c>
      <c r="B508" s="2">
        <f ca="1">MAX(B471, 3+B434) + Setup!$G$37</f>
        <v>4.04</v>
      </c>
      <c r="C508" s="2">
        <f ca="1">MAX(C471, 3+C434) + Setup!$G$37</f>
        <v>4.04</v>
      </c>
      <c r="D508" s="2">
        <f ca="1">MAX(D471, 3+D434) + Setup!$G$37</f>
        <v>4.04</v>
      </c>
      <c r="E508" s="2">
        <f ca="1">MAX(E471, 3+E434) + Setup!$G$37</f>
        <v>4.04</v>
      </c>
      <c r="F508" s="2">
        <f ca="1">MAX(F471, 3+F434) + Setup!$G$37</f>
        <v>4.04</v>
      </c>
      <c r="G508" s="2">
        <f ca="1">MAX(G471, 3+G434) + Setup!$G$37</f>
        <v>4.04</v>
      </c>
      <c r="H508" s="2">
        <f ca="1">MAX(H471, 3+H434) + Setup!$G$37</f>
        <v>3.5</v>
      </c>
      <c r="I508" s="2">
        <f ca="1">MAX(I471, 3+I434) + Setup!$G$37</f>
        <v>3.5</v>
      </c>
    </row>
    <row r="509" spans="1:9" x14ac:dyDescent="0.2">
      <c r="A509" t="s">
        <v>298</v>
      </c>
      <c r="B509" s="2">
        <f ca="1">MAX(B472, 3+B435) + Setup!$G$37</f>
        <v>7.5</v>
      </c>
      <c r="C509" s="2">
        <f ca="1">MAX(C472, 3+C435) + Setup!$G$37</f>
        <v>7.5</v>
      </c>
      <c r="D509" s="2">
        <f ca="1">MAX(D472, 3+D435) + Setup!$G$37</f>
        <v>7.5</v>
      </c>
      <c r="E509" s="2">
        <f ca="1">MAX(E472, 3+E435) + Setup!$G$37</f>
        <v>7.5</v>
      </c>
      <c r="F509" s="2">
        <f ca="1">MAX(F472, 3+F435) + Setup!$G$37</f>
        <v>7.5</v>
      </c>
      <c r="G509" s="2">
        <f ca="1">MAX(G472, 3+G435) + Setup!$G$37</f>
        <v>7.5</v>
      </c>
      <c r="H509" s="2">
        <f ca="1">MAX(H472, 3+H435) + Setup!$G$37</f>
        <v>3.5</v>
      </c>
      <c r="I509" s="2">
        <f ca="1">MAX(I472, 3+I435) + Setup!$G$37</f>
        <v>3.5</v>
      </c>
    </row>
    <row r="510" spans="1:9" x14ac:dyDescent="0.2">
      <c r="A510" t="s">
        <v>288</v>
      </c>
      <c r="B510" s="2">
        <f ca="1">MAX(B473, 3+B436) + Setup!$G$37</f>
        <v>29.5</v>
      </c>
      <c r="C510" s="2">
        <f ca="1">MAX(C473, 3+C436) + Setup!$G$37</f>
        <v>29.5</v>
      </c>
      <c r="D510" s="2">
        <f ca="1">MAX(D473, 3+D436) + Setup!$G$37</f>
        <v>29.5</v>
      </c>
      <c r="E510" s="2">
        <f ca="1">MAX(E473, 3+E436) + Setup!$G$37</f>
        <v>29.5</v>
      </c>
      <c r="F510" s="2">
        <f ca="1">MAX(F473, 3+F436) + Setup!$G$37</f>
        <v>29.5</v>
      </c>
      <c r="G510" s="2">
        <f ca="1">MAX(G473, 3+G436) + Setup!$G$37</f>
        <v>29.5</v>
      </c>
      <c r="H510" s="2">
        <f ca="1">MAX(H473, 3+H436) + Setup!$G$37</f>
        <v>29.5</v>
      </c>
      <c r="I510" s="2">
        <f ca="1">MAX(I473, 3+I436) + Setup!$G$37</f>
        <v>58.5</v>
      </c>
    </row>
    <row r="511" spans="1:9" x14ac:dyDescent="0.2">
      <c r="A511" t="s">
        <v>299</v>
      </c>
      <c r="B511" s="2">
        <f ca="1">MAX(B474, 3+B437) + Setup!$G$37</f>
        <v>29.5</v>
      </c>
      <c r="C511" s="2">
        <f ca="1">MAX(C474, 3+C437) + Setup!$G$37</f>
        <v>29.5</v>
      </c>
      <c r="D511" s="2">
        <f ca="1">MAX(D474, 3+D437) + Setup!$G$37</f>
        <v>29.5</v>
      </c>
      <c r="E511" s="2">
        <f ca="1">MAX(E474, 3+E437) + Setup!$G$37</f>
        <v>29.5</v>
      </c>
      <c r="F511" s="2">
        <f ca="1">MAX(F474, 3+F437) + Setup!$G$37</f>
        <v>29.5</v>
      </c>
      <c r="G511" s="2">
        <f ca="1">MAX(G474, 3+G437) + Setup!$G$37</f>
        <v>29.5</v>
      </c>
      <c r="H511" s="2">
        <f ca="1">MAX(H474, 3+H437) + Setup!$G$37</f>
        <v>29.5</v>
      </c>
      <c r="I511" s="2">
        <f ca="1">MAX(I474, 3+I437) + Setup!$G$37</f>
        <v>21.5</v>
      </c>
    </row>
    <row r="514" spans="1:9" x14ac:dyDescent="0.2">
      <c r="A514" t="s">
        <v>557</v>
      </c>
    </row>
    <row r="516" spans="1:9" x14ac:dyDescent="0.2">
      <c r="A516" s="8" t="s">
        <v>305</v>
      </c>
      <c r="B516" s="8" t="s">
        <v>278</v>
      </c>
      <c r="C516" s="8" t="s">
        <v>290</v>
      </c>
      <c r="D516" s="14" t="s">
        <v>291</v>
      </c>
      <c r="E516" s="14" t="s">
        <v>292</v>
      </c>
      <c r="F516" s="14" t="s">
        <v>293</v>
      </c>
      <c r="G516" s="14" t="s">
        <v>294</v>
      </c>
      <c r="H516" s="77" t="s">
        <v>644</v>
      </c>
      <c r="I516" s="77" t="s">
        <v>645</v>
      </c>
    </row>
    <row r="517" spans="1:9" x14ac:dyDescent="0.2">
      <c r="A517" t="s">
        <v>279</v>
      </c>
      <c r="B517" s="2">
        <f t="shared" ref="B517:F517" ca="1" si="115">IF(B480&gt;0, B239/B480, 0)</f>
        <v>444.08803301237964</v>
      </c>
      <c r="C517" s="2">
        <f t="shared" ca="1" si="115"/>
        <v>449.59009628610727</v>
      </c>
      <c r="D517" s="2">
        <f t="shared" ca="1" si="115"/>
        <v>454.8253094910591</v>
      </c>
      <c r="E517" s="2">
        <f t="shared" ca="1" si="115"/>
        <v>460.06052269601093</v>
      </c>
      <c r="F517" s="2">
        <f t="shared" ca="1" si="115"/>
        <v>472.71526822558457</v>
      </c>
      <c r="G517" s="2">
        <f ca="1">IF(G480&gt;0, G239/G480, 0)</f>
        <v>480.42640990371382</v>
      </c>
      <c r="H517" s="2">
        <f t="shared" ref="H517:I517" ca="1" si="116">IF(H480&gt;0, H239/H480, 0)</f>
        <v>186.60923076923075</v>
      </c>
      <c r="I517" s="2">
        <f t="shared" ca="1" si="116"/>
        <v>0</v>
      </c>
    </row>
    <row r="518" spans="1:9" x14ac:dyDescent="0.2">
      <c r="A518" t="s">
        <v>280</v>
      </c>
      <c r="B518" s="2">
        <f t="shared" ref="B518:I518" ca="1" si="117">IF(B481&gt;0, B240/B481, 0)</f>
        <v>593.03457106273993</v>
      </c>
      <c r="C518" s="2">
        <f t="shared" ca="1" si="117"/>
        <v>597.90012804097296</v>
      </c>
      <c r="D518" s="2">
        <f t="shared" ca="1" si="117"/>
        <v>603.7976952624839</v>
      </c>
      <c r="E518" s="2">
        <f t="shared" ca="1" si="117"/>
        <v>609.94366197183092</v>
      </c>
      <c r="F518" s="2">
        <f t="shared" ca="1" si="117"/>
        <v>625.31626120358499</v>
      </c>
      <c r="G518" s="2">
        <f t="shared" ca="1" si="117"/>
        <v>634.54289372599226</v>
      </c>
      <c r="H518" s="2">
        <f t="shared" ca="1" si="117"/>
        <v>112.97777777777777</v>
      </c>
      <c r="I518" s="2">
        <f t="shared" ca="1" si="117"/>
        <v>0</v>
      </c>
    </row>
    <row r="519" spans="1:9" x14ac:dyDescent="0.2">
      <c r="A519" t="s">
        <v>281</v>
      </c>
      <c r="B519" s="2">
        <f t="shared" ref="B519:I519" ca="1" si="118">IF(B482&gt;0, B241/B482, 0)</f>
        <v>470.05692307692306</v>
      </c>
      <c r="C519" s="2">
        <f t="shared" ca="1" si="118"/>
        <v>476.06153846153842</v>
      </c>
      <c r="D519" s="2">
        <f t="shared" ca="1" si="118"/>
        <v>482.52769230769229</v>
      </c>
      <c r="E519" s="2">
        <f t="shared" ca="1" si="118"/>
        <v>489.1476923076923</v>
      </c>
      <c r="F519" s="2">
        <f t="shared" ca="1" si="118"/>
        <v>503.30615384615379</v>
      </c>
      <c r="G519" s="2">
        <f t="shared" ca="1" si="118"/>
        <v>512.54615384615386</v>
      </c>
      <c r="H519" s="2">
        <f t="shared" ca="1" si="118"/>
        <v>99.784878048780485</v>
      </c>
      <c r="I519" s="2">
        <f t="shared" ca="1" si="118"/>
        <v>0</v>
      </c>
    </row>
    <row r="520" spans="1:9" x14ac:dyDescent="0.2">
      <c r="A520" t="s">
        <v>282</v>
      </c>
      <c r="B520" s="2">
        <f t="shared" ref="B520:I520" ca="1" si="119">IF(B483&gt;0, B242/B483, 0)</f>
        <v>309.79555555555555</v>
      </c>
      <c r="C520" s="2">
        <f t="shared" ca="1" si="119"/>
        <v>315.57777777777778</v>
      </c>
      <c r="D520" s="2">
        <f t="shared" ca="1" si="119"/>
        <v>321.58222222222219</v>
      </c>
      <c r="E520" s="2">
        <f t="shared" ca="1" si="119"/>
        <v>328.99629629629629</v>
      </c>
      <c r="F520" s="2">
        <f t="shared" ca="1" si="119"/>
        <v>340.26</v>
      </c>
      <c r="G520" s="2">
        <f t="shared" ca="1" si="119"/>
        <v>348.1162962962963</v>
      </c>
      <c r="H520" s="2">
        <f t="shared" ca="1" si="119"/>
        <v>0</v>
      </c>
      <c r="I520" s="2">
        <f t="shared" ca="1" si="119"/>
        <v>0</v>
      </c>
    </row>
    <row r="521" spans="1:9" x14ac:dyDescent="0.2">
      <c r="A521" t="s">
        <v>283</v>
      </c>
      <c r="B521" s="2">
        <f t="shared" ref="B521:I521" ca="1" si="120">IF(B484&gt;0, B243/B484, 0)</f>
        <v>268.45170731707316</v>
      </c>
      <c r="C521" s="2">
        <f t="shared" ca="1" si="120"/>
        <v>272.01560975609755</v>
      </c>
      <c r="D521" s="2">
        <f t="shared" ca="1" si="120"/>
        <v>275.82341463414633</v>
      </c>
      <c r="E521" s="2">
        <f t="shared" ca="1" si="120"/>
        <v>279.38731707317072</v>
      </c>
      <c r="F521" s="2">
        <f t="shared" ca="1" si="120"/>
        <v>287.78048780487802</v>
      </c>
      <c r="G521" s="2">
        <f t="shared" ca="1" si="120"/>
        <v>292.90390243902436</v>
      </c>
      <c r="H521" s="2">
        <f t="shared" ca="1" si="120"/>
        <v>0</v>
      </c>
      <c r="I521" s="2">
        <f t="shared" ca="1" si="120"/>
        <v>0</v>
      </c>
    </row>
    <row r="522" spans="1:9" x14ac:dyDescent="0.2">
      <c r="A522" t="s">
        <v>284</v>
      </c>
      <c r="B522" s="2">
        <f t="shared" ref="B522:I522" ca="1" si="121">IF(B485&gt;0, B244/B485, 0)</f>
        <v>534.82178217821775</v>
      </c>
      <c r="C522" s="2">
        <f t="shared" ca="1" si="121"/>
        <v>539.53217821782175</v>
      </c>
      <c r="D522" s="2">
        <f t="shared" ca="1" si="121"/>
        <v>545.46534653465346</v>
      </c>
      <c r="E522" s="2">
        <f t="shared" ca="1" si="121"/>
        <v>551.16584158415844</v>
      </c>
      <c r="F522" s="2">
        <f t="shared" ca="1" si="121"/>
        <v>584.85891089108907</v>
      </c>
      <c r="G522" s="2">
        <f t="shared" ca="1" si="121"/>
        <v>613.33910891089101</v>
      </c>
      <c r="H522" s="2">
        <f t="shared" ca="1" si="121"/>
        <v>213.85846153846154</v>
      </c>
      <c r="I522" s="2">
        <f t="shared" ca="1" si="121"/>
        <v>0</v>
      </c>
    </row>
    <row r="523" spans="1:9" x14ac:dyDescent="0.2">
      <c r="A523" t="s">
        <v>285</v>
      </c>
      <c r="B523" s="2">
        <f t="shared" ref="B523:I523" ca="1" si="122">IF(B486&gt;0, B245/B486, 0)</f>
        <v>709.28384279475983</v>
      </c>
      <c r="C523" s="2">
        <f t="shared" ca="1" si="122"/>
        <v>717.80567685589517</v>
      </c>
      <c r="D523" s="2">
        <f t="shared" ca="1" si="122"/>
        <v>727.20087336244535</v>
      </c>
      <c r="E523" s="2">
        <f t="shared" ca="1" si="122"/>
        <v>736.37772925764193</v>
      </c>
      <c r="F523" s="2">
        <f t="shared" ca="1" si="122"/>
        <v>757.34497816593887</v>
      </c>
      <c r="G523" s="2">
        <f t="shared" ca="1" si="122"/>
        <v>770.67030567685595</v>
      </c>
      <c r="H523" s="2">
        <f t="shared" ca="1" si="122"/>
        <v>140.10888888888888</v>
      </c>
      <c r="I523" s="2">
        <f t="shared" ca="1" si="122"/>
        <v>0</v>
      </c>
    </row>
    <row r="524" spans="1:9" x14ac:dyDescent="0.2">
      <c r="A524" t="s">
        <v>286</v>
      </c>
      <c r="B524" s="2">
        <f t="shared" ref="B524:I524" ca="1" si="123">IF(B487&gt;0, B246/B487, 0)</f>
        <v>397.35130434782599</v>
      </c>
      <c r="C524" s="2">
        <f t="shared" ca="1" si="123"/>
        <v>404.13913043478266</v>
      </c>
      <c r="D524" s="2">
        <f t="shared" ca="1" si="123"/>
        <v>411.18782608695653</v>
      </c>
      <c r="E524" s="2">
        <f t="shared" ca="1" si="123"/>
        <v>419.89130434782606</v>
      </c>
      <c r="F524" s="2">
        <f t="shared" ca="1" si="123"/>
        <v>433.63565217391306</v>
      </c>
      <c r="G524" s="2">
        <f t="shared" ca="1" si="123"/>
        <v>443.03217391304349</v>
      </c>
      <c r="H524" s="2">
        <f t="shared" ca="1" si="123"/>
        <v>0</v>
      </c>
      <c r="I524" s="2">
        <f t="shared" ca="1" si="123"/>
        <v>0</v>
      </c>
    </row>
    <row r="525" spans="1:9" x14ac:dyDescent="0.2">
      <c r="A525" t="s">
        <v>287</v>
      </c>
      <c r="B525" s="2">
        <f t="shared" ref="B525:I525" ca="1" si="124">IF(B488&gt;0, B247/B488, 0)</f>
        <v>287.34439024390247</v>
      </c>
      <c r="C525" s="2">
        <f t="shared" ca="1" si="124"/>
        <v>290.9082926829268</v>
      </c>
      <c r="D525" s="2">
        <f t="shared" ca="1" si="124"/>
        <v>294.71609756097558</v>
      </c>
      <c r="E525" s="2">
        <f t="shared" ca="1" si="124"/>
        <v>298.47512195121948</v>
      </c>
      <c r="F525" s="2">
        <f t="shared" ca="1" si="124"/>
        <v>306.96585365853656</v>
      </c>
      <c r="G525" s="2">
        <f t="shared" ca="1" si="124"/>
        <v>312.18682926829268</v>
      </c>
      <c r="H525" s="2">
        <f t="shared" ca="1" si="124"/>
        <v>0</v>
      </c>
      <c r="I525" s="2">
        <f t="shared" ca="1" si="124"/>
        <v>335.89829787234044</v>
      </c>
    </row>
    <row r="526" spans="1:9" x14ac:dyDescent="0.2">
      <c r="A526" t="s">
        <v>617</v>
      </c>
      <c r="B526" s="2">
        <f t="shared" ref="B526:I526" ca="1" si="125">IF(B489&gt;0, B248/B489, 0)</f>
        <v>77.816097560975606</v>
      </c>
      <c r="C526" s="2">
        <f t="shared" ca="1" si="125"/>
        <v>77.816097560975606</v>
      </c>
      <c r="D526" s="2">
        <f t="shared" ca="1" si="125"/>
        <v>77.816097560975606</v>
      </c>
      <c r="E526" s="2">
        <f t="shared" ca="1" si="125"/>
        <v>77.816097560975606</v>
      </c>
      <c r="F526" s="2">
        <f t="shared" ca="1" si="125"/>
        <v>79.035609756097557</v>
      </c>
      <c r="G526" s="2">
        <f t="shared" ca="1" si="125"/>
        <v>79.425853658536582</v>
      </c>
      <c r="H526" s="2">
        <f t="shared" ca="1" si="125"/>
        <v>0</v>
      </c>
      <c r="I526" s="2">
        <f t="shared" ca="1" si="125"/>
        <v>182.66074074074075</v>
      </c>
    </row>
    <row r="527" spans="1:9" x14ac:dyDescent="0.2">
      <c r="A527" t="s">
        <v>289</v>
      </c>
      <c r="B527" s="2">
        <f t="shared" ref="B527:I527" ca="1" si="126">IF(B490&gt;0, B249/B490, 0)</f>
        <v>642.49679897567216</v>
      </c>
      <c r="C527" s="2">
        <f t="shared" ca="1" si="126"/>
        <v>657.36491677336733</v>
      </c>
      <c r="D527" s="2">
        <f t="shared" ca="1" si="126"/>
        <v>673.24967989756715</v>
      </c>
      <c r="E527" s="2">
        <f t="shared" ca="1" si="126"/>
        <v>689.1421254801536</v>
      </c>
      <c r="F527" s="2">
        <f t="shared" ca="1" si="126"/>
        <v>716.03841229193324</v>
      </c>
      <c r="G527" s="2">
        <f t="shared" ca="1" si="126"/>
        <v>735.77208706786166</v>
      </c>
      <c r="H527" s="2">
        <f t="shared" ca="1" si="126"/>
        <v>0</v>
      </c>
      <c r="I527" s="2">
        <f t="shared" ca="1" si="126"/>
        <v>0</v>
      </c>
    </row>
    <row r="528" spans="1:9" x14ac:dyDescent="0.2">
      <c r="A528" t="s">
        <v>298</v>
      </c>
      <c r="B528" s="2">
        <f t="shared" ref="B528:I528" ca="1" si="127">IF(B491&gt;0, B250/B491, 0)</f>
        <v>559.35692307692307</v>
      </c>
      <c r="C528" s="2">
        <f t="shared" ca="1" si="127"/>
        <v>571.36615384615391</v>
      </c>
      <c r="D528" s="2">
        <f t="shared" ca="1" si="127"/>
        <v>583.83692307692297</v>
      </c>
      <c r="E528" s="2">
        <f t="shared" ca="1" si="127"/>
        <v>596.30769230769226</v>
      </c>
      <c r="F528" s="2">
        <f t="shared" ca="1" si="127"/>
        <v>618.3169230769231</v>
      </c>
      <c r="G528" s="2">
        <f t="shared" ca="1" si="127"/>
        <v>634.176923076923</v>
      </c>
      <c r="H528" s="2">
        <f t="shared" ca="1" si="127"/>
        <v>0</v>
      </c>
      <c r="I528" s="2">
        <f t="shared" ca="1" si="127"/>
        <v>0</v>
      </c>
    </row>
    <row r="529" spans="1:9" x14ac:dyDescent="0.2">
      <c r="A529" t="s">
        <v>288</v>
      </c>
      <c r="B529" s="2">
        <f t="shared" ref="B529:I529" ca="1" si="128">IF(B492&gt;0, B251/B492, 0)</f>
        <v>161.65272727272728</v>
      </c>
      <c r="C529" s="2">
        <f t="shared" ca="1" si="128"/>
        <v>161.65272727272728</v>
      </c>
      <c r="D529" s="2">
        <f t="shared" ca="1" si="128"/>
        <v>161.65272727272728</v>
      </c>
      <c r="E529" s="2">
        <f t="shared" ca="1" si="128"/>
        <v>161.65272727272728</v>
      </c>
      <c r="F529" s="2">
        <f t="shared" ca="1" si="128"/>
        <v>164.16181818181818</v>
      </c>
      <c r="G529" s="2">
        <f t="shared" ca="1" si="128"/>
        <v>164.99818181818182</v>
      </c>
      <c r="H529" s="2">
        <f t="shared" ca="1" si="128"/>
        <v>61.066181818181818</v>
      </c>
      <c r="I529" s="2">
        <f t="shared" ca="1" si="128"/>
        <v>81.145871559633036</v>
      </c>
    </row>
    <row r="530" spans="1:9" x14ac:dyDescent="0.2">
      <c r="A530" t="s">
        <v>299</v>
      </c>
      <c r="B530" s="2">
        <f t="shared" ref="B530:I530" ca="1" si="129">IF(B493&gt;0, B252/B493, 0)</f>
        <v>175.73636363636365</v>
      </c>
      <c r="C530" s="2">
        <f t="shared" ca="1" si="129"/>
        <v>175.73636363636365</v>
      </c>
      <c r="D530" s="2">
        <f t="shared" ca="1" si="129"/>
        <v>175.73636363636365</v>
      </c>
      <c r="E530" s="2">
        <f t="shared" ca="1" si="129"/>
        <v>175.73636363636365</v>
      </c>
      <c r="F530" s="2">
        <f t="shared" ca="1" si="129"/>
        <v>178.46363636363637</v>
      </c>
      <c r="G530" s="2">
        <f t="shared" ca="1" si="129"/>
        <v>179.37272727272727</v>
      </c>
      <c r="H530" s="2">
        <f t="shared" ca="1" si="129"/>
        <v>84.901818181818172</v>
      </c>
      <c r="I530" s="2">
        <f t="shared" ca="1" si="129"/>
        <v>304.28585365853661</v>
      </c>
    </row>
    <row r="532" spans="1:9" x14ac:dyDescent="0.2">
      <c r="A532" t="s">
        <v>558</v>
      </c>
    </row>
    <row r="534" spans="1:9" x14ac:dyDescent="0.2">
      <c r="A534" s="8" t="s">
        <v>305</v>
      </c>
      <c r="B534" s="8" t="s">
        <v>278</v>
      </c>
      <c r="C534" s="8" t="s">
        <v>290</v>
      </c>
      <c r="D534" s="14" t="s">
        <v>291</v>
      </c>
      <c r="E534" s="14" t="s">
        <v>292</v>
      </c>
      <c r="F534" s="14" t="s">
        <v>293</v>
      </c>
      <c r="G534" s="14" t="s">
        <v>294</v>
      </c>
      <c r="H534" s="77" t="s">
        <v>644</v>
      </c>
      <c r="I534" s="77" t="s">
        <v>645</v>
      </c>
    </row>
    <row r="535" spans="1:9" x14ac:dyDescent="0.2">
      <c r="A535" t="s">
        <v>279</v>
      </c>
      <c r="B535" s="2">
        <f t="shared" ref="B535:F535" ca="1" si="130">IF(B498&gt;0, B257/B498, 0)</f>
        <v>437.01902173913044</v>
      </c>
      <c r="C535" s="2">
        <f t="shared" ca="1" si="130"/>
        <v>442.45380434782606</v>
      </c>
      <c r="D535" s="2">
        <f t="shared" ca="1" si="130"/>
        <v>447.89673913043475</v>
      </c>
      <c r="E535" s="2">
        <f t="shared" ca="1" si="130"/>
        <v>453.33152173913044</v>
      </c>
      <c r="F535" s="2">
        <f t="shared" ca="1" si="130"/>
        <v>465.83152173913044</v>
      </c>
      <c r="G535" s="2">
        <f ca="1">IF(G498&gt;0, G257/G498, 0)</f>
        <v>473.44836956521738</v>
      </c>
      <c r="H535" s="2">
        <f t="shared" ref="H535:I535" ca="1" si="131">IF(H498&gt;0, H257/H498, 0)</f>
        <v>159.32400000000001</v>
      </c>
      <c r="I535" s="2">
        <f t="shared" ca="1" si="131"/>
        <v>0</v>
      </c>
    </row>
    <row r="536" spans="1:9" x14ac:dyDescent="0.2">
      <c r="A536" t="s">
        <v>280</v>
      </c>
      <c r="B536" s="2">
        <f t="shared" ref="B536:I536" ca="1" si="132">IF(B499&gt;0, B258/B499, 0)</f>
        <v>577.16336633663366</v>
      </c>
      <c r="C536" s="2">
        <f t="shared" ca="1" si="132"/>
        <v>582.12128712871288</v>
      </c>
      <c r="D536" s="2">
        <f t="shared" ca="1" si="132"/>
        <v>588.06188118811872</v>
      </c>
      <c r="E536" s="2">
        <f t="shared" ca="1" si="132"/>
        <v>593.76980198019794</v>
      </c>
      <c r="F536" s="2">
        <f t="shared" ca="1" si="132"/>
        <v>608.86881188118809</v>
      </c>
      <c r="G536" s="2">
        <f t="shared" ca="1" si="132"/>
        <v>617.78712871287121</v>
      </c>
      <c r="H536" s="2">
        <f t="shared" ca="1" si="132"/>
        <v>104.6303448275862</v>
      </c>
      <c r="I536" s="2">
        <f t="shared" ca="1" si="132"/>
        <v>0</v>
      </c>
    </row>
    <row r="537" spans="1:9" x14ac:dyDescent="0.2">
      <c r="A537" t="s">
        <v>281</v>
      </c>
      <c r="B537" s="2">
        <f t="shared" ref="B537:I537" ca="1" si="133">IF(B500&gt;0, B259/B500, 0)</f>
        <v>412.57466666666664</v>
      </c>
      <c r="C537" s="2">
        <f t="shared" ca="1" si="133"/>
        <v>417.91200000000003</v>
      </c>
      <c r="D537" s="2">
        <f t="shared" ca="1" si="133"/>
        <v>423.78266666666667</v>
      </c>
      <c r="E537" s="2">
        <f t="shared" ca="1" si="133"/>
        <v>429.524</v>
      </c>
      <c r="F537" s="2">
        <f t="shared" ca="1" si="133"/>
        <v>441.928</v>
      </c>
      <c r="G537" s="2">
        <f t="shared" ca="1" si="133"/>
        <v>450.19466666666659</v>
      </c>
      <c r="H537" s="2">
        <f t="shared" ca="1" si="133"/>
        <v>95.514418604651155</v>
      </c>
      <c r="I537" s="2">
        <f t="shared" ca="1" si="133"/>
        <v>0</v>
      </c>
    </row>
    <row r="538" spans="1:9" x14ac:dyDescent="0.2">
      <c r="A538" t="s">
        <v>282</v>
      </c>
      <c r="B538" s="2">
        <f t="shared" ref="B538:I538" ca="1" si="134">IF(B501&gt;0, B260/B501, 0)</f>
        <v>293.52965517241381</v>
      </c>
      <c r="C538" s="2">
        <f t="shared" ca="1" si="134"/>
        <v>299.05103448275861</v>
      </c>
      <c r="D538" s="2">
        <f t="shared" ca="1" si="134"/>
        <v>304.78137931034485</v>
      </c>
      <c r="E538" s="2">
        <f t="shared" ca="1" si="134"/>
        <v>311.95793103448273</v>
      </c>
      <c r="F538" s="2">
        <f t="shared" ca="1" si="134"/>
        <v>322.51586206896548</v>
      </c>
      <c r="G538" s="2">
        <f t="shared" ca="1" si="134"/>
        <v>330.03517241379313</v>
      </c>
      <c r="H538" s="2">
        <f t="shared" ca="1" si="134"/>
        <v>0</v>
      </c>
      <c r="I538" s="2">
        <f t="shared" ca="1" si="134"/>
        <v>0</v>
      </c>
    </row>
    <row r="539" spans="1:9" x14ac:dyDescent="0.2">
      <c r="A539" t="s">
        <v>283</v>
      </c>
      <c r="B539" s="2">
        <f t="shared" ref="B539:I539" ca="1" si="135">IF(B502&gt;0, B261/B502, 0)</f>
        <v>261.26651162790694</v>
      </c>
      <c r="C539" s="2">
        <f t="shared" ca="1" si="135"/>
        <v>264.80418604651163</v>
      </c>
      <c r="D539" s="2">
        <f t="shared" ca="1" si="135"/>
        <v>268.52790697674419</v>
      </c>
      <c r="E539" s="2">
        <f t="shared" ca="1" si="135"/>
        <v>272.06418604651157</v>
      </c>
      <c r="F539" s="2">
        <f t="shared" ca="1" si="135"/>
        <v>280.113488372093</v>
      </c>
      <c r="G539" s="2">
        <f t="shared" ca="1" si="135"/>
        <v>285.09302325581393</v>
      </c>
      <c r="H539" s="2">
        <f t="shared" ca="1" si="135"/>
        <v>0</v>
      </c>
      <c r="I539" s="2">
        <f t="shared" ca="1" si="135"/>
        <v>0</v>
      </c>
    </row>
    <row r="540" spans="1:9" x14ac:dyDescent="0.2">
      <c r="A540" t="s">
        <v>284</v>
      </c>
      <c r="B540" s="2">
        <f t="shared" ref="B540:I540" ca="1" si="136">IF(B503&gt;0, B262/B503, 0)</f>
        <v>514.60189573459718</v>
      </c>
      <c r="C540" s="2">
        <f t="shared" ca="1" si="136"/>
        <v>519.34834123222743</v>
      </c>
      <c r="D540" s="2">
        <f t="shared" ca="1" si="136"/>
        <v>525.03554502369673</v>
      </c>
      <c r="E540" s="2">
        <f t="shared" ca="1" si="136"/>
        <v>530.72985781990531</v>
      </c>
      <c r="F540" s="2">
        <f t="shared" ca="1" si="136"/>
        <v>563.68957345971569</v>
      </c>
      <c r="G540" s="2">
        <f t="shared" ca="1" si="136"/>
        <v>591.43601895734594</v>
      </c>
      <c r="H540" s="2">
        <f t="shared" ca="1" si="136"/>
        <v>183.73999999999998</v>
      </c>
      <c r="I540" s="2">
        <f t="shared" ca="1" si="136"/>
        <v>0</v>
      </c>
    </row>
    <row r="541" spans="1:9" x14ac:dyDescent="0.2">
      <c r="A541" t="s">
        <v>285</v>
      </c>
      <c r="B541" s="2">
        <f t="shared" ref="B541:I541" ca="1" si="137">IF(B504&gt;0, B263/B504, 0)</f>
        <v>666.69838056680169</v>
      </c>
      <c r="C541" s="2">
        <f t="shared" ca="1" si="137"/>
        <v>674.80161943319831</v>
      </c>
      <c r="D541" s="2">
        <f t="shared" ca="1" si="137"/>
        <v>683.71457489878549</v>
      </c>
      <c r="E541" s="2">
        <f t="shared" ca="1" si="137"/>
        <v>692.62753036437255</v>
      </c>
      <c r="F541" s="2">
        <f t="shared" ca="1" si="137"/>
        <v>712.06680161943325</v>
      </c>
      <c r="G541" s="2">
        <f t="shared" ca="1" si="137"/>
        <v>724.62348178137654</v>
      </c>
      <c r="H541" s="2">
        <f t="shared" ca="1" si="137"/>
        <v>130.65103448275863</v>
      </c>
      <c r="I541" s="2">
        <f t="shared" ca="1" si="137"/>
        <v>0</v>
      </c>
    </row>
    <row r="542" spans="1:9" x14ac:dyDescent="0.2">
      <c r="A542" t="s">
        <v>286</v>
      </c>
      <c r="B542" s="2">
        <f t="shared" ref="B542:I542" ca="1" si="138">IF(B505&gt;0, B264/B505, 0)</f>
        <v>372.43839999999994</v>
      </c>
      <c r="C542" s="2">
        <f t="shared" ca="1" si="138"/>
        <v>378.84320000000002</v>
      </c>
      <c r="D542" s="2">
        <f t="shared" ca="1" si="138"/>
        <v>385.49040000000002</v>
      </c>
      <c r="E542" s="2">
        <f t="shared" ca="1" si="138"/>
        <v>393.81520000000006</v>
      </c>
      <c r="F542" s="2">
        <f t="shared" ca="1" si="138"/>
        <v>406.54239999999999</v>
      </c>
      <c r="G542" s="2">
        <f t="shared" ca="1" si="138"/>
        <v>415.42479999999995</v>
      </c>
      <c r="H542" s="2">
        <f t="shared" ca="1" si="138"/>
        <v>0</v>
      </c>
      <c r="I542" s="2">
        <f t="shared" ca="1" si="138"/>
        <v>0</v>
      </c>
    </row>
    <row r="543" spans="1:9" x14ac:dyDescent="0.2">
      <c r="A543" t="s">
        <v>287</v>
      </c>
      <c r="B543" s="2">
        <f t="shared" ref="B543:I543" ca="1" si="139">IF(B506&gt;0, B265/B506, 0)</f>
        <v>279.83860465116277</v>
      </c>
      <c r="C543" s="2">
        <f t="shared" ca="1" si="139"/>
        <v>283.37627906976741</v>
      </c>
      <c r="D543" s="2">
        <f t="shared" ca="1" si="139"/>
        <v>287.09999999999997</v>
      </c>
      <c r="E543" s="2">
        <f t="shared" ca="1" si="139"/>
        <v>290.82232558139532</v>
      </c>
      <c r="F543" s="2">
        <f t="shared" ca="1" si="139"/>
        <v>298.96465116279069</v>
      </c>
      <c r="G543" s="2">
        <f t="shared" ca="1" si="139"/>
        <v>304.03720930232561</v>
      </c>
      <c r="H543" s="2">
        <f t="shared" ca="1" si="139"/>
        <v>0</v>
      </c>
      <c r="I543" s="2">
        <f t="shared" ca="1" si="139"/>
        <v>313.71019607843135</v>
      </c>
    </row>
    <row r="544" spans="1:9" x14ac:dyDescent="0.2">
      <c r="A544" t="s">
        <v>617</v>
      </c>
      <c r="B544" s="2">
        <f t="shared" ref="B544:I544" ca="1" si="140">IF(B507&gt;0, B266/B507, 0)</f>
        <v>73.91488372093022</v>
      </c>
      <c r="C544" s="2">
        <f t="shared" ca="1" si="140"/>
        <v>73.91488372093022</v>
      </c>
      <c r="D544" s="2">
        <f t="shared" ca="1" si="140"/>
        <v>73.91488372093022</v>
      </c>
      <c r="E544" s="2">
        <f t="shared" ca="1" si="140"/>
        <v>73.91488372093022</v>
      </c>
      <c r="F544" s="2">
        <f t="shared" ca="1" si="140"/>
        <v>74.986046511627904</v>
      </c>
      <c r="G544" s="2">
        <f t="shared" ca="1" si="140"/>
        <v>75.358139534883719</v>
      </c>
      <c r="H544" s="2">
        <f t="shared" ca="1" si="140"/>
        <v>0</v>
      </c>
      <c r="I544" s="2">
        <f t="shared" ca="1" si="140"/>
        <v>175.30482758620687</v>
      </c>
    </row>
    <row r="545" spans="1:9" x14ac:dyDescent="0.2">
      <c r="A545" t="s">
        <v>289</v>
      </c>
      <c r="B545" s="2">
        <f t="shared" ref="B545:I545" ca="1" si="141">IF(B508&gt;0, B267/B508, 0)</f>
        <v>626.46534653465346</v>
      </c>
      <c r="C545" s="2">
        <f t="shared" ca="1" si="141"/>
        <v>641.32425742574253</v>
      </c>
      <c r="D545" s="2">
        <f t="shared" ca="1" si="141"/>
        <v>657.17326732673268</v>
      </c>
      <c r="E545" s="2">
        <f t="shared" ca="1" si="141"/>
        <v>673.02970297029697</v>
      </c>
      <c r="F545" s="2">
        <f t="shared" ca="1" si="141"/>
        <v>699.03465346534665</v>
      </c>
      <c r="G545" s="2">
        <f t="shared" ca="1" si="141"/>
        <v>718.60396039603961</v>
      </c>
      <c r="H545" s="2">
        <f t="shared" ca="1" si="141"/>
        <v>0</v>
      </c>
      <c r="I545" s="2">
        <f t="shared" ca="1" si="141"/>
        <v>0</v>
      </c>
    </row>
    <row r="546" spans="1:9" x14ac:dyDescent="0.2">
      <c r="A546" t="s">
        <v>298</v>
      </c>
      <c r="B546" s="2">
        <f t="shared" ref="B546:I546" ca="1" si="142">IF(B509&gt;0, B268/B509, 0)</f>
        <v>492.37199999999996</v>
      </c>
      <c r="C546" s="2">
        <f t="shared" ca="1" si="142"/>
        <v>503.04666666666668</v>
      </c>
      <c r="D546" s="2">
        <f t="shared" ca="1" si="142"/>
        <v>514.25066666666669</v>
      </c>
      <c r="E546" s="2">
        <f t="shared" ca="1" si="142"/>
        <v>525.45866666666666</v>
      </c>
      <c r="F546" s="2">
        <f t="shared" ca="1" si="142"/>
        <v>544.67066666666665</v>
      </c>
      <c r="G546" s="2">
        <f t="shared" ca="1" si="142"/>
        <v>558.80799999999988</v>
      </c>
      <c r="H546" s="2">
        <f t="shared" ca="1" si="142"/>
        <v>0</v>
      </c>
      <c r="I546" s="2">
        <f t="shared" ca="1" si="142"/>
        <v>0</v>
      </c>
    </row>
    <row r="547" spans="1:9" x14ac:dyDescent="0.2">
      <c r="A547" t="s">
        <v>288</v>
      </c>
      <c r="B547" s="2">
        <f t="shared" ref="B547:I547" ca="1" si="143">IF(B510&gt;0, B269/B510, 0)</f>
        <v>153.47186440677967</v>
      </c>
      <c r="C547" s="2">
        <f t="shared" ca="1" si="143"/>
        <v>153.47186440677967</v>
      </c>
      <c r="D547" s="2">
        <f t="shared" ca="1" si="143"/>
        <v>153.47186440677967</v>
      </c>
      <c r="E547" s="2">
        <f t="shared" ca="1" si="143"/>
        <v>153.47186440677967</v>
      </c>
      <c r="F547" s="2">
        <f t="shared" ca="1" si="143"/>
        <v>155.77694915254239</v>
      </c>
      <c r="G547" s="2">
        <f t="shared" ca="1" si="143"/>
        <v>156.55559322033901</v>
      </c>
      <c r="H547" s="2">
        <f t="shared" ca="1" si="143"/>
        <v>56.822372881355932</v>
      </c>
      <c r="I547" s="2">
        <f t="shared" ca="1" si="143"/>
        <v>76.998632478632473</v>
      </c>
    </row>
    <row r="548" spans="1:9" x14ac:dyDescent="0.2">
      <c r="A548" t="s">
        <v>299</v>
      </c>
      <c r="B548" s="2">
        <f t="shared" ref="B548:I548" ca="1" si="144">IF(B511&gt;0, B270/B511, 0)</f>
        <v>167.00745762711861</v>
      </c>
      <c r="C548" s="2">
        <f t="shared" ca="1" si="144"/>
        <v>167.00745762711861</v>
      </c>
      <c r="D548" s="2">
        <f t="shared" ca="1" si="144"/>
        <v>167.00745762711861</v>
      </c>
      <c r="E548" s="2">
        <f t="shared" ca="1" si="144"/>
        <v>167.00745762711861</v>
      </c>
      <c r="F548" s="2">
        <f t="shared" ca="1" si="144"/>
        <v>169.51593220338984</v>
      </c>
      <c r="G548" s="2">
        <f t="shared" ca="1" si="144"/>
        <v>170.36237288135595</v>
      </c>
      <c r="H548" s="2">
        <f t="shared" ca="1" si="144"/>
        <v>79.721016949152542</v>
      </c>
      <c r="I548" s="2">
        <f t="shared" ca="1" si="144"/>
        <v>296.55023255813956</v>
      </c>
    </row>
    <row r="551" spans="1:9" x14ac:dyDescent="0.2">
      <c r="A551" t="s">
        <v>565</v>
      </c>
    </row>
    <row r="553" spans="1:9" x14ac:dyDescent="0.2">
      <c r="A553" s="8" t="s">
        <v>305</v>
      </c>
      <c r="B553" s="8" t="s">
        <v>278</v>
      </c>
      <c r="C553" s="8" t="s">
        <v>290</v>
      </c>
      <c r="D553" s="14" t="s">
        <v>291</v>
      </c>
      <c r="E553" s="14" t="s">
        <v>292</v>
      </c>
      <c r="F553" s="14" t="s">
        <v>293</v>
      </c>
      <c r="G553" s="14" t="s">
        <v>294</v>
      </c>
      <c r="H553" s="77" t="s">
        <v>644</v>
      </c>
      <c r="I553" s="77" t="s">
        <v>645</v>
      </c>
    </row>
    <row r="554" spans="1:9" x14ac:dyDescent="0.2">
      <c r="A554" t="s">
        <v>279</v>
      </c>
      <c r="B554" s="2">
        <f ca="1">MAX(SUM($B406:$G406) + (3+Setup!$F$37)*6, MIN($B443:$G443))</f>
        <v>21.81</v>
      </c>
      <c r="C554" s="2">
        <f ca="1">MAX(SUM($B406:$G406) + (3+Setup!$F$37)*6, MIN($B443:$G443))</f>
        <v>21.81</v>
      </c>
      <c r="D554" s="2">
        <f ca="1">MAX(SUM($B406:$G406) + (3+Setup!$F$37)*6, MIN($B443:$G443))</f>
        <v>21.81</v>
      </c>
      <c r="E554" s="2">
        <f ca="1">MAX(SUM($B406:$G406) + (3+Setup!$F$37)*6, MIN($B443:$G443))</f>
        <v>21.81</v>
      </c>
      <c r="F554" s="2">
        <f ca="1">MAX(SUM($B406:$G406) + (3+Setup!$F$37)*6, MIN($B443:$G443))</f>
        <v>21.81</v>
      </c>
      <c r="G554" s="2">
        <f ca="1">MAX(SUM($B406:$G406) + (3+Setup!$F$37)*6, MIN($B443:$G443))</f>
        <v>21.81</v>
      </c>
      <c r="H554">
        <v>0</v>
      </c>
      <c r="I554">
        <v>0</v>
      </c>
    </row>
    <row r="555" spans="1:9" x14ac:dyDescent="0.2">
      <c r="A555" t="s">
        <v>280</v>
      </c>
      <c r="B555" s="2">
        <f ca="1">MAX(SUM($B407:$G407) + (3+Setup!$F$37)*6, MIN($B444:$G444))</f>
        <v>23.43</v>
      </c>
      <c r="C555" s="2">
        <f ca="1">MAX(SUM($B407:$G407) + (3+Setup!$F$37)*6, MIN($B444:$G444))</f>
        <v>23.43</v>
      </c>
      <c r="D555" s="2">
        <f ca="1">MAX(SUM($B407:$G407) + (3+Setup!$F$37)*6, MIN($B444:$G444))</f>
        <v>23.43</v>
      </c>
      <c r="E555" s="2">
        <f ca="1">MAX(SUM($B407:$G407) + (3+Setup!$F$37)*6, MIN($B444:$G444))</f>
        <v>23.43</v>
      </c>
      <c r="F555" s="2">
        <f ca="1">MAX(SUM($B407:$G407) + (3+Setup!$F$37)*6, MIN($B444:$G444))</f>
        <v>23.43</v>
      </c>
      <c r="G555" s="2">
        <f ca="1">MAX(SUM($B407:$G407) + (3+Setup!$F$37)*6, MIN($B444:$G444))</f>
        <v>23.43</v>
      </c>
      <c r="H555">
        <v>0</v>
      </c>
      <c r="I555">
        <v>0</v>
      </c>
    </row>
    <row r="556" spans="1:9" x14ac:dyDescent="0.2">
      <c r="A556" t="s">
        <v>281</v>
      </c>
      <c r="B556" s="2">
        <f ca="1">MAX(SUM($B408:$G408) + (3+Setup!$F$37)*6, MIN($B445:$G445))</f>
        <v>25.86</v>
      </c>
      <c r="C556" s="2">
        <f ca="1">MAX(SUM($B408:$G408) + (3+Setup!$F$37)*6, MIN($B445:$G445))</f>
        <v>25.86</v>
      </c>
      <c r="D556" s="2">
        <f ca="1">MAX(SUM($B408:$G408) + (3+Setup!$F$37)*6, MIN($B445:$G445))</f>
        <v>25.86</v>
      </c>
      <c r="E556" s="2">
        <f ca="1">MAX(SUM($B408:$G408) + (3+Setup!$F$37)*6, MIN($B445:$G445))</f>
        <v>25.86</v>
      </c>
      <c r="F556" s="2">
        <f ca="1">MAX(SUM($B408:$G408) + (3+Setup!$F$37)*6, MIN($B445:$G445))</f>
        <v>25.86</v>
      </c>
      <c r="G556" s="2">
        <f ca="1">MAX(SUM($B408:$G408) + (3+Setup!$F$37)*6, MIN($B445:$G445))</f>
        <v>25.86</v>
      </c>
      <c r="H556">
        <v>0</v>
      </c>
      <c r="I556">
        <v>0</v>
      </c>
    </row>
    <row r="557" spans="1:9" x14ac:dyDescent="0.2">
      <c r="A557" t="s">
        <v>282</v>
      </c>
      <c r="B557" s="2">
        <f ca="1">MAX(SUM($B409:$G409) + (3+Setup!$F$37)*6, MIN($B446:$G446))</f>
        <v>30.720000000000002</v>
      </c>
      <c r="C557" s="2">
        <f ca="1">MAX(SUM($B409:$G409) + (3+Setup!$F$37)*6, MIN($B446:$G446))</f>
        <v>30.720000000000002</v>
      </c>
      <c r="D557" s="2">
        <f ca="1">MAX(SUM($B409:$G409) + (3+Setup!$F$37)*6, MIN($B446:$G446))</f>
        <v>30.720000000000002</v>
      </c>
      <c r="E557" s="2">
        <f ca="1">MAX(SUM($B409:$G409) + (3+Setup!$F$37)*6, MIN($B446:$G446))</f>
        <v>30.720000000000002</v>
      </c>
      <c r="F557" s="2">
        <f ca="1">MAX(SUM($B409:$G409) + (3+Setup!$F$37)*6, MIN($B446:$G446))</f>
        <v>30.720000000000002</v>
      </c>
      <c r="G557" s="2">
        <f ca="1">MAX(SUM($B409:$G409) + (3+Setup!$F$37)*6, MIN($B446:$G446))</f>
        <v>30.720000000000002</v>
      </c>
      <c r="H557">
        <v>0</v>
      </c>
      <c r="I557">
        <v>0</v>
      </c>
    </row>
    <row r="558" spans="1:9" x14ac:dyDescent="0.2">
      <c r="A558" t="s">
        <v>283</v>
      </c>
      <c r="B558" s="2">
        <f ca="1">MAX(SUM($B410:$G410) + (3+Setup!$F$37)*6, MIN($B447:$G447))</f>
        <v>37.200000000000003</v>
      </c>
      <c r="C558" s="2">
        <f ca="1">MAX(SUM($B410:$G410) + (3+Setup!$F$37)*6, MIN($B447:$G447))</f>
        <v>37.200000000000003</v>
      </c>
      <c r="D558" s="2">
        <f ca="1">MAX(SUM($B410:$G410) + (3+Setup!$F$37)*6, MIN($B447:$G447))</f>
        <v>37.200000000000003</v>
      </c>
      <c r="E558" s="2">
        <f ca="1">MAX(SUM($B410:$G410) + (3+Setup!$F$37)*6, MIN($B447:$G447))</f>
        <v>37.200000000000003</v>
      </c>
      <c r="F558" s="2">
        <f ca="1">MAX(SUM($B410:$G410) + (3+Setup!$F$37)*6, MIN($B447:$G447))</f>
        <v>37.200000000000003</v>
      </c>
      <c r="G558" s="2">
        <f ca="1">MAX(SUM($B410:$G410) + (3+Setup!$F$37)*6, MIN($B447:$G447))</f>
        <v>37.200000000000003</v>
      </c>
      <c r="H558">
        <v>0</v>
      </c>
      <c r="I558">
        <v>0</v>
      </c>
    </row>
    <row r="559" spans="1:9" x14ac:dyDescent="0.2">
      <c r="A559" t="s">
        <v>284</v>
      </c>
      <c r="B559" s="2">
        <f ca="1">MAX(SUM($B411:$G411) + (3+Setup!$F$37)*6, MIN($B448:$G448))</f>
        <v>24.240000000000002</v>
      </c>
      <c r="C559" s="2">
        <f ca="1">MAX(SUM($B411:$G411) + (3+Setup!$F$37)*6, MIN($B448:$G448))</f>
        <v>24.240000000000002</v>
      </c>
      <c r="D559" s="2">
        <f ca="1">MAX(SUM($B411:$G411) + (3+Setup!$F$37)*6, MIN($B448:$G448))</f>
        <v>24.240000000000002</v>
      </c>
      <c r="E559" s="2">
        <f ca="1">MAX(SUM($B411:$G411) + (3+Setup!$F$37)*6, MIN($B448:$G448))</f>
        <v>24.240000000000002</v>
      </c>
      <c r="F559" s="2">
        <f ca="1">MAX(SUM($B411:$G411) + (3+Setup!$F$37)*6, MIN($B448:$G448))</f>
        <v>24.240000000000002</v>
      </c>
      <c r="G559" s="2">
        <f ca="1">MAX(SUM($B411:$G411) + (3+Setup!$F$37)*6, MIN($B448:$G448))</f>
        <v>24.240000000000002</v>
      </c>
      <c r="H559">
        <v>0</v>
      </c>
      <c r="I559">
        <v>0</v>
      </c>
    </row>
    <row r="560" spans="1:9" x14ac:dyDescent="0.2">
      <c r="A560" t="s">
        <v>285</v>
      </c>
      <c r="B560" s="2">
        <f ca="1">MAX(SUM($B412:$G412) + (3+Setup!$F$37)*6, MIN($B449:$G449))</f>
        <v>27.48</v>
      </c>
      <c r="C560" s="2">
        <f ca="1">MAX(SUM($B412:$G412) + (3+Setup!$F$37)*6, MIN($B449:$G449))</f>
        <v>27.48</v>
      </c>
      <c r="D560" s="2">
        <f ca="1">MAX(SUM($B412:$G412) + (3+Setup!$F$37)*6, MIN($B449:$G449))</f>
        <v>27.48</v>
      </c>
      <c r="E560" s="2">
        <f ca="1">MAX(SUM($B412:$G412) + (3+Setup!$F$37)*6, MIN($B449:$G449))</f>
        <v>27.48</v>
      </c>
      <c r="F560" s="2">
        <f ca="1">MAX(SUM($B412:$G412) + (3+Setup!$F$37)*6, MIN($B449:$G449))</f>
        <v>27.48</v>
      </c>
      <c r="G560" s="2">
        <f ca="1">MAX(SUM($B412:$G412) + (3+Setup!$F$37)*6, MIN($B449:$G449))</f>
        <v>27.48</v>
      </c>
      <c r="H560">
        <v>0</v>
      </c>
      <c r="I560">
        <v>0</v>
      </c>
    </row>
    <row r="561" spans="1:9" x14ac:dyDescent="0.2">
      <c r="A561" t="s">
        <v>286</v>
      </c>
      <c r="B561" s="2">
        <f ca="1">MAX(SUM($B413:$G413) + (3+Setup!$F$37)*6, MIN($B450:$G450))</f>
        <v>32.340000000000003</v>
      </c>
      <c r="C561" s="2">
        <f ca="1">MAX(SUM($B413:$G413) + (3+Setup!$F$37)*6, MIN($B450:$G450))</f>
        <v>32.340000000000003</v>
      </c>
      <c r="D561" s="2">
        <f ca="1">MAX(SUM($B413:$G413) + (3+Setup!$F$37)*6, MIN($B450:$G450))</f>
        <v>32.340000000000003</v>
      </c>
      <c r="E561" s="2">
        <f ca="1">MAX(SUM($B413:$G413) + (3+Setup!$F$37)*6, MIN($B450:$G450))</f>
        <v>32.340000000000003</v>
      </c>
      <c r="F561" s="2">
        <f ca="1">MAX(SUM($B413:$G413) + (3+Setup!$F$37)*6, MIN($B450:$G450))</f>
        <v>32.340000000000003</v>
      </c>
      <c r="G561" s="2">
        <f ca="1">MAX(SUM($B413:$G413) + (3+Setup!$F$37)*6, MIN($B450:$G450))</f>
        <v>32.340000000000003</v>
      </c>
      <c r="H561">
        <v>0</v>
      </c>
      <c r="I561">
        <v>0</v>
      </c>
    </row>
    <row r="562" spans="1:9" x14ac:dyDescent="0.2">
      <c r="A562" t="s">
        <v>287</v>
      </c>
      <c r="B562" s="2">
        <f ca="1">MAX(SUM($B414:$G414) + (3+Setup!$F$37)*6, MIN($B451:$G451))</f>
        <v>32.340000000000003</v>
      </c>
      <c r="C562" s="2">
        <f ca="1">MAX(SUM($B414:$G414) + (3+Setup!$F$37)*6, MIN($B451:$G451))</f>
        <v>32.340000000000003</v>
      </c>
      <c r="D562" s="2">
        <f ca="1">MAX(SUM($B414:$G414) + (3+Setup!$F$37)*6, MIN($B451:$G451))</f>
        <v>32.340000000000003</v>
      </c>
      <c r="E562" s="2">
        <f ca="1">MAX(SUM($B414:$G414) + (3+Setup!$F$37)*6, MIN($B451:$G451))</f>
        <v>32.340000000000003</v>
      </c>
      <c r="F562" s="2">
        <f ca="1">MAX(SUM($B414:$G414) + (3+Setup!$F$37)*6, MIN($B451:$G451))</f>
        <v>32.340000000000003</v>
      </c>
      <c r="G562" s="2">
        <f ca="1">MAX(SUM($B414:$G414) + (3+Setup!$F$37)*6, MIN($B451:$G451))</f>
        <v>32.340000000000003</v>
      </c>
      <c r="H562">
        <v>0</v>
      </c>
      <c r="I562">
        <v>0</v>
      </c>
    </row>
    <row r="563" spans="1:9" x14ac:dyDescent="0.2">
      <c r="A563" t="s">
        <v>617</v>
      </c>
      <c r="B563" s="2">
        <f ca="1">MAX(SUM($B415:$G415) + (3+Setup!$F$37)*6, MIN($B452:$G452))</f>
        <v>27.075000000000003</v>
      </c>
      <c r="C563" s="2">
        <f ca="1">MAX(SUM($B415:$G415) + (3+Setup!$F$37)*6, MIN($B452:$G452))</f>
        <v>27.075000000000003</v>
      </c>
      <c r="D563" s="2">
        <f ca="1">MAX(SUM($B415:$G415) + (3+Setup!$F$37)*6, MIN($B452:$G452))</f>
        <v>27.075000000000003</v>
      </c>
      <c r="E563" s="2">
        <f ca="1">MAX(SUM($B415:$G415) + (3+Setup!$F$37)*6, MIN($B452:$G452))</f>
        <v>27.075000000000003</v>
      </c>
      <c r="F563" s="2">
        <f ca="1">MAX(SUM($B415:$G415) + (3+Setup!$F$37)*6, MIN($B452:$G452))</f>
        <v>27.075000000000003</v>
      </c>
      <c r="G563" s="2">
        <f ca="1">MAX(SUM($B415:$G415) + (3+Setup!$F$37)*6, MIN($B452:$G452))</f>
        <v>27.075000000000003</v>
      </c>
      <c r="H563">
        <v>0</v>
      </c>
      <c r="I563">
        <v>0</v>
      </c>
    </row>
    <row r="564" spans="1:9" x14ac:dyDescent="0.2">
      <c r="A564" t="s">
        <v>289</v>
      </c>
      <c r="B564" s="2">
        <f ca="1">MAX(SUM($B416:$G416) + (3+Setup!$F$37)*6, MIN($B453:$G453))</f>
        <v>23.43</v>
      </c>
      <c r="C564" s="2">
        <f ca="1">MAX(SUM($B416:$G416) + (3+Setup!$F$37)*6, MIN($B453:$G453))</f>
        <v>23.43</v>
      </c>
      <c r="D564" s="2">
        <f ca="1">MAX(SUM($B416:$G416) + (3+Setup!$F$37)*6, MIN($B453:$G453))</f>
        <v>23.43</v>
      </c>
      <c r="E564" s="2">
        <f ca="1">MAX(SUM($B416:$G416) + (3+Setup!$F$37)*6, MIN($B453:$G453))</f>
        <v>23.43</v>
      </c>
      <c r="F564" s="2">
        <f ca="1">MAX(SUM($B416:$G416) + (3+Setup!$F$37)*6, MIN($B453:$G453))</f>
        <v>23.43</v>
      </c>
      <c r="G564" s="2">
        <f ca="1">MAX(SUM($B416:$G416) + (3+Setup!$F$37)*6, MIN($B453:$G453))</f>
        <v>23.43</v>
      </c>
      <c r="H564">
        <v>0</v>
      </c>
      <c r="I564">
        <v>0</v>
      </c>
    </row>
    <row r="565" spans="1:9" x14ac:dyDescent="0.2">
      <c r="A565" t="s">
        <v>298</v>
      </c>
      <c r="B565" s="2">
        <f ca="1">MAX(SUM($B417:$G417) + (3+Setup!$F$37)*6, MIN($B454:$G454))</f>
        <v>25.86</v>
      </c>
      <c r="C565" s="2">
        <f ca="1">MAX(SUM($B417:$G417) + (3+Setup!$F$37)*6, MIN($B454:$G454))</f>
        <v>25.86</v>
      </c>
      <c r="D565" s="2">
        <f ca="1">MAX(SUM($B417:$G417) + (3+Setup!$F$37)*6, MIN($B454:$G454))</f>
        <v>25.86</v>
      </c>
      <c r="E565" s="2">
        <f ca="1">MAX(SUM($B417:$G417) + (3+Setup!$F$37)*6, MIN($B454:$G454))</f>
        <v>25.86</v>
      </c>
      <c r="F565" s="2">
        <f ca="1">MAX(SUM($B417:$G417) + (3+Setup!$F$37)*6, MIN($B454:$G454))</f>
        <v>25.86</v>
      </c>
      <c r="G565" s="2">
        <f ca="1">MAX(SUM($B417:$G417) + (3+Setup!$F$37)*6, MIN($B454:$G454))</f>
        <v>25.86</v>
      </c>
      <c r="H565">
        <v>0</v>
      </c>
      <c r="I565">
        <v>0</v>
      </c>
    </row>
    <row r="566" spans="1:9" x14ac:dyDescent="0.2">
      <c r="A566" t="s">
        <v>288</v>
      </c>
      <c r="B566" s="2">
        <f ca="1">MAX(SUM($B418:$G418) + (3+Setup!$F$37)*6, MIN($B455:$G455))</f>
        <v>40.440000000000005</v>
      </c>
      <c r="C566" s="2">
        <f ca="1">MAX(SUM($B418:$G418) + (3+Setup!$F$37)*6, MIN($B455:$G455))</f>
        <v>40.440000000000005</v>
      </c>
      <c r="D566" s="2">
        <f ca="1">MAX(SUM($B418:$G418) + (3+Setup!$F$37)*6, MIN($B455:$G455))</f>
        <v>40.440000000000005</v>
      </c>
      <c r="E566" s="2">
        <f ca="1">MAX(SUM($B418:$G418) + (3+Setup!$F$37)*6, MIN($B455:$G455))</f>
        <v>40.440000000000005</v>
      </c>
      <c r="F566" s="2">
        <f ca="1">MAX(SUM($B418:$G418) + (3+Setup!$F$37)*6, MIN($B455:$G455))</f>
        <v>40.440000000000005</v>
      </c>
      <c r="G566" s="2">
        <f ca="1">MAX(SUM($B418:$G418) + (3+Setup!$F$37)*6, MIN($B455:$G455))</f>
        <v>40.440000000000005</v>
      </c>
      <c r="H566">
        <v>0</v>
      </c>
      <c r="I566">
        <v>0</v>
      </c>
    </row>
    <row r="567" spans="1:9" x14ac:dyDescent="0.2">
      <c r="A567" t="s">
        <v>299</v>
      </c>
      <c r="B567" s="2">
        <f ca="1">MAX(SUM($B419:$G419) + (3+Setup!$F$37)*6, MIN($B456:$G456))</f>
        <v>37.200000000000003</v>
      </c>
      <c r="C567" s="2">
        <f ca="1">MAX(SUM($B419:$G419) + (3+Setup!$F$37)*6, MIN($B456:$G456))</f>
        <v>37.200000000000003</v>
      </c>
      <c r="D567" s="2">
        <f ca="1">MAX(SUM($B419:$G419) + (3+Setup!$F$37)*6, MIN($B456:$G456))</f>
        <v>37.200000000000003</v>
      </c>
      <c r="E567" s="2">
        <f ca="1">MAX(SUM($B419:$G419) + (3+Setup!$F$37)*6, MIN($B456:$G456))</f>
        <v>37.200000000000003</v>
      </c>
      <c r="F567" s="2">
        <f ca="1">MAX(SUM($B419:$G419) + (3+Setup!$F$37)*6, MIN($B456:$G456))</f>
        <v>37.200000000000003</v>
      </c>
      <c r="G567" s="2">
        <f ca="1">MAX(SUM($B419:$G419) + (3+Setup!$F$37)*6, MIN($B456:$G456))</f>
        <v>37.200000000000003</v>
      </c>
      <c r="H567">
        <v>0</v>
      </c>
      <c r="I567">
        <v>0</v>
      </c>
    </row>
    <row r="569" spans="1:9" x14ac:dyDescent="0.2">
      <c r="A569" t="s">
        <v>566</v>
      </c>
    </row>
    <row r="571" spans="1:9" x14ac:dyDescent="0.2">
      <c r="A571" s="8" t="s">
        <v>305</v>
      </c>
      <c r="B571" s="8" t="s">
        <v>278</v>
      </c>
      <c r="C571" s="8" t="s">
        <v>290</v>
      </c>
      <c r="D571" s="14" t="s">
        <v>291</v>
      </c>
      <c r="E571" s="14" t="s">
        <v>292</v>
      </c>
      <c r="F571" s="14" t="s">
        <v>293</v>
      </c>
      <c r="G571" s="14" t="s">
        <v>294</v>
      </c>
      <c r="H571" s="77" t="s">
        <v>644</v>
      </c>
      <c r="I571" s="77" t="s">
        <v>645</v>
      </c>
    </row>
    <row r="572" spans="1:9" x14ac:dyDescent="0.2">
      <c r="A572" t="s">
        <v>279</v>
      </c>
      <c r="B572" s="2">
        <f ca="1">MAX(SUM($B424:$G424) + (3+Setup!$G$37)*6, MIN($B461:$G461))</f>
        <v>22.08</v>
      </c>
      <c r="C572" s="2">
        <f ca="1">MAX(SUM($B424:$G424) + (3+Setup!$G$37)*6, MIN($B461:$G461))</f>
        <v>22.08</v>
      </c>
      <c r="D572" s="2">
        <f ca="1">MAX(SUM($B424:$G424) + (3+Setup!$G$37)*6, MIN($B461:$G461))</f>
        <v>22.08</v>
      </c>
      <c r="E572" s="2">
        <f ca="1">MAX(SUM($B424:$G424) + (3+Setup!$G$37)*6, MIN($B461:$G461))</f>
        <v>22.08</v>
      </c>
      <c r="F572" s="2">
        <f ca="1">MAX(SUM($B424:$G424) + (3+Setup!$G$37)*6, MIN($B461:$G461))</f>
        <v>22.08</v>
      </c>
      <c r="G572" s="2">
        <f ca="1">MAX(SUM($B424:$G424) + (3+Setup!$G$37)*6, MIN($B461:$G461))</f>
        <v>22.08</v>
      </c>
      <c r="H572">
        <v>0</v>
      </c>
      <c r="I572">
        <v>0</v>
      </c>
    </row>
    <row r="573" spans="1:9" x14ac:dyDescent="0.2">
      <c r="A573" t="s">
        <v>280</v>
      </c>
      <c r="B573" s="2">
        <f ca="1">MAX(SUM($B425:$G425) + (3+Setup!$G$37)*6, MIN($B462:$G462))</f>
        <v>24.24</v>
      </c>
      <c r="C573" s="2">
        <f ca="1">MAX(SUM($B425:$G425) + (3+Setup!$G$37)*6, MIN($B462:$G462))</f>
        <v>24.24</v>
      </c>
      <c r="D573" s="2">
        <f ca="1">MAX(SUM($B425:$G425) + (3+Setup!$G$37)*6, MIN($B462:$G462))</f>
        <v>24.24</v>
      </c>
      <c r="E573" s="2">
        <f ca="1">MAX(SUM($B425:$G425) + (3+Setup!$G$37)*6, MIN($B462:$G462))</f>
        <v>24.24</v>
      </c>
      <c r="F573" s="2">
        <f ca="1">MAX(SUM($B425:$G425) + (3+Setup!$G$37)*6, MIN($B462:$G462))</f>
        <v>24.24</v>
      </c>
      <c r="G573" s="2">
        <f ca="1">MAX(SUM($B425:$G425) + (3+Setup!$G$37)*6, MIN($B462:$G462))</f>
        <v>24.24</v>
      </c>
      <c r="H573">
        <v>0</v>
      </c>
      <c r="I573">
        <v>0</v>
      </c>
    </row>
    <row r="574" spans="1:9" x14ac:dyDescent="0.2">
      <c r="A574" t="s">
        <v>281</v>
      </c>
      <c r="B574" s="2">
        <f ca="1">MAX(SUM($B426:$G426) + (3+Setup!$G$37)*6, MIN($B463:$G463))</f>
        <v>27.48</v>
      </c>
      <c r="C574" s="2">
        <f ca="1">MAX(SUM($B426:$G426) + (3+Setup!$G$37)*6, MIN($B463:$G463))</f>
        <v>27.48</v>
      </c>
      <c r="D574" s="2">
        <f ca="1">MAX(SUM($B426:$G426) + (3+Setup!$G$37)*6, MIN($B463:$G463))</f>
        <v>27.48</v>
      </c>
      <c r="E574" s="2">
        <f ca="1">MAX(SUM($B426:$G426) + (3+Setup!$G$37)*6, MIN($B463:$G463))</f>
        <v>27.48</v>
      </c>
      <c r="F574" s="2">
        <f ca="1">MAX(SUM($B426:$G426) + (3+Setup!$G$37)*6, MIN($B463:$G463))</f>
        <v>27.48</v>
      </c>
      <c r="G574" s="2">
        <f ca="1">MAX(SUM($B426:$G426) + (3+Setup!$G$37)*6, MIN($B463:$G463))</f>
        <v>27.48</v>
      </c>
      <c r="H574">
        <v>0</v>
      </c>
      <c r="I574">
        <v>0</v>
      </c>
    </row>
    <row r="575" spans="1:9" x14ac:dyDescent="0.2">
      <c r="A575" t="s">
        <v>282</v>
      </c>
      <c r="B575" s="2">
        <f ca="1">MAX(SUM($B427:$G427) + (3+Setup!$G$37)*6, MIN($B464:$G464))</f>
        <v>33.96</v>
      </c>
      <c r="C575" s="2">
        <f ca="1">MAX(SUM($B427:$G427) + (3+Setup!$G$37)*6, MIN($B464:$G464))</f>
        <v>33.96</v>
      </c>
      <c r="D575" s="2">
        <f ca="1">MAX(SUM($B427:$G427) + (3+Setup!$G$37)*6, MIN($B464:$G464))</f>
        <v>33.96</v>
      </c>
      <c r="E575" s="2">
        <f ca="1">MAX(SUM($B427:$G427) + (3+Setup!$G$37)*6, MIN($B464:$G464))</f>
        <v>33.96</v>
      </c>
      <c r="F575" s="2">
        <f ca="1">MAX(SUM($B427:$G427) + (3+Setup!$G$37)*6, MIN($B464:$G464))</f>
        <v>33.96</v>
      </c>
      <c r="G575" s="2">
        <f ca="1">MAX(SUM($B427:$G427) + (3+Setup!$G$37)*6, MIN($B464:$G464))</f>
        <v>33.96</v>
      </c>
      <c r="H575">
        <v>0</v>
      </c>
      <c r="I575">
        <v>0</v>
      </c>
    </row>
    <row r="576" spans="1:9" x14ac:dyDescent="0.2">
      <c r="A576" t="s">
        <v>283</v>
      </c>
      <c r="B576" s="2">
        <f ca="1">MAX(SUM($B428:$G428) + (3+Setup!$G$37)*6, MIN($B465:$G465))</f>
        <v>42.599999999999994</v>
      </c>
      <c r="C576" s="2">
        <f ca="1">MAX(SUM($B428:$G428) + (3+Setup!$G$37)*6, MIN($B465:$G465))</f>
        <v>42.599999999999994</v>
      </c>
      <c r="D576" s="2">
        <f ca="1">MAX(SUM($B428:$G428) + (3+Setup!$G$37)*6, MIN($B465:$G465))</f>
        <v>42.599999999999994</v>
      </c>
      <c r="E576" s="2">
        <f ca="1">MAX(SUM($B428:$G428) + (3+Setup!$G$37)*6, MIN($B465:$G465))</f>
        <v>42.599999999999994</v>
      </c>
      <c r="F576" s="2">
        <f ca="1">MAX(SUM($B428:$G428) + (3+Setup!$G$37)*6, MIN($B465:$G465))</f>
        <v>42.599999999999994</v>
      </c>
      <c r="G576" s="2">
        <f ca="1">MAX(SUM($B428:$G428) + (3+Setup!$G$37)*6, MIN($B465:$G465))</f>
        <v>42.599999999999994</v>
      </c>
      <c r="H576">
        <v>0</v>
      </c>
      <c r="I576">
        <v>0</v>
      </c>
    </row>
    <row r="577" spans="1:9" x14ac:dyDescent="0.2">
      <c r="A577" t="s">
        <v>284</v>
      </c>
      <c r="B577" s="2">
        <f ca="1">MAX(SUM($B429:$G429) + (3+Setup!$G$37)*6, MIN($B466:$G466))</f>
        <v>25.32</v>
      </c>
      <c r="C577" s="2">
        <f ca="1">MAX(SUM($B429:$G429) + (3+Setup!$G$37)*6, MIN($B466:$G466))</f>
        <v>25.32</v>
      </c>
      <c r="D577" s="2">
        <f ca="1">MAX(SUM($B429:$G429) + (3+Setup!$G$37)*6, MIN($B466:$G466))</f>
        <v>25.32</v>
      </c>
      <c r="E577" s="2">
        <f ca="1">MAX(SUM($B429:$G429) + (3+Setup!$G$37)*6, MIN($B466:$G466))</f>
        <v>25.32</v>
      </c>
      <c r="F577" s="2">
        <f ca="1">MAX(SUM($B429:$G429) + (3+Setup!$G$37)*6, MIN($B466:$G466))</f>
        <v>25.32</v>
      </c>
      <c r="G577" s="2">
        <f ca="1">MAX(SUM($B429:$G429) + (3+Setup!$G$37)*6, MIN($B466:$G466))</f>
        <v>25.32</v>
      </c>
      <c r="H577">
        <v>0</v>
      </c>
      <c r="I577">
        <v>0</v>
      </c>
    </row>
    <row r="578" spans="1:9" x14ac:dyDescent="0.2">
      <c r="A578" t="s">
        <v>285</v>
      </c>
      <c r="B578" s="2">
        <f ca="1">MAX(SUM($B430:$G430) + (3+Setup!$G$37)*6, MIN($B467:$G467))</f>
        <v>29.64</v>
      </c>
      <c r="C578" s="2">
        <f ca="1">MAX(SUM($B430:$G430) + (3+Setup!$G$37)*6, MIN($B467:$G467))</f>
        <v>29.64</v>
      </c>
      <c r="D578" s="2">
        <f ca="1">MAX(SUM($B430:$G430) + (3+Setup!$G$37)*6, MIN($B467:$G467))</f>
        <v>29.64</v>
      </c>
      <c r="E578" s="2">
        <f ca="1">MAX(SUM($B430:$G430) + (3+Setup!$G$37)*6, MIN($B467:$G467))</f>
        <v>29.64</v>
      </c>
      <c r="F578" s="2">
        <f ca="1">MAX(SUM($B430:$G430) + (3+Setup!$G$37)*6, MIN($B467:$G467))</f>
        <v>29.64</v>
      </c>
      <c r="G578" s="2">
        <f ca="1">MAX(SUM($B430:$G430) + (3+Setup!$G$37)*6, MIN($B467:$G467))</f>
        <v>29.64</v>
      </c>
      <c r="H578">
        <v>0</v>
      </c>
      <c r="I578">
        <v>0</v>
      </c>
    </row>
    <row r="579" spans="1:9" x14ac:dyDescent="0.2">
      <c r="A579" t="s">
        <v>286</v>
      </c>
      <c r="B579" s="2">
        <f ca="1">MAX(SUM($B431:$G431) + (3+Setup!$G$37)*6, MIN($B468:$G468))</f>
        <v>36.119999999999997</v>
      </c>
      <c r="C579" s="2">
        <f ca="1">MAX(SUM($B431:$G431) + (3+Setup!$G$37)*6, MIN($B468:$G468))</f>
        <v>36.119999999999997</v>
      </c>
      <c r="D579" s="2">
        <f ca="1">MAX(SUM($B431:$G431) + (3+Setup!$G$37)*6, MIN($B468:$G468))</f>
        <v>36.119999999999997</v>
      </c>
      <c r="E579" s="2">
        <f ca="1">MAX(SUM($B431:$G431) + (3+Setup!$G$37)*6, MIN($B468:$G468))</f>
        <v>36.119999999999997</v>
      </c>
      <c r="F579" s="2">
        <f ca="1">MAX(SUM($B431:$G431) + (3+Setup!$G$37)*6, MIN($B468:$G468))</f>
        <v>36.119999999999997</v>
      </c>
      <c r="G579" s="2">
        <f ca="1">MAX(SUM($B431:$G431) + (3+Setup!$G$37)*6, MIN($B468:$G468))</f>
        <v>36.119999999999997</v>
      </c>
      <c r="H579">
        <v>0</v>
      </c>
      <c r="I579">
        <v>0</v>
      </c>
    </row>
    <row r="580" spans="1:9" x14ac:dyDescent="0.2">
      <c r="A580" t="s">
        <v>287</v>
      </c>
      <c r="B580" s="2">
        <f ca="1">MAX(SUM($B432:$G432) + (3+Setup!$G$37)*6, MIN($B469:$G469))</f>
        <v>36.119999999999997</v>
      </c>
      <c r="C580" s="2">
        <f ca="1">MAX(SUM($B432:$G432) + (3+Setup!$G$37)*6, MIN($B469:$G469))</f>
        <v>36.119999999999997</v>
      </c>
      <c r="D580" s="2">
        <f ca="1">MAX(SUM($B432:$G432) + (3+Setup!$G$37)*6, MIN($B469:$G469))</f>
        <v>36.119999999999997</v>
      </c>
      <c r="E580" s="2">
        <f ca="1">MAX(SUM($B432:$G432) + (3+Setup!$G$37)*6, MIN($B469:$G469))</f>
        <v>36.119999999999997</v>
      </c>
      <c r="F580" s="2">
        <f ca="1">MAX(SUM($B432:$G432) + (3+Setup!$G$37)*6, MIN($B469:$G469))</f>
        <v>36.119999999999997</v>
      </c>
      <c r="G580" s="2">
        <f ca="1">MAX(SUM($B432:$G432) + (3+Setup!$G$37)*6, MIN($B469:$G469))</f>
        <v>36.119999999999997</v>
      </c>
      <c r="H580">
        <v>0</v>
      </c>
      <c r="I580">
        <v>0</v>
      </c>
    </row>
    <row r="581" spans="1:9" x14ac:dyDescent="0.2">
      <c r="A581" t="s">
        <v>617</v>
      </c>
      <c r="B581" s="2">
        <f ca="1">MAX(SUM($B433:$G433) + (3+Setup!$G$37)*6, MIN($B470:$G470))</f>
        <v>29.099999999999998</v>
      </c>
      <c r="C581" s="2">
        <f ca="1">MAX(SUM($B433:$G433) + (3+Setup!$G$37)*6, MIN($B470:$G470))</f>
        <v>29.099999999999998</v>
      </c>
      <c r="D581" s="2">
        <f ca="1">MAX(SUM($B433:$G433) + (3+Setup!$G$37)*6, MIN($B470:$G470))</f>
        <v>29.099999999999998</v>
      </c>
      <c r="E581" s="2">
        <f ca="1">MAX(SUM($B433:$G433) + (3+Setup!$G$37)*6, MIN($B470:$G470))</f>
        <v>29.099999999999998</v>
      </c>
      <c r="F581" s="2">
        <f ca="1">MAX(SUM($B433:$G433) + (3+Setup!$G$37)*6, MIN($B470:$G470))</f>
        <v>29.099999999999998</v>
      </c>
      <c r="G581" s="2">
        <f ca="1">MAX(SUM($B433:$G433) + (3+Setup!$G$37)*6, MIN($B470:$G470))</f>
        <v>29.099999999999998</v>
      </c>
      <c r="H581">
        <v>0</v>
      </c>
      <c r="I581">
        <v>0</v>
      </c>
    </row>
    <row r="582" spans="1:9" x14ac:dyDescent="0.2">
      <c r="A582" t="s">
        <v>289</v>
      </c>
      <c r="B582" s="2">
        <f ca="1">MAX(SUM($B434:$G434) + (3+Setup!$G$37)*6, MIN($B471:$G471))</f>
        <v>24.24</v>
      </c>
      <c r="C582" s="2">
        <f ca="1">MAX(SUM($B434:$G434) + (3+Setup!$G$37)*6, MIN($B471:$G471))</f>
        <v>24.24</v>
      </c>
      <c r="D582" s="2">
        <f ca="1">MAX(SUM($B434:$G434) + (3+Setup!$G$37)*6, MIN($B471:$G471))</f>
        <v>24.24</v>
      </c>
      <c r="E582" s="2">
        <f ca="1">MAX(SUM($B434:$G434) + (3+Setup!$G$37)*6, MIN($B471:$G471))</f>
        <v>24.24</v>
      </c>
      <c r="F582" s="2">
        <f ca="1">MAX(SUM($B434:$G434) + (3+Setup!$G$37)*6, MIN($B471:$G471))</f>
        <v>24.24</v>
      </c>
      <c r="G582" s="2">
        <f ca="1">MAX(SUM($B434:$G434) + (3+Setup!$G$37)*6, MIN($B471:$G471))</f>
        <v>24.24</v>
      </c>
      <c r="H582">
        <v>0</v>
      </c>
      <c r="I582">
        <v>0</v>
      </c>
    </row>
    <row r="583" spans="1:9" x14ac:dyDescent="0.2">
      <c r="A583" t="s">
        <v>298</v>
      </c>
      <c r="B583" s="2">
        <f ca="1">MAX(SUM($B435:$G435) + (3+Setup!$G$37)*6, MIN($B472:$G472))</f>
        <v>27.48</v>
      </c>
      <c r="C583" s="2">
        <f ca="1">MAX(SUM($B435:$G435) + (3+Setup!$G$37)*6, MIN($B472:$G472))</f>
        <v>27.48</v>
      </c>
      <c r="D583" s="2">
        <f ca="1">MAX(SUM($B435:$G435) + (3+Setup!$G$37)*6, MIN($B472:$G472))</f>
        <v>27.48</v>
      </c>
      <c r="E583" s="2">
        <f ca="1">MAX(SUM($B435:$G435) + (3+Setup!$G$37)*6, MIN($B472:$G472))</f>
        <v>27.48</v>
      </c>
      <c r="F583" s="2">
        <f ca="1">MAX(SUM($B435:$G435) + (3+Setup!$G$37)*6, MIN($B472:$G472))</f>
        <v>27.48</v>
      </c>
      <c r="G583" s="2">
        <f ca="1">MAX(SUM($B435:$G435) + (3+Setup!$G$37)*6, MIN($B472:$G472))</f>
        <v>27.48</v>
      </c>
      <c r="H583">
        <v>0</v>
      </c>
      <c r="I583">
        <v>0</v>
      </c>
    </row>
    <row r="584" spans="1:9" x14ac:dyDescent="0.2">
      <c r="A584" t="s">
        <v>288</v>
      </c>
      <c r="B584" s="2">
        <f ca="1">MAX(SUM($B436:$G436) + (3+Setup!$G$37)*6, MIN($B473:$G473))</f>
        <v>46.92</v>
      </c>
      <c r="C584" s="2">
        <f ca="1">MAX(SUM($B436:$G436) + (3+Setup!$G$37)*6, MIN($B473:$G473))</f>
        <v>46.92</v>
      </c>
      <c r="D584" s="2">
        <f ca="1">MAX(SUM($B436:$G436) + (3+Setup!$G$37)*6, MIN($B473:$G473))</f>
        <v>46.92</v>
      </c>
      <c r="E584" s="2">
        <f ca="1">MAX(SUM($B436:$G436) + (3+Setup!$G$37)*6, MIN($B473:$G473))</f>
        <v>46.92</v>
      </c>
      <c r="F584" s="2">
        <f ca="1">MAX(SUM($B436:$G436) + (3+Setup!$G$37)*6, MIN($B473:$G473))</f>
        <v>46.92</v>
      </c>
      <c r="G584" s="2">
        <f ca="1">MAX(SUM($B436:$G436) + (3+Setup!$G$37)*6, MIN($B473:$G473))</f>
        <v>46.92</v>
      </c>
      <c r="H584">
        <v>0</v>
      </c>
      <c r="I584">
        <v>0</v>
      </c>
    </row>
    <row r="585" spans="1:9" x14ac:dyDescent="0.2">
      <c r="A585" t="s">
        <v>299</v>
      </c>
      <c r="B585" s="2">
        <f ca="1">MAX(SUM($B437:$G437) + (3+Setup!$G$37)*6, MIN($B474:$G474))</f>
        <v>42.599999999999994</v>
      </c>
      <c r="C585" s="2">
        <f ca="1">MAX(SUM($B437:$G437) + (3+Setup!$G$37)*6, MIN($B474:$G474))</f>
        <v>42.599999999999994</v>
      </c>
      <c r="D585" s="2">
        <f ca="1">MAX(SUM($B437:$G437) + (3+Setup!$G$37)*6, MIN($B474:$G474))</f>
        <v>42.599999999999994</v>
      </c>
      <c r="E585" s="2">
        <f ca="1">MAX(SUM($B437:$G437) + (3+Setup!$G$37)*6, MIN($B474:$G474))</f>
        <v>42.599999999999994</v>
      </c>
      <c r="F585" s="2">
        <f ca="1">MAX(SUM($B437:$G437) + (3+Setup!$G$37)*6, MIN($B474:$G474))</f>
        <v>42.599999999999994</v>
      </c>
      <c r="G585" s="2">
        <f ca="1">MAX(SUM($B437:$G437) + (3+Setup!$G$37)*6, MIN($B474:$G474))</f>
        <v>42.599999999999994</v>
      </c>
      <c r="H585">
        <v>0</v>
      </c>
      <c r="I585">
        <v>0</v>
      </c>
    </row>
    <row r="588" spans="1:9" x14ac:dyDescent="0.2">
      <c r="A588" t="s">
        <v>574</v>
      </c>
    </row>
    <row r="590" spans="1:9" x14ac:dyDescent="0.2">
      <c r="A590" s="8" t="s">
        <v>305</v>
      </c>
      <c r="B590" s="8" t="s">
        <v>278</v>
      </c>
      <c r="C590" s="8" t="s">
        <v>290</v>
      </c>
      <c r="D590" s="14" t="s">
        <v>291</v>
      </c>
      <c r="E590" s="14" t="s">
        <v>292</v>
      </c>
      <c r="F590" s="14" t="s">
        <v>293</v>
      </c>
      <c r="G590" s="14" t="s">
        <v>294</v>
      </c>
      <c r="H590" s="77" t="s">
        <v>644</v>
      </c>
      <c r="I590" s="77" t="s">
        <v>645</v>
      </c>
    </row>
    <row r="591" spans="1:9" x14ac:dyDescent="0.2">
      <c r="A591" t="s">
        <v>279</v>
      </c>
      <c r="B591" s="2">
        <f t="shared" ref="B591:C604" ca="1" si="145">SUM($B239:$G239) / B554</f>
        <v>460.2842732691426</v>
      </c>
      <c r="C591" s="2">
        <f t="shared" ca="1" si="145"/>
        <v>460.2842732691426</v>
      </c>
      <c r="D591" s="2">
        <f t="shared" ref="D591:G599" ca="1" si="146">SUM($B239:$G239) / D554</f>
        <v>460.2842732691426</v>
      </c>
      <c r="E591" s="2">
        <f t="shared" ca="1" si="146"/>
        <v>460.2842732691426</v>
      </c>
      <c r="F591" s="2">
        <f t="shared" ca="1" si="146"/>
        <v>460.2842732691426</v>
      </c>
      <c r="G591" s="2">
        <f t="shared" ca="1" si="146"/>
        <v>460.2842732691426</v>
      </c>
      <c r="H591">
        <v>0</v>
      </c>
      <c r="I591">
        <v>0</v>
      </c>
    </row>
    <row r="592" spans="1:9" x14ac:dyDescent="0.2">
      <c r="A592" t="s">
        <v>280</v>
      </c>
      <c r="B592" s="2">
        <f t="shared" ca="1" si="145"/>
        <v>610.75586854460084</v>
      </c>
      <c r="C592" s="2">
        <f t="shared" ca="1" si="145"/>
        <v>610.75586854460084</v>
      </c>
      <c r="D592" s="2">
        <f t="shared" ca="1" si="146"/>
        <v>610.75586854460084</v>
      </c>
      <c r="E592" s="2">
        <f t="shared" ca="1" si="146"/>
        <v>610.75586854460084</v>
      </c>
      <c r="F592" s="2">
        <f t="shared" ca="1" si="146"/>
        <v>610.75586854460084</v>
      </c>
      <c r="G592" s="2">
        <f t="shared" ca="1" si="146"/>
        <v>610.75586854460084</v>
      </c>
      <c r="H592">
        <v>0</v>
      </c>
      <c r="I592">
        <v>0</v>
      </c>
    </row>
    <row r="593" spans="1:9" x14ac:dyDescent="0.2">
      <c r="A593" t="s">
        <v>281</v>
      </c>
      <c r="B593" s="2">
        <f t="shared" ca="1" si="145"/>
        <v>737.3820572312452</v>
      </c>
      <c r="C593" s="2">
        <f t="shared" ca="1" si="145"/>
        <v>737.3820572312452</v>
      </c>
      <c r="D593" s="2">
        <f t="shared" ca="1" si="146"/>
        <v>737.3820572312452</v>
      </c>
      <c r="E593" s="2">
        <f t="shared" ca="1" si="146"/>
        <v>737.3820572312452</v>
      </c>
      <c r="F593" s="2">
        <f t="shared" ca="1" si="146"/>
        <v>737.3820572312452</v>
      </c>
      <c r="G593" s="2">
        <f t="shared" ca="1" si="146"/>
        <v>737.3820572312452</v>
      </c>
      <c r="H593">
        <v>0</v>
      </c>
      <c r="I593">
        <v>0</v>
      </c>
    </row>
    <row r="594" spans="1:9" x14ac:dyDescent="0.2">
      <c r="A594" t="s">
        <v>282</v>
      </c>
      <c r="B594" s="2">
        <f t="shared" ca="1" si="145"/>
        <v>863.23014322916663</v>
      </c>
      <c r="C594" s="2">
        <f t="shared" ca="1" si="145"/>
        <v>863.23014322916663</v>
      </c>
      <c r="D594" s="2">
        <f t="shared" ca="1" si="146"/>
        <v>863.23014322916663</v>
      </c>
      <c r="E594" s="2">
        <f t="shared" ca="1" si="146"/>
        <v>863.23014322916663</v>
      </c>
      <c r="F594" s="2">
        <f t="shared" ca="1" si="146"/>
        <v>863.23014322916663</v>
      </c>
      <c r="G594" s="2">
        <f t="shared" ca="1" si="146"/>
        <v>863.23014322916663</v>
      </c>
      <c r="H594">
        <v>0</v>
      </c>
      <c r="I594">
        <v>0</v>
      </c>
    </row>
    <row r="595" spans="1:9" x14ac:dyDescent="0.2">
      <c r="A595" t="s">
        <v>283</v>
      </c>
      <c r="B595" s="2">
        <f t="shared" ca="1" si="145"/>
        <v>923.80188172043006</v>
      </c>
      <c r="C595" s="2">
        <f t="shared" ca="1" si="145"/>
        <v>923.80188172043006</v>
      </c>
      <c r="D595" s="2">
        <f t="shared" ca="1" si="146"/>
        <v>923.80188172043006</v>
      </c>
      <c r="E595" s="2">
        <f t="shared" ca="1" si="146"/>
        <v>923.80188172043006</v>
      </c>
      <c r="F595" s="2">
        <f t="shared" ca="1" si="146"/>
        <v>923.80188172043006</v>
      </c>
      <c r="G595" s="2">
        <f t="shared" ca="1" si="146"/>
        <v>923.80188172043006</v>
      </c>
      <c r="H595">
        <v>0</v>
      </c>
      <c r="I595">
        <v>0</v>
      </c>
    </row>
    <row r="596" spans="1:9" x14ac:dyDescent="0.2">
      <c r="A596" t="s">
        <v>284</v>
      </c>
      <c r="B596" s="2">
        <f t="shared" ca="1" si="145"/>
        <v>561.53052805280515</v>
      </c>
      <c r="C596" s="2">
        <f t="shared" ca="1" si="145"/>
        <v>561.53052805280515</v>
      </c>
      <c r="D596" s="2">
        <f t="shared" ca="1" si="146"/>
        <v>561.53052805280515</v>
      </c>
      <c r="E596" s="2">
        <f t="shared" ca="1" si="146"/>
        <v>561.53052805280515</v>
      </c>
      <c r="F596" s="2">
        <f t="shared" ca="1" si="146"/>
        <v>561.53052805280515</v>
      </c>
      <c r="G596" s="2">
        <f t="shared" ca="1" si="146"/>
        <v>561.53052805280515</v>
      </c>
      <c r="H596">
        <v>0</v>
      </c>
      <c r="I596">
        <v>0</v>
      </c>
    </row>
    <row r="597" spans="1:9" x14ac:dyDescent="0.2">
      <c r="A597" t="s">
        <v>285</v>
      </c>
      <c r="B597" s="2">
        <f t="shared" ca="1" si="145"/>
        <v>736.44723435225615</v>
      </c>
      <c r="C597" s="2">
        <f t="shared" ca="1" si="145"/>
        <v>736.44723435225615</v>
      </c>
      <c r="D597" s="2">
        <f t="shared" ca="1" si="146"/>
        <v>736.44723435225615</v>
      </c>
      <c r="E597" s="2">
        <f t="shared" ca="1" si="146"/>
        <v>736.44723435225615</v>
      </c>
      <c r="F597" s="2">
        <f t="shared" ca="1" si="146"/>
        <v>736.44723435225615</v>
      </c>
      <c r="G597" s="2">
        <f t="shared" ca="1" si="146"/>
        <v>736.44723435225615</v>
      </c>
      <c r="H597">
        <v>0</v>
      </c>
      <c r="I597">
        <v>0</v>
      </c>
    </row>
    <row r="598" spans="1:9" x14ac:dyDescent="0.2">
      <c r="A598" t="s">
        <v>286</v>
      </c>
      <c r="B598" s="2">
        <f t="shared" ca="1" si="145"/>
        <v>892.27674706246125</v>
      </c>
      <c r="C598" s="2">
        <f t="shared" ca="1" si="145"/>
        <v>892.27674706246125</v>
      </c>
      <c r="D598" s="2">
        <f t="shared" ca="1" si="146"/>
        <v>892.27674706246125</v>
      </c>
      <c r="E598" s="2">
        <f t="shared" ca="1" si="146"/>
        <v>892.27674706246125</v>
      </c>
      <c r="F598" s="2">
        <f t="shared" ca="1" si="146"/>
        <v>892.27674706246125</v>
      </c>
      <c r="G598" s="2">
        <f t="shared" ca="1" si="146"/>
        <v>892.27674706246125</v>
      </c>
      <c r="H598">
        <v>0</v>
      </c>
      <c r="I598">
        <v>0</v>
      </c>
    </row>
    <row r="599" spans="1:9" x14ac:dyDescent="0.2">
      <c r="A599" t="s">
        <v>287</v>
      </c>
      <c r="B599" s="2">
        <f t="shared" ca="1" si="145"/>
        <v>1135.0411255411252</v>
      </c>
      <c r="C599" s="2">
        <f t="shared" ca="1" si="145"/>
        <v>1135.0411255411252</v>
      </c>
      <c r="D599" s="2">
        <f t="shared" ca="1" si="146"/>
        <v>1135.0411255411252</v>
      </c>
      <c r="E599" s="2">
        <f t="shared" ca="1" si="146"/>
        <v>1135.0411255411252</v>
      </c>
      <c r="F599" s="2">
        <f t="shared" ca="1" si="146"/>
        <v>1135.0411255411252</v>
      </c>
      <c r="G599" s="2">
        <f t="shared" ca="1" si="146"/>
        <v>1135.0411255411252</v>
      </c>
      <c r="H599">
        <v>0</v>
      </c>
      <c r="I599">
        <v>0</v>
      </c>
    </row>
    <row r="600" spans="1:9" x14ac:dyDescent="0.2">
      <c r="A600" t="s">
        <v>617</v>
      </c>
      <c r="B600" s="2">
        <f t="shared" ca="1" si="145"/>
        <v>355.65577100646345</v>
      </c>
      <c r="C600" s="2">
        <f t="shared" ca="1" si="145"/>
        <v>355.65577100646345</v>
      </c>
      <c r="D600" s="2">
        <f t="shared" ref="D600:G600" ca="1" si="147">SUM($B248:$G248) / D563</f>
        <v>355.65577100646345</v>
      </c>
      <c r="E600" s="2">
        <f t="shared" ca="1" si="147"/>
        <v>355.65577100646345</v>
      </c>
      <c r="F600" s="2">
        <f t="shared" ca="1" si="147"/>
        <v>355.65577100646345</v>
      </c>
      <c r="G600" s="2">
        <f t="shared" ca="1" si="147"/>
        <v>355.65577100646345</v>
      </c>
      <c r="H600">
        <v>0</v>
      </c>
      <c r="I600">
        <v>0</v>
      </c>
    </row>
    <row r="601" spans="1:9" x14ac:dyDescent="0.2">
      <c r="A601" t="s">
        <v>289</v>
      </c>
      <c r="B601" s="2">
        <f t="shared" ca="1" si="145"/>
        <v>685.67733674775923</v>
      </c>
      <c r="C601" s="2">
        <f t="shared" ca="1" si="145"/>
        <v>685.67733674775923</v>
      </c>
      <c r="D601" s="2">
        <f t="shared" ref="D601:G602" ca="1" si="148">SUM($B249:$G249) / D564</f>
        <v>685.67733674775923</v>
      </c>
      <c r="E601" s="2">
        <f t="shared" ca="1" si="148"/>
        <v>685.67733674775923</v>
      </c>
      <c r="F601" s="2">
        <f t="shared" ca="1" si="148"/>
        <v>685.67733674775923</v>
      </c>
      <c r="G601" s="2">
        <f t="shared" ca="1" si="148"/>
        <v>685.67733674775923</v>
      </c>
      <c r="H601">
        <v>0</v>
      </c>
      <c r="I601">
        <v>0</v>
      </c>
    </row>
    <row r="602" spans="1:9" x14ac:dyDescent="0.2">
      <c r="A602" t="s">
        <v>298</v>
      </c>
      <c r="B602" s="2">
        <f t="shared" ca="1" si="145"/>
        <v>895.66318638824441</v>
      </c>
      <c r="C602" s="2">
        <f t="shared" ca="1" si="145"/>
        <v>895.66318638824441</v>
      </c>
      <c r="D602" s="2">
        <f t="shared" ca="1" si="148"/>
        <v>895.66318638824441</v>
      </c>
      <c r="E602" s="2">
        <f t="shared" ca="1" si="148"/>
        <v>895.66318638824441</v>
      </c>
      <c r="F602" s="2">
        <f t="shared" ca="1" si="148"/>
        <v>895.66318638824441</v>
      </c>
      <c r="G602" s="2">
        <f t="shared" ca="1" si="148"/>
        <v>895.66318638824441</v>
      </c>
      <c r="H602">
        <v>0</v>
      </c>
      <c r="I602">
        <v>0</v>
      </c>
    </row>
    <row r="603" spans="1:9" x14ac:dyDescent="0.2">
      <c r="A603" t="s">
        <v>288</v>
      </c>
      <c r="B603" s="2">
        <f t="shared" ca="1" si="145"/>
        <v>663.54352126607318</v>
      </c>
      <c r="C603" s="2">
        <f t="shared" ca="1" si="145"/>
        <v>663.54352126607318</v>
      </c>
      <c r="D603" s="2">
        <f t="shared" ref="D603:G603" ca="1" si="149">SUM($B251:$G251) / D566</f>
        <v>663.54352126607318</v>
      </c>
      <c r="E603" s="2">
        <f t="shared" ca="1" si="149"/>
        <v>663.54352126607318</v>
      </c>
      <c r="F603" s="2">
        <f t="shared" ca="1" si="149"/>
        <v>663.54352126607318</v>
      </c>
      <c r="G603" s="2">
        <f t="shared" ca="1" si="149"/>
        <v>663.54352126607318</v>
      </c>
      <c r="H603">
        <v>0</v>
      </c>
      <c r="I603">
        <v>0</v>
      </c>
    </row>
    <row r="604" spans="1:9" x14ac:dyDescent="0.2">
      <c r="A604" t="s">
        <v>299</v>
      </c>
      <c r="B604" s="2">
        <f t="shared" ca="1" si="145"/>
        <v>784.18010752688167</v>
      </c>
      <c r="C604" s="2">
        <f t="shared" ca="1" si="145"/>
        <v>784.18010752688167</v>
      </c>
      <c r="D604" s="2">
        <f t="shared" ref="D604:G604" ca="1" si="150">SUM($B252:$G252) / D567</f>
        <v>784.18010752688167</v>
      </c>
      <c r="E604" s="2">
        <f t="shared" ca="1" si="150"/>
        <v>784.18010752688167</v>
      </c>
      <c r="F604" s="2">
        <f t="shared" ca="1" si="150"/>
        <v>784.18010752688167</v>
      </c>
      <c r="G604" s="2">
        <f t="shared" ca="1" si="150"/>
        <v>784.18010752688167</v>
      </c>
      <c r="H604">
        <v>0</v>
      </c>
      <c r="I604">
        <v>0</v>
      </c>
    </row>
    <row r="606" spans="1:9" x14ac:dyDescent="0.2">
      <c r="A606" t="s">
        <v>575</v>
      </c>
    </row>
    <row r="608" spans="1:9" x14ac:dyDescent="0.2">
      <c r="A608" s="8" t="s">
        <v>305</v>
      </c>
      <c r="B608" s="8" t="s">
        <v>278</v>
      </c>
      <c r="C608" s="8" t="s">
        <v>290</v>
      </c>
      <c r="D608" s="14" t="s">
        <v>291</v>
      </c>
      <c r="E608" s="14" t="s">
        <v>292</v>
      </c>
      <c r="F608" s="14" t="s">
        <v>293</v>
      </c>
      <c r="G608" s="14" t="s">
        <v>294</v>
      </c>
      <c r="H608" s="77" t="s">
        <v>644</v>
      </c>
      <c r="I608" s="77" t="s">
        <v>645</v>
      </c>
    </row>
    <row r="609" spans="1:9" x14ac:dyDescent="0.2">
      <c r="A609" t="s">
        <v>279</v>
      </c>
      <c r="B609" s="2">
        <f t="shared" ref="B609:C622" ca="1" si="151">SUM($B257:$G257) / B572</f>
        <v>453.33016304347825</v>
      </c>
      <c r="C609" s="2">
        <f t="shared" ca="1" si="151"/>
        <v>453.33016304347825</v>
      </c>
      <c r="D609" s="2">
        <f t="shared" ref="D609:G617" ca="1" si="152">SUM($B257:$G257) / D572</f>
        <v>453.33016304347825</v>
      </c>
      <c r="E609" s="2">
        <f t="shared" ca="1" si="152"/>
        <v>453.33016304347825</v>
      </c>
      <c r="F609" s="2">
        <f t="shared" ca="1" si="152"/>
        <v>453.33016304347825</v>
      </c>
      <c r="G609" s="2">
        <f t="shared" ca="1" si="152"/>
        <v>453.33016304347825</v>
      </c>
      <c r="H609">
        <v>0</v>
      </c>
      <c r="I609">
        <v>0</v>
      </c>
    </row>
    <row r="610" spans="1:9" x14ac:dyDescent="0.2">
      <c r="A610" t="s">
        <v>280</v>
      </c>
      <c r="B610" s="2">
        <f t="shared" ca="1" si="151"/>
        <v>594.62871287128712</v>
      </c>
      <c r="C610" s="2">
        <f t="shared" ca="1" si="151"/>
        <v>594.62871287128712</v>
      </c>
      <c r="D610" s="2">
        <f t="shared" ca="1" si="152"/>
        <v>594.62871287128712</v>
      </c>
      <c r="E610" s="2">
        <f t="shared" ca="1" si="152"/>
        <v>594.62871287128712</v>
      </c>
      <c r="F610" s="2">
        <f t="shared" ca="1" si="152"/>
        <v>594.62871287128712</v>
      </c>
      <c r="G610" s="2">
        <f t="shared" ca="1" si="152"/>
        <v>594.62871287128712</v>
      </c>
      <c r="H610">
        <v>0</v>
      </c>
      <c r="I610">
        <v>0</v>
      </c>
    </row>
    <row r="611" spans="1:9" x14ac:dyDescent="0.2">
      <c r="A611" t="s">
        <v>281</v>
      </c>
      <c r="B611" s="2">
        <f t="shared" ca="1" si="151"/>
        <v>703.03384279475972</v>
      </c>
      <c r="C611" s="2">
        <f t="shared" ca="1" si="151"/>
        <v>703.03384279475972</v>
      </c>
      <c r="D611" s="2">
        <f t="shared" ca="1" si="152"/>
        <v>703.03384279475972</v>
      </c>
      <c r="E611" s="2">
        <f t="shared" ca="1" si="152"/>
        <v>703.03384279475972</v>
      </c>
      <c r="F611" s="2">
        <f t="shared" ca="1" si="152"/>
        <v>703.03384279475972</v>
      </c>
      <c r="G611" s="2">
        <f t="shared" ca="1" si="152"/>
        <v>703.03384279475972</v>
      </c>
      <c r="H611">
        <v>0</v>
      </c>
      <c r="I611">
        <v>0</v>
      </c>
    </row>
    <row r="612" spans="1:9" x14ac:dyDescent="0.2">
      <c r="A612" t="s">
        <v>282</v>
      </c>
      <c r="B612" s="2">
        <f t="shared" ca="1" si="151"/>
        <v>794.96849234393392</v>
      </c>
      <c r="C612" s="2">
        <f t="shared" ca="1" si="151"/>
        <v>794.96849234393392</v>
      </c>
      <c r="D612" s="2">
        <f t="shared" ca="1" si="152"/>
        <v>794.96849234393392</v>
      </c>
      <c r="E612" s="2">
        <f t="shared" ca="1" si="152"/>
        <v>794.96849234393392</v>
      </c>
      <c r="F612" s="2">
        <f t="shared" ca="1" si="152"/>
        <v>794.96849234393392</v>
      </c>
      <c r="G612" s="2">
        <f t="shared" ca="1" si="152"/>
        <v>794.96849234393392</v>
      </c>
      <c r="H612">
        <v>0</v>
      </c>
      <c r="I612">
        <v>0</v>
      </c>
    </row>
    <row r="613" spans="1:9" x14ac:dyDescent="0.2">
      <c r="A613" t="s">
        <v>283</v>
      </c>
      <c r="B613" s="2">
        <f t="shared" ca="1" si="151"/>
        <v>823.59600938967151</v>
      </c>
      <c r="C613" s="2">
        <f t="shared" ca="1" si="151"/>
        <v>823.59600938967151</v>
      </c>
      <c r="D613" s="2">
        <f t="shared" ca="1" si="152"/>
        <v>823.59600938967151</v>
      </c>
      <c r="E613" s="2">
        <f t="shared" ca="1" si="152"/>
        <v>823.59600938967151</v>
      </c>
      <c r="F613" s="2">
        <f t="shared" ca="1" si="152"/>
        <v>823.59600938967151</v>
      </c>
      <c r="G613" s="2">
        <f t="shared" ca="1" si="152"/>
        <v>823.59600938967151</v>
      </c>
      <c r="H613">
        <v>0</v>
      </c>
      <c r="I613">
        <v>0</v>
      </c>
    </row>
    <row r="614" spans="1:9" x14ac:dyDescent="0.2">
      <c r="A614" t="s">
        <v>284</v>
      </c>
      <c r="B614" s="2">
        <f t="shared" ca="1" si="151"/>
        <v>540.80687203791467</v>
      </c>
      <c r="C614" s="2">
        <f t="shared" ca="1" si="151"/>
        <v>540.80687203791467</v>
      </c>
      <c r="D614" s="2">
        <f t="shared" ca="1" si="152"/>
        <v>540.80687203791467</v>
      </c>
      <c r="E614" s="2">
        <f t="shared" ca="1" si="152"/>
        <v>540.80687203791467</v>
      </c>
      <c r="F614" s="2">
        <f t="shared" ca="1" si="152"/>
        <v>540.80687203791467</v>
      </c>
      <c r="G614" s="2">
        <f t="shared" ca="1" si="152"/>
        <v>540.80687203791467</v>
      </c>
      <c r="H614">
        <v>0</v>
      </c>
      <c r="I614">
        <v>0</v>
      </c>
    </row>
    <row r="615" spans="1:9" x14ac:dyDescent="0.2">
      <c r="A615" t="s">
        <v>285</v>
      </c>
      <c r="B615" s="2">
        <f t="shared" ca="1" si="151"/>
        <v>692.42206477732793</v>
      </c>
      <c r="C615" s="2">
        <f t="shared" ca="1" si="151"/>
        <v>692.42206477732793</v>
      </c>
      <c r="D615" s="2">
        <f t="shared" ca="1" si="152"/>
        <v>692.42206477732793</v>
      </c>
      <c r="E615" s="2">
        <f t="shared" ca="1" si="152"/>
        <v>692.42206477732793</v>
      </c>
      <c r="F615" s="2">
        <f t="shared" ca="1" si="152"/>
        <v>692.42206477732793</v>
      </c>
      <c r="G615" s="2">
        <f t="shared" ca="1" si="152"/>
        <v>692.42206477732793</v>
      </c>
      <c r="H615">
        <v>0</v>
      </c>
      <c r="I615">
        <v>0</v>
      </c>
    </row>
    <row r="616" spans="1:9" x14ac:dyDescent="0.2">
      <c r="A616" t="s">
        <v>286</v>
      </c>
      <c r="B616" s="2">
        <f t="shared" ca="1" si="151"/>
        <v>814.14534883720933</v>
      </c>
      <c r="C616" s="2">
        <f t="shared" ca="1" si="151"/>
        <v>814.14534883720933</v>
      </c>
      <c r="D616" s="2">
        <f t="shared" ca="1" si="152"/>
        <v>814.14534883720933</v>
      </c>
      <c r="E616" s="2">
        <f t="shared" ca="1" si="152"/>
        <v>814.14534883720933</v>
      </c>
      <c r="F616" s="2">
        <f t="shared" ca="1" si="152"/>
        <v>814.14534883720933</v>
      </c>
      <c r="G616" s="2">
        <f t="shared" ca="1" si="152"/>
        <v>814.14534883720933</v>
      </c>
      <c r="H616">
        <v>0</v>
      </c>
      <c r="I616">
        <v>0</v>
      </c>
    </row>
    <row r="617" spans="1:9" x14ac:dyDescent="0.2">
      <c r="A617" t="s">
        <v>287</v>
      </c>
      <c r="B617" s="2">
        <f t="shared" ca="1" si="151"/>
        <v>1038.1780177187154</v>
      </c>
      <c r="C617" s="2">
        <f t="shared" ca="1" si="151"/>
        <v>1038.1780177187154</v>
      </c>
      <c r="D617" s="2">
        <f t="shared" ca="1" si="152"/>
        <v>1038.1780177187154</v>
      </c>
      <c r="E617" s="2">
        <f t="shared" ca="1" si="152"/>
        <v>1038.1780177187154</v>
      </c>
      <c r="F617" s="2">
        <f t="shared" ca="1" si="152"/>
        <v>1038.1780177187154</v>
      </c>
      <c r="G617" s="2">
        <f t="shared" ca="1" si="152"/>
        <v>1038.1780177187154</v>
      </c>
      <c r="H617">
        <v>0</v>
      </c>
      <c r="I617">
        <v>0</v>
      </c>
    </row>
    <row r="618" spans="1:9" x14ac:dyDescent="0.2">
      <c r="A618" t="s">
        <v>617</v>
      </c>
      <c r="B618" s="2">
        <f t="shared" ca="1" si="151"/>
        <v>329.52164948453611</v>
      </c>
      <c r="C618" s="2">
        <f t="shared" ca="1" si="151"/>
        <v>329.52164948453611</v>
      </c>
      <c r="D618" s="2">
        <f t="shared" ref="D618:G618" ca="1" si="153">SUM($B266:$G266) / D581</f>
        <v>329.52164948453611</v>
      </c>
      <c r="E618" s="2">
        <f t="shared" ca="1" si="153"/>
        <v>329.52164948453611</v>
      </c>
      <c r="F618" s="2">
        <f t="shared" ca="1" si="153"/>
        <v>329.52164948453611</v>
      </c>
      <c r="G618" s="2">
        <f t="shared" ca="1" si="153"/>
        <v>329.52164948453611</v>
      </c>
      <c r="H618">
        <v>0</v>
      </c>
      <c r="I618">
        <v>0</v>
      </c>
    </row>
    <row r="619" spans="1:9" x14ac:dyDescent="0.2">
      <c r="A619" t="s">
        <v>289</v>
      </c>
      <c r="B619" s="2">
        <f t="shared" ca="1" si="151"/>
        <v>669.27186468646869</v>
      </c>
      <c r="C619" s="2">
        <f t="shared" ca="1" si="151"/>
        <v>669.27186468646869</v>
      </c>
      <c r="D619" s="2">
        <f t="shared" ref="D619:G620" ca="1" si="154">SUM($B267:$G267) / D582</f>
        <v>669.27186468646869</v>
      </c>
      <c r="E619" s="2">
        <f t="shared" ca="1" si="154"/>
        <v>669.27186468646869</v>
      </c>
      <c r="F619" s="2">
        <f t="shared" ca="1" si="154"/>
        <v>669.27186468646869</v>
      </c>
      <c r="G619" s="2">
        <f t="shared" ca="1" si="154"/>
        <v>669.27186468646869</v>
      </c>
      <c r="H619">
        <v>0</v>
      </c>
      <c r="I619">
        <v>0</v>
      </c>
    </row>
    <row r="620" spans="1:9" x14ac:dyDescent="0.2">
      <c r="A620" t="s">
        <v>298</v>
      </c>
      <c r="B620" s="2">
        <f t="shared" ca="1" si="151"/>
        <v>856.60662299854425</v>
      </c>
      <c r="C620" s="2">
        <f t="shared" ca="1" si="151"/>
        <v>856.60662299854425</v>
      </c>
      <c r="D620" s="2">
        <f t="shared" ca="1" si="154"/>
        <v>856.60662299854425</v>
      </c>
      <c r="E620" s="2">
        <f t="shared" ca="1" si="154"/>
        <v>856.60662299854425</v>
      </c>
      <c r="F620" s="2">
        <f t="shared" ca="1" si="154"/>
        <v>856.60662299854425</v>
      </c>
      <c r="G620" s="2">
        <f t="shared" ca="1" si="154"/>
        <v>856.60662299854425</v>
      </c>
      <c r="H620">
        <v>0</v>
      </c>
      <c r="I620">
        <v>0</v>
      </c>
    </row>
    <row r="621" spans="1:9" x14ac:dyDescent="0.2">
      <c r="A621" t="s">
        <v>288</v>
      </c>
      <c r="B621" s="2">
        <f t="shared" ca="1" si="151"/>
        <v>582.34207161125312</v>
      </c>
      <c r="C621" s="2">
        <f t="shared" ca="1" si="151"/>
        <v>582.34207161125312</v>
      </c>
      <c r="D621" s="2">
        <f t="shared" ref="D621:G621" ca="1" si="155">SUM($B269:$G269) / D584</f>
        <v>582.34207161125312</v>
      </c>
      <c r="E621" s="2">
        <f t="shared" ca="1" si="155"/>
        <v>582.34207161125312</v>
      </c>
      <c r="F621" s="2">
        <f t="shared" ca="1" si="155"/>
        <v>582.34207161125312</v>
      </c>
      <c r="G621" s="2">
        <f t="shared" ca="1" si="155"/>
        <v>582.34207161125312</v>
      </c>
      <c r="H621">
        <v>0</v>
      </c>
      <c r="I621">
        <v>0</v>
      </c>
    </row>
    <row r="622" spans="1:9" x14ac:dyDescent="0.2">
      <c r="A622" t="s">
        <v>299</v>
      </c>
      <c r="B622" s="2">
        <f t="shared" ca="1" si="151"/>
        <v>697.9645539906104</v>
      </c>
      <c r="C622" s="2">
        <f t="shared" ca="1" si="151"/>
        <v>697.9645539906104</v>
      </c>
      <c r="D622" s="2">
        <f t="shared" ref="D622:G622" ca="1" si="156">SUM($B270:$G270) / D585</f>
        <v>697.9645539906104</v>
      </c>
      <c r="E622" s="2">
        <f t="shared" ca="1" si="156"/>
        <v>697.9645539906104</v>
      </c>
      <c r="F622" s="2">
        <f t="shared" ca="1" si="156"/>
        <v>697.9645539906104</v>
      </c>
      <c r="G622" s="2">
        <f t="shared" ca="1" si="156"/>
        <v>697.9645539906104</v>
      </c>
      <c r="H622">
        <v>0</v>
      </c>
      <c r="I622">
        <v>0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2">
    <tabColor indexed="46"/>
  </sheetPr>
  <dimension ref="A1:BA429"/>
  <sheetViews>
    <sheetView tabSelected="1" zoomScale="93" zoomScaleNormal="93" workbookViewId="0">
      <pane ySplit="525" topLeftCell="A91" activePane="bottomLeft"/>
      <selection activeCell="AM31" sqref="AM31"/>
      <selection pane="bottomLeft" activeCell="A117" sqref="A117:XFD117"/>
    </sheetView>
  </sheetViews>
  <sheetFormatPr defaultRowHeight="12.75" x14ac:dyDescent="0.2"/>
  <cols>
    <col min="1" max="1" width="23.42578125" customWidth="1"/>
    <col min="2" max="2" width="5" customWidth="1"/>
    <col min="3" max="3" width="3.5703125" customWidth="1"/>
    <col min="4" max="4" width="3.28515625" customWidth="1"/>
    <col min="5" max="5" width="2.42578125" customWidth="1"/>
    <col min="6" max="12" width="4.7109375" customWidth="1"/>
    <col min="13" max="21" width="2.7109375" customWidth="1"/>
    <col min="22" max="22" width="6.28515625" customWidth="1"/>
    <col min="23" max="28" width="3.7109375" customWidth="1"/>
    <col min="29" max="30" width="4.7109375" style="21" customWidth="1"/>
    <col min="31" max="31" width="4.7109375" customWidth="1"/>
    <col min="32" max="32" width="9.7109375" customWidth="1"/>
    <col min="33" max="33" width="6.7109375" style="21" customWidth="1"/>
    <col min="34" max="34" width="4.7109375" style="21" customWidth="1"/>
    <col min="35" max="35" width="5.7109375" style="31" customWidth="1"/>
    <col min="36" max="36" width="8.28515625" style="53" customWidth="1"/>
    <col min="37" max="37" width="4.7109375" style="21" customWidth="1"/>
    <col min="38" max="38" width="6.28515625" style="31" customWidth="1"/>
    <col min="39" max="39" width="6.7109375" style="53" customWidth="1"/>
    <col min="40" max="42" width="8.140625" style="31" customWidth="1"/>
    <col min="43" max="43" width="8.42578125" style="31" customWidth="1"/>
    <col min="44" max="44" width="7.28515625" style="31" customWidth="1"/>
    <col min="45" max="45" width="9.140625" style="31"/>
    <col min="46" max="47" width="4.7109375" customWidth="1"/>
    <col min="48" max="51" width="5.7109375" customWidth="1"/>
    <col min="52" max="52" width="6.140625" customWidth="1"/>
    <col min="53" max="53" width="6" customWidth="1"/>
  </cols>
  <sheetData>
    <row r="1" spans="1:53" ht="15" customHeight="1" x14ac:dyDescent="0.2">
      <c r="B1" t="s">
        <v>26</v>
      </c>
      <c r="C1" t="s">
        <v>645</v>
      </c>
      <c r="D1" t="s">
        <v>676</v>
      </c>
      <c r="E1" t="s">
        <v>273</v>
      </c>
      <c r="F1" t="s">
        <v>3</v>
      </c>
      <c r="G1" t="s">
        <v>4</v>
      </c>
      <c r="H1" t="s">
        <v>5</v>
      </c>
      <c r="I1" t="s">
        <v>33</v>
      </c>
      <c r="J1" t="s">
        <v>120</v>
      </c>
      <c r="K1" t="s">
        <v>121</v>
      </c>
      <c r="L1" t="s">
        <v>122</v>
      </c>
      <c r="M1" t="s">
        <v>10</v>
      </c>
      <c r="N1" t="s">
        <v>9</v>
      </c>
      <c r="O1" t="s">
        <v>183</v>
      </c>
      <c r="P1" t="s">
        <v>12</v>
      </c>
      <c r="Q1" t="s">
        <v>84</v>
      </c>
      <c r="R1" t="s">
        <v>177</v>
      </c>
      <c r="S1" t="s">
        <v>265</v>
      </c>
      <c r="T1" t="s">
        <v>132</v>
      </c>
      <c r="U1" t="s">
        <v>266</v>
      </c>
      <c r="V1" t="s">
        <v>11</v>
      </c>
      <c r="W1" t="s">
        <v>78</v>
      </c>
      <c r="X1" t="s">
        <v>77</v>
      </c>
      <c r="Y1" t="s">
        <v>13</v>
      </c>
      <c r="Z1" t="s">
        <v>76</v>
      </c>
      <c r="AA1" t="s">
        <v>131</v>
      </c>
      <c r="AB1" t="s">
        <v>91</v>
      </c>
      <c r="AC1" s="21" t="s">
        <v>250</v>
      </c>
      <c r="AD1" s="21" t="s">
        <v>251</v>
      </c>
      <c r="AE1" t="s">
        <v>175</v>
      </c>
      <c r="AF1" t="s">
        <v>725</v>
      </c>
      <c r="AG1" s="21" t="s">
        <v>651</v>
      </c>
      <c r="AH1" s="21" t="s">
        <v>272</v>
      </c>
      <c r="AI1" s="31" t="s">
        <v>390</v>
      </c>
      <c r="AJ1" s="53" t="s">
        <v>392</v>
      </c>
      <c r="AK1" s="21" t="s">
        <v>315</v>
      </c>
      <c r="AL1" s="31" t="s">
        <v>274</v>
      </c>
      <c r="AM1" s="64" t="s">
        <v>595</v>
      </c>
      <c r="AN1" s="31" t="s">
        <v>275</v>
      </c>
      <c r="AO1" s="31" t="s">
        <v>515</v>
      </c>
      <c r="AP1" s="31" t="s">
        <v>516</v>
      </c>
      <c r="AQ1" s="31" t="s">
        <v>312</v>
      </c>
      <c r="AR1" s="31" t="s">
        <v>549</v>
      </c>
      <c r="AS1" s="31" t="s">
        <v>550</v>
      </c>
      <c r="AT1" t="s">
        <v>39</v>
      </c>
      <c r="AU1" t="s">
        <v>40</v>
      </c>
      <c r="AV1" t="s">
        <v>232</v>
      </c>
      <c r="AW1" t="s">
        <v>233</v>
      </c>
      <c r="AX1" t="s">
        <v>234</v>
      </c>
      <c r="AY1" t="s">
        <v>229</v>
      </c>
      <c r="AZ1" t="s">
        <v>230</v>
      </c>
      <c r="BA1" t="s">
        <v>231</v>
      </c>
    </row>
    <row r="4" spans="1:53" x14ac:dyDescent="0.2">
      <c r="A4" t="s">
        <v>38</v>
      </c>
      <c r="B4" t="s">
        <v>26</v>
      </c>
      <c r="C4" t="s">
        <v>645</v>
      </c>
      <c r="D4" t="s">
        <v>676</v>
      </c>
      <c r="E4" t="s">
        <v>273</v>
      </c>
      <c r="F4" t="s">
        <v>3</v>
      </c>
      <c r="G4" t="s">
        <v>4</v>
      </c>
      <c r="H4" t="s">
        <v>5</v>
      </c>
      <c r="I4" t="s">
        <v>33</v>
      </c>
      <c r="J4" t="s">
        <v>120</v>
      </c>
      <c r="K4" t="s">
        <v>121</v>
      </c>
      <c r="L4" t="s">
        <v>122</v>
      </c>
      <c r="M4" t="s">
        <v>10</v>
      </c>
      <c r="N4" t="s">
        <v>9</v>
      </c>
      <c r="O4" t="s">
        <v>183</v>
      </c>
      <c r="P4" t="s">
        <v>12</v>
      </c>
      <c r="Q4" t="s">
        <v>84</v>
      </c>
      <c r="R4" t="s">
        <v>177</v>
      </c>
      <c r="S4" t="s">
        <v>265</v>
      </c>
      <c r="T4" t="s">
        <v>132</v>
      </c>
      <c r="U4" t="s">
        <v>266</v>
      </c>
      <c r="V4" t="s">
        <v>11</v>
      </c>
      <c r="W4" t="s">
        <v>78</v>
      </c>
      <c r="X4" t="s">
        <v>77</v>
      </c>
      <c r="Y4" t="s">
        <v>13</v>
      </c>
      <c r="Z4" t="s">
        <v>76</v>
      </c>
      <c r="AA4" t="s">
        <v>131</v>
      </c>
      <c r="AB4" t="s">
        <v>91</v>
      </c>
      <c r="AC4" s="21" t="s">
        <v>250</v>
      </c>
      <c r="AD4" s="21" t="s">
        <v>251</v>
      </c>
      <c r="AE4" t="s">
        <v>175</v>
      </c>
      <c r="AF4" t="s">
        <v>725</v>
      </c>
      <c r="AG4" s="21" t="s">
        <v>651</v>
      </c>
      <c r="AH4" s="21" t="s">
        <v>272</v>
      </c>
      <c r="AI4" s="31" t="s">
        <v>390</v>
      </c>
      <c r="AJ4" s="53" t="s">
        <v>392</v>
      </c>
      <c r="AK4" s="21" t="s">
        <v>315</v>
      </c>
      <c r="AL4" s="31" t="s">
        <v>274</v>
      </c>
      <c r="AM4" s="64" t="s">
        <v>595</v>
      </c>
      <c r="AN4" s="31" t="s">
        <v>275</v>
      </c>
      <c r="AO4" s="31" t="s">
        <v>515</v>
      </c>
      <c r="AP4" s="31" t="s">
        <v>516</v>
      </c>
      <c r="AQ4" s="31" t="s">
        <v>312</v>
      </c>
      <c r="AR4" s="31" t="s">
        <v>549</v>
      </c>
      <c r="AS4" s="31" t="s">
        <v>550</v>
      </c>
      <c r="AT4" t="s">
        <v>39</v>
      </c>
      <c r="AU4" t="s">
        <v>40</v>
      </c>
      <c r="AV4" t="s">
        <v>232</v>
      </c>
      <c r="AW4" t="s">
        <v>233</v>
      </c>
      <c r="AX4" t="s">
        <v>234</v>
      </c>
      <c r="AY4" t="s">
        <v>229</v>
      </c>
      <c r="AZ4" t="s">
        <v>230</v>
      </c>
      <c r="BA4" t="s">
        <v>231</v>
      </c>
    </row>
    <row r="5" spans="1:53" x14ac:dyDescent="0.2">
      <c r="A5" s="19" t="s">
        <v>611</v>
      </c>
      <c r="J5">
        <v>12</v>
      </c>
      <c r="K5">
        <v>12</v>
      </c>
      <c r="P5" s="1"/>
      <c r="Q5" s="1"/>
      <c r="R5" s="1"/>
      <c r="S5" s="1"/>
      <c r="T5" s="1"/>
      <c r="U5" s="1"/>
      <c r="V5" s="21"/>
      <c r="W5" s="1"/>
      <c r="X5" s="1"/>
      <c r="Z5" s="1"/>
      <c r="AA5" s="21"/>
      <c r="AB5" s="1"/>
      <c r="AE5" s="1"/>
      <c r="AF5" s="21">
        <v>180</v>
      </c>
      <c r="AH5" s="21">
        <v>25</v>
      </c>
      <c r="AK5" s="1"/>
      <c r="AM5" s="53">
        <v>195</v>
      </c>
      <c r="AT5">
        <v>157</v>
      </c>
      <c r="AU5">
        <v>366</v>
      </c>
    </row>
    <row r="6" spans="1:53" x14ac:dyDescent="0.2">
      <c r="A6" s="19" t="s">
        <v>612</v>
      </c>
      <c r="J6">
        <v>13</v>
      </c>
      <c r="K6">
        <v>13</v>
      </c>
      <c r="P6" s="1"/>
      <c r="Q6" s="1"/>
      <c r="R6" s="1"/>
      <c r="S6" s="1"/>
      <c r="T6" s="1"/>
      <c r="U6" s="1"/>
      <c r="V6" s="21"/>
      <c r="W6" s="1"/>
      <c r="X6" s="1"/>
      <c r="Z6" s="1"/>
      <c r="AA6" s="21"/>
      <c r="AB6" s="1"/>
      <c r="AE6" s="1"/>
      <c r="AF6" s="21">
        <v>191</v>
      </c>
      <c r="AH6" s="21">
        <v>26</v>
      </c>
      <c r="AK6" s="1"/>
      <c r="AM6" s="53">
        <v>205</v>
      </c>
      <c r="AT6">
        <v>158</v>
      </c>
      <c r="AU6">
        <v>356</v>
      </c>
    </row>
    <row r="7" spans="1:53" x14ac:dyDescent="0.2">
      <c r="A7" s="19" t="s">
        <v>693</v>
      </c>
      <c r="J7">
        <v>12</v>
      </c>
      <c r="K7">
        <v>12</v>
      </c>
      <c r="P7" s="1"/>
      <c r="Q7" s="1"/>
      <c r="R7" s="1"/>
      <c r="S7" s="1"/>
      <c r="T7" s="1"/>
      <c r="U7" s="1"/>
      <c r="V7" s="21"/>
      <c r="W7" s="1"/>
      <c r="X7" s="1"/>
      <c r="Z7" s="1"/>
      <c r="AA7" s="21"/>
      <c r="AB7" s="1"/>
      <c r="AE7" s="1"/>
      <c r="AF7" s="21">
        <v>177</v>
      </c>
      <c r="AH7" s="21">
        <v>22</v>
      </c>
      <c r="AK7" s="1"/>
      <c r="AM7" s="53">
        <v>173</v>
      </c>
      <c r="AT7">
        <v>195</v>
      </c>
      <c r="AU7">
        <v>402</v>
      </c>
    </row>
    <row r="8" spans="1:53" x14ac:dyDescent="0.2">
      <c r="A8" s="19" t="s">
        <v>700</v>
      </c>
      <c r="J8">
        <v>8</v>
      </c>
      <c r="K8">
        <v>8</v>
      </c>
      <c r="P8" s="1"/>
      <c r="Q8" s="1"/>
      <c r="R8" s="1"/>
      <c r="S8" s="1"/>
      <c r="T8" s="1"/>
      <c r="U8" s="1"/>
      <c r="V8" s="21"/>
      <c r="W8" s="1"/>
      <c r="X8" s="1"/>
      <c r="Z8" s="1"/>
      <c r="AA8" s="21"/>
      <c r="AB8" s="1"/>
      <c r="AE8" s="1"/>
      <c r="AF8" s="21">
        <v>102</v>
      </c>
      <c r="AH8" s="21">
        <v>14</v>
      </c>
      <c r="AK8" s="1"/>
      <c r="AM8" s="53">
        <v>108</v>
      </c>
      <c r="AT8">
        <v>161</v>
      </c>
      <c r="AU8">
        <v>402</v>
      </c>
    </row>
    <row r="9" spans="1:53" x14ac:dyDescent="0.2">
      <c r="A9" s="19" t="s">
        <v>724</v>
      </c>
      <c r="J9">
        <v>6</v>
      </c>
      <c r="K9">
        <v>20</v>
      </c>
      <c r="P9" s="1"/>
      <c r="Q9" s="1"/>
      <c r="R9" s="1"/>
      <c r="S9" s="1"/>
      <c r="T9" s="1"/>
      <c r="U9" s="1"/>
      <c r="V9" s="21"/>
      <c r="W9" s="1"/>
      <c r="X9" s="1"/>
      <c r="Z9" s="1"/>
      <c r="AA9" s="21"/>
      <c r="AB9" s="1"/>
      <c r="AE9" s="1"/>
      <c r="AF9" s="21"/>
      <c r="AG9" s="21">
        <v>13</v>
      </c>
      <c r="AH9" s="21">
        <v>16</v>
      </c>
      <c r="AK9" s="1"/>
    </row>
    <row r="10" spans="1:53" x14ac:dyDescent="0.2">
      <c r="A10" s="19" t="s">
        <v>701</v>
      </c>
      <c r="J10">
        <v>8</v>
      </c>
      <c r="K10">
        <v>8</v>
      </c>
      <c r="P10" s="1"/>
      <c r="Q10" s="1"/>
      <c r="R10" s="1"/>
      <c r="S10" s="1"/>
      <c r="T10" s="1"/>
      <c r="U10" s="1"/>
      <c r="V10" s="21"/>
      <c r="W10" s="1"/>
      <c r="X10" s="1"/>
      <c r="Z10" s="1"/>
      <c r="AA10" s="21"/>
      <c r="AB10" s="1"/>
      <c r="AE10" s="1"/>
      <c r="AF10" s="21">
        <v>102</v>
      </c>
      <c r="AH10" s="21">
        <v>14</v>
      </c>
      <c r="AK10" s="1"/>
      <c r="AM10" s="53">
        <v>108</v>
      </c>
      <c r="AT10">
        <v>132</v>
      </c>
      <c r="AU10">
        <v>366</v>
      </c>
    </row>
    <row r="11" spans="1:53" x14ac:dyDescent="0.2">
      <c r="A11" t="s">
        <v>520</v>
      </c>
      <c r="P11" s="1"/>
      <c r="Q11" s="1"/>
      <c r="R11" s="1"/>
      <c r="S11" s="1"/>
      <c r="T11" s="1"/>
      <c r="U11" s="1"/>
      <c r="V11" s="21"/>
      <c r="W11" s="1"/>
      <c r="X11" s="1"/>
      <c r="Z11" s="1"/>
      <c r="AA11" s="21"/>
      <c r="AB11" s="1"/>
      <c r="AE11" s="1"/>
      <c r="AF11" s="21"/>
      <c r="AK11" s="1"/>
      <c r="AO11" s="31">
        <v>0.05</v>
      </c>
      <c r="AT11">
        <v>60</v>
      </c>
      <c r="AU11">
        <v>402</v>
      </c>
    </row>
    <row r="12" spans="1:53" x14ac:dyDescent="0.2">
      <c r="A12" t="s">
        <v>317</v>
      </c>
      <c r="F12">
        <v>5</v>
      </c>
      <c r="G12">
        <v>5</v>
      </c>
      <c r="H12">
        <v>5</v>
      </c>
      <c r="I12">
        <v>5</v>
      </c>
      <c r="J12">
        <v>5</v>
      </c>
      <c r="K12">
        <v>5</v>
      </c>
      <c r="L12">
        <v>5</v>
      </c>
      <c r="P12" s="1"/>
      <c r="Q12" s="1"/>
      <c r="R12" s="1"/>
      <c r="S12" s="1"/>
      <c r="T12" s="1"/>
      <c r="U12" s="1"/>
      <c r="V12" s="21"/>
      <c r="W12" s="1"/>
      <c r="X12" s="1"/>
      <c r="Z12" s="1"/>
      <c r="AA12" s="21"/>
      <c r="AB12" s="1"/>
      <c r="AE12" s="1"/>
      <c r="AF12" s="21"/>
      <c r="AG12" s="21">
        <v>30</v>
      </c>
      <c r="AK12" s="1">
        <v>0.15</v>
      </c>
      <c r="AN12" s="31">
        <v>0.1</v>
      </c>
      <c r="AT12">
        <v>45</v>
      </c>
      <c r="AU12">
        <v>356</v>
      </c>
    </row>
    <row r="13" spans="1:53" x14ac:dyDescent="0.2">
      <c r="A13" s="19" t="s">
        <v>697</v>
      </c>
      <c r="P13" s="1"/>
      <c r="Q13" s="1"/>
      <c r="R13" s="1"/>
      <c r="S13" s="1"/>
      <c r="T13" s="1"/>
      <c r="U13" s="1"/>
      <c r="V13" s="21"/>
      <c r="W13" s="1"/>
      <c r="X13" s="1"/>
      <c r="Z13" s="1"/>
      <c r="AA13" s="21"/>
      <c r="AB13" s="1"/>
      <c r="AE13" s="1"/>
      <c r="AF13" s="21">
        <v>255</v>
      </c>
      <c r="AK13" s="1"/>
      <c r="AM13" s="53">
        <v>248</v>
      </c>
      <c r="AT13">
        <v>202</v>
      </c>
      <c r="AU13">
        <v>390</v>
      </c>
    </row>
    <row r="14" spans="1:53" x14ac:dyDescent="0.2">
      <c r="A14" s="19" t="s">
        <v>623</v>
      </c>
      <c r="J14">
        <v>14</v>
      </c>
      <c r="K14">
        <v>14</v>
      </c>
      <c r="P14" s="1"/>
      <c r="Q14" s="1"/>
      <c r="R14" s="1"/>
      <c r="S14" s="1"/>
      <c r="T14" s="1"/>
      <c r="U14" s="1"/>
      <c r="V14" s="21"/>
      <c r="W14" s="1"/>
      <c r="X14" s="1"/>
      <c r="Z14" s="1"/>
      <c r="AA14" s="21"/>
      <c r="AB14" s="1"/>
      <c r="AE14" s="1"/>
      <c r="AF14" s="21">
        <v>96</v>
      </c>
      <c r="AH14" s="21">
        <v>18</v>
      </c>
      <c r="AK14" s="1"/>
      <c r="AM14" s="53">
        <v>62</v>
      </c>
      <c r="AT14">
        <v>87</v>
      </c>
      <c r="AU14">
        <v>216</v>
      </c>
    </row>
    <row r="15" spans="1:53" x14ac:dyDescent="0.2">
      <c r="A15" s="19" t="s">
        <v>721</v>
      </c>
      <c r="J15">
        <v>12</v>
      </c>
      <c r="K15">
        <v>12</v>
      </c>
      <c r="P15" s="1"/>
      <c r="Q15" s="1"/>
      <c r="R15" s="1"/>
      <c r="S15" s="1"/>
      <c r="T15" s="1"/>
      <c r="U15" s="1"/>
      <c r="V15" s="21"/>
      <c r="W15" s="1"/>
      <c r="X15" s="1"/>
      <c r="Z15" s="1"/>
      <c r="AA15" s="21"/>
      <c r="AB15" s="1"/>
      <c r="AE15" s="1"/>
      <c r="AF15" s="21">
        <v>203</v>
      </c>
      <c r="AH15" s="21">
        <v>25</v>
      </c>
      <c r="AK15" s="1"/>
      <c r="AM15" s="53">
        <v>176</v>
      </c>
      <c r="AT15">
        <v>170</v>
      </c>
      <c r="AU15">
        <v>366</v>
      </c>
    </row>
    <row r="16" spans="1:53" x14ac:dyDescent="0.2">
      <c r="A16" s="19" t="s">
        <v>722</v>
      </c>
      <c r="J16">
        <v>12</v>
      </c>
      <c r="K16">
        <v>12</v>
      </c>
      <c r="P16" s="1"/>
      <c r="Q16" s="1"/>
      <c r="R16" s="1"/>
      <c r="S16" s="1"/>
      <c r="T16" s="1"/>
      <c r="U16" s="1"/>
      <c r="V16" s="21"/>
      <c r="W16" s="1"/>
      <c r="X16" s="1"/>
      <c r="Z16" s="1"/>
      <c r="AA16" s="21"/>
      <c r="AB16" s="1"/>
      <c r="AE16" s="1"/>
      <c r="AF16" s="21">
        <v>203</v>
      </c>
      <c r="AG16" s="21">
        <v>10</v>
      </c>
      <c r="AH16" s="21">
        <v>25</v>
      </c>
      <c r="AK16" s="1"/>
      <c r="AM16" s="53">
        <v>185</v>
      </c>
      <c r="AT16">
        <v>170</v>
      </c>
      <c r="AU16">
        <v>366</v>
      </c>
    </row>
    <row r="17" spans="1:47" x14ac:dyDescent="0.2">
      <c r="A17" s="19" t="s">
        <v>726</v>
      </c>
      <c r="J17">
        <v>6</v>
      </c>
      <c r="K17">
        <v>6</v>
      </c>
      <c r="P17" s="1"/>
      <c r="Q17" s="1"/>
      <c r="R17" s="1"/>
      <c r="S17" s="1"/>
      <c r="T17" s="1"/>
      <c r="U17" s="1"/>
      <c r="V17" s="21"/>
      <c r="W17" s="1"/>
      <c r="X17" s="1"/>
      <c r="Z17" s="1"/>
      <c r="AA17" s="21"/>
      <c r="AB17" s="1"/>
      <c r="AE17" s="1"/>
      <c r="AF17" s="21">
        <v>191</v>
      </c>
      <c r="AH17" s="21">
        <v>14</v>
      </c>
      <c r="AK17" s="1"/>
      <c r="AM17" s="53">
        <v>111</v>
      </c>
      <c r="AT17">
        <v>134</v>
      </c>
      <c r="AU17">
        <v>288</v>
      </c>
    </row>
    <row r="18" spans="1:47" x14ac:dyDescent="0.2">
      <c r="A18" s="19" t="s">
        <v>727</v>
      </c>
      <c r="J18">
        <v>6</v>
      </c>
      <c r="K18">
        <v>6</v>
      </c>
      <c r="M18">
        <v>15</v>
      </c>
      <c r="N18">
        <v>10</v>
      </c>
      <c r="P18" s="1"/>
      <c r="Q18" s="1"/>
      <c r="R18" s="1"/>
      <c r="S18" s="1"/>
      <c r="T18" s="1"/>
      <c r="U18" s="1"/>
      <c r="V18" s="21"/>
      <c r="W18" s="1"/>
      <c r="X18" s="1"/>
      <c r="Z18" s="1"/>
      <c r="AA18" s="21"/>
      <c r="AB18" s="1"/>
      <c r="AE18" s="1"/>
      <c r="AF18" s="21">
        <v>191</v>
      </c>
      <c r="AH18" s="21">
        <v>14</v>
      </c>
      <c r="AK18" s="1"/>
      <c r="AM18" s="53">
        <v>111</v>
      </c>
      <c r="AT18">
        <v>141</v>
      </c>
      <c r="AU18">
        <v>288</v>
      </c>
    </row>
    <row r="19" spans="1:47" x14ac:dyDescent="0.2">
      <c r="A19" s="19" t="s">
        <v>624</v>
      </c>
      <c r="J19">
        <v>6</v>
      </c>
      <c r="K19">
        <v>6</v>
      </c>
      <c r="P19" s="1"/>
      <c r="Q19" s="1"/>
      <c r="R19" s="1"/>
      <c r="S19" s="1"/>
      <c r="T19" s="1"/>
      <c r="U19" s="1"/>
      <c r="V19" s="21"/>
      <c r="W19" s="1"/>
      <c r="X19" s="1"/>
      <c r="Z19" s="1"/>
      <c r="AA19" s="21"/>
      <c r="AB19" s="1"/>
      <c r="AE19" s="1"/>
      <c r="AF19" s="21">
        <v>20</v>
      </c>
      <c r="AH19" s="21">
        <v>9</v>
      </c>
      <c r="AK19" s="1"/>
      <c r="AM19" s="53">
        <v>75</v>
      </c>
      <c r="AT19">
        <v>106</v>
      </c>
      <c r="AU19">
        <v>366</v>
      </c>
    </row>
    <row r="20" spans="1:47" x14ac:dyDescent="0.2">
      <c r="A20" s="19" t="s">
        <v>625</v>
      </c>
      <c r="J20">
        <v>6</v>
      </c>
      <c r="K20">
        <v>6</v>
      </c>
      <c r="P20" s="1"/>
      <c r="Q20" s="1"/>
      <c r="R20" s="1"/>
      <c r="S20" s="1"/>
      <c r="T20" s="1"/>
      <c r="U20" s="1"/>
      <c r="V20" s="21"/>
      <c r="W20" s="1"/>
      <c r="X20" s="1"/>
      <c r="Z20" s="1"/>
      <c r="AA20" s="21"/>
      <c r="AB20" s="1"/>
      <c r="AE20" s="1"/>
      <c r="AF20" s="21">
        <v>56</v>
      </c>
      <c r="AH20" s="21">
        <v>60</v>
      </c>
      <c r="AK20" s="1"/>
      <c r="AM20" s="53">
        <v>75</v>
      </c>
      <c r="AT20">
        <v>106</v>
      </c>
      <c r="AU20">
        <v>366</v>
      </c>
    </row>
    <row r="21" spans="1:47" x14ac:dyDescent="0.2">
      <c r="A21" s="19" t="s">
        <v>626</v>
      </c>
      <c r="J21">
        <v>3</v>
      </c>
      <c r="K21">
        <v>3</v>
      </c>
      <c r="P21" s="1"/>
      <c r="Q21" s="1"/>
      <c r="R21" s="1"/>
      <c r="S21" s="1"/>
      <c r="T21" s="1"/>
      <c r="U21" s="1"/>
      <c r="V21" s="21"/>
      <c r="W21" s="1"/>
      <c r="X21" s="1"/>
      <c r="Z21" s="1"/>
      <c r="AA21" s="21"/>
      <c r="AB21" s="1"/>
      <c r="AE21" s="1"/>
      <c r="AF21" s="21">
        <v>32</v>
      </c>
      <c r="AH21" s="21">
        <v>5</v>
      </c>
      <c r="AK21" s="1"/>
      <c r="AM21" s="53">
        <v>43</v>
      </c>
      <c r="AT21">
        <v>62</v>
      </c>
      <c r="AU21">
        <v>216</v>
      </c>
    </row>
    <row r="22" spans="1:47" x14ac:dyDescent="0.2">
      <c r="A22" s="19" t="s">
        <v>698</v>
      </c>
      <c r="P22" s="1"/>
      <c r="Q22" s="1"/>
      <c r="R22" s="1"/>
      <c r="S22" s="1"/>
      <c r="T22" s="1"/>
      <c r="U22" s="1"/>
      <c r="V22" s="21"/>
      <c r="W22" s="1"/>
      <c r="X22" s="1"/>
      <c r="Z22" s="1"/>
      <c r="AA22" s="21"/>
      <c r="AB22" s="1"/>
      <c r="AE22" s="1"/>
      <c r="AF22" s="21">
        <v>255</v>
      </c>
      <c r="AK22" s="1"/>
      <c r="AM22" s="53">
        <v>248</v>
      </c>
      <c r="AT22">
        <v>198</v>
      </c>
      <c r="AU22">
        <v>390</v>
      </c>
    </row>
    <row r="23" spans="1:47" x14ac:dyDescent="0.2">
      <c r="A23" t="s">
        <v>316</v>
      </c>
      <c r="F23">
        <v>4</v>
      </c>
      <c r="G23">
        <v>4</v>
      </c>
      <c r="H23">
        <v>4</v>
      </c>
      <c r="I23">
        <v>4</v>
      </c>
      <c r="J23">
        <v>4</v>
      </c>
      <c r="K23">
        <v>4</v>
      </c>
      <c r="L23">
        <v>4</v>
      </c>
      <c r="P23" s="1"/>
      <c r="Q23" s="1"/>
      <c r="R23" s="1"/>
      <c r="S23" s="1"/>
      <c r="T23" s="1"/>
      <c r="U23" s="1"/>
      <c r="V23" s="21"/>
      <c r="W23" s="1"/>
      <c r="X23" s="1"/>
      <c r="Z23" s="1"/>
      <c r="AA23" s="21"/>
      <c r="AB23" s="1"/>
      <c r="AE23" s="1"/>
      <c r="AG23" s="21">
        <v>20</v>
      </c>
      <c r="AK23" s="1">
        <v>0.1</v>
      </c>
      <c r="AN23" s="31">
        <v>0.1</v>
      </c>
      <c r="AT23">
        <v>40</v>
      </c>
      <c r="AU23">
        <v>366</v>
      </c>
    </row>
    <row r="24" spans="1:47" s="65" customFormat="1" x14ac:dyDescent="0.2">
      <c r="A24" s="87" t="s">
        <v>740</v>
      </c>
      <c r="J24" s="65">
        <v>31</v>
      </c>
      <c r="K24" s="65">
        <v>31</v>
      </c>
      <c r="P24" s="88"/>
      <c r="Q24" s="88"/>
      <c r="R24" s="88"/>
      <c r="S24" s="88"/>
      <c r="T24" s="88"/>
      <c r="U24" s="88"/>
      <c r="V24" s="89"/>
      <c r="W24" s="88"/>
      <c r="X24" s="88"/>
      <c r="Z24" s="88"/>
      <c r="AA24" s="89"/>
      <c r="AB24" s="88"/>
      <c r="AC24" s="89"/>
      <c r="AD24" s="89"/>
      <c r="AE24" s="88"/>
      <c r="AF24" s="65">
        <v>228</v>
      </c>
      <c r="AG24" s="89">
        <v>19</v>
      </c>
      <c r="AH24" s="89">
        <v>47</v>
      </c>
      <c r="AI24" s="66"/>
      <c r="AJ24" s="90"/>
      <c r="AK24" s="88"/>
      <c r="AL24" s="66"/>
      <c r="AM24" s="90">
        <v>217</v>
      </c>
      <c r="AN24" s="66"/>
      <c r="AO24" s="66">
        <v>0.03</v>
      </c>
      <c r="AP24" s="66"/>
      <c r="AQ24" s="66"/>
      <c r="AR24" s="66"/>
      <c r="AS24" s="66"/>
      <c r="AT24" s="65">
        <v>228</v>
      </c>
      <c r="AU24" s="65">
        <v>435</v>
      </c>
    </row>
    <row r="25" spans="1:47" x14ac:dyDescent="0.2">
      <c r="A25" s="19" t="s">
        <v>699</v>
      </c>
      <c r="P25" s="1"/>
      <c r="Q25" s="1"/>
      <c r="R25" s="1"/>
      <c r="S25" s="1"/>
      <c r="T25" s="1"/>
      <c r="U25" s="1"/>
      <c r="V25" s="21"/>
      <c r="W25" s="1"/>
      <c r="X25" s="1"/>
      <c r="Z25" s="1"/>
      <c r="AA25" s="21"/>
      <c r="AB25" s="1"/>
      <c r="AE25" s="1"/>
      <c r="AF25" s="21">
        <v>265</v>
      </c>
      <c r="AH25" s="21">
        <v>60</v>
      </c>
      <c r="AK25" s="1"/>
      <c r="AM25" s="53">
        <v>248</v>
      </c>
      <c r="AT25">
        <v>200</v>
      </c>
      <c r="AU25">
        <v>402</v>
      </c>
    </row>
    <row r="26" spans="1:47" s="98" customFormat="1" x14ac:dyDescent="0.2">
      <c r="A26" s="97" t="s">
        <v>759</v>
      </c>
      <c r="J26" s="98">
        <v>27</v>
      </c>
      <c r="K26" s="98">
        <v>12</v>
      </c>
      <c r="P26" s="103"/>
      <c r="Q26" s="103"/>
      <c r="R26" s="103"/>
      <c r="S26" s="103"/>
      <c r="T26" s="103"/>
      <c r="U26" s="103"/>
      <c r="V26" s="99"/>
      <c r="W26" s="103"/>
      <c r="X26" s="103"/>
      <c r="Z26" s="103"/>
      <c r="AA26" s="99"/>
      <c r="AB26" s="103"/>
      <c r="AC26" s="99"/>
      <c r="AD26" s="99"/>
      <c r="AE26" s="103"/>
      <c r="AF26" s="99">
        <v>228</v>
      </c>
      <c r="AG26" s="99"/>
      <c r="AH26" s="99">
        <v>63</v>
      </c>
      <c r="AI26" s="100"/>
      <c r="AJ26" s="102"/>
      <c r="AK26" s="103"/>
      <c r="AL26" s="100"/>
      <c r="AM26" s="102">
        <v>232</v>
      </c>
      <c r="AN26" s="100"/>
      <c r="AO26" s="100"/>
      <c r="AP26" s="100"/>
      <c r="AQ26" s="100"/>
      <c r="AR26" s="100"/>
      <c r="AS26" s="100"/>
      <c r="AT26" s="98">
        <v>198</v>
      </c>
      <c r="AU26" s="98">
        <v>366</v>
      </c>
    </row>
    <row r="27" spans="1:47" x14ac:dyDescent="0.2">
      <c r="A27" t="s">
        <v>324</v>
      </c>
      <c r="J27">
        <v>6</v>
      </c>
      <c r="K27">
        <v>6</v>
      </c>
      <c r="P27" s="1"/>
      <c r="Q27" s="1"/>
      <c r="R27" s="1"/>
      <c r="S27" s="1"/>
      <c r="T27" s="1"/>
      <c r="U27" s="1"/>
      <c r="V27" s="21"/>
      <c r="W27" s="1"/>
      <c r="X27" s="1"/>
      <c r="Z27" s="1"/>
      <c r="AA27" s="21"/>
      <c r="AB27" s="1"/>
      <c r="AE27" s="1"/>
      <c r="AF27" s="21">
        <v>51</v>
      </c>
      <c r="AH27" s="21">
        <v>40</v>
      </c>
      <c r="AM27" s="53">
        <v>65</v>
      </c>
      <c r="AT27">
        <v>96</v>
      </c>
      <c r="AU27">
        <v>366</v>
      </c>
    </row>
    <row r="28" spans="1:47" x14ac:dyDescent="0.2">
      <c r="A28" s="19" t="s">
        <v>621</v>
      </c>
      <c r="J28">
        <v>9</v>
      </c>
      <c r="K28">
        <v>15</v>
      </c>
      <c r="P28" s="1"/>
      <c r="Q28" s="1"/>
      <c r="R28" s="1"/>
      <c r="S28" s="1"/>
      <c r="T28" s="1"/>
      <c r="U28" s="1"/>
      <c r="V28" s="21"/>
      <c r="W28" s="1"/>
      <c r="X28" s="1"/>
      <c r="Z28" s="1"/>
      <c r="AA28" s="21"/>
      <c r="AB28" s="1"/>
      <c r="AE28" s="1"/>
      <c r="AF28" s="21">
        <v>51</v>
      </c>
      <c r="AH28" s="21">
        <v>63</v>
      </c>
      <c r="AM28" s="53">
        <v>65</v>
      </c>
      <c r="AT28">
        <v>96</v>
      </c>
      <c r="AU28">
        <v>366</v>
      </c>
    </row>
    <row r="29" spans="1:47" x14ac:dyDescent="0.2">
      <c r="A29" s="19" t="s">
        <v>696</v>
      </c>
      <c r="J29">
        <v>16</v>
      </c>
      <c r="K29">
        <v>16</v>
      </c>
      <c r="P29" s="1"/>
      <c r="Q29" s="1"/>
      <c r="R29" s="1"/>
      <c r="S29" s="1"/>
      <c r="T29" s="1"/>
      <c r="U29" s="1"/>
      <c r="V29" s="21"/>
      <c r="W29" s="1"/>
      <c r="X29" s="1"/>
      <c r="Z29" s="1"/>
      <c r="AA29" s="21"/>
      <c r="AB29" s="1"/>
      <c r="AE29" s="1"/>
      <c r="AF29" s="21">
        <v>51</v>
      </c>
      <c r="AH29" s="21">
        <v>69</v>
      </c>
      <c r="AM29" s="53">
        <v>65</v>
      </c>
      <c r="AT29">
        <v>96</v>
      </c>
      <c r="AU29">
        <v>366</v>
      </c>
    </row>
    <row r="30" spans="1:47" x14ac:dyDescent="0.2">
      <c r="A30" t="s">
        <v>622</v>
      </c>
      <c r="J30">
        <v>10</v>
      </c>
      <c r="K30">
        <v>10</v>
      </c>
      <c r="P30" s="1"/>
      <c r="Q30" s="1"/>
      <c r="R30" s="1"/>
      <c r="S30" s="1"/>
      <c r="T30" s="1"/>
      <c r="U30" s="1"/>
      <c r="V30" s="21"/>
      <c r="W30" s="1"/>
      <c r="X30" s="1"/>
      <c r="Z30" s="1"/>
      <c r="AA30" s="21"/>
      <c r="AB30" s="1"/>
      <c r="AE30" s="1"/>
      <c r="AF30" s="21">
        <v>153</v>
      </c>
      <c r="AH30" s="21">
        <v>19</v>
      </c>
      <c r="AM30" s="53">
        <v>151</v>
      </c>
      <c r="AT30">
        <v>169</v>
      </c>
      <c r="AU30">
        <v>366</v>
      </c>
    </row>
    <row r="31" spans="1:47" s="65" customFormat="1" x14ac:dyDescent="0.2">
      <c r="A31" s="65" t="s">
        <v>747</v>
      </c>
      <c r="J31" s="65">
        <v>12</v>
      </c>
      <c r="K31" s="65">
        <v>12</v>
      </c>
      <c r="P31" s="88"/>
      <c r="Q31" s="88"/>
      <c r="R31" s="88"/>
      <c r="S31" s="88"/>
      <c r="T31" s="88"/>
      <c r="U31" s="88"/>
      <c r="V31" s="89"/>
      <c r="W31" s="88"/>
      <c r="X31" s="88"/>
      <c r="Z31" s="88"/>
      <c r="AA31" s="89"/>
      <c r="AB31" s="88"/>
      <c r="AC31" s="89"/>
      <c r="AD31" s="89"/>
      <c r="AE31" s="88"/>
      <c r="AF31" s="89">
        <v>228</v>
      </c>
      <c r="AG31" s="89"/>
      <c r="AH31" s="89">
        <v>44</v>
      </c>
      <c r="AI31" s="66"/>
      <c r="AJ31" s="90"/>
      <c r="AK31" s="89"/>
      <c r="AL31" s="66"/>
      <c r="AM31" s="90">
        <v>202</v>
      </c>
      <c r="AN31" s="66"/>
      <c r="AO31" s="66"/>
      <c r="AP31" s="66"/>
      <c r="AQ31" s="66"/>
      <c r="AR31" s="66"/>
      <c r="AS31" s="66"/>
      <c r="AT31" s="65">
        <v>179</v>
      </c>
      <c r="AU31" s="65">
        <v>366</v>
      </c>
    </row>
    <row r="32" spans="1:47" x14ac:dyDescent="0.2">
      <c r="A32" t="s">
        <v>321</v>
      </c>
      <c r="P32" s="1"/>
      <c r="Q32" s="1"/>
      <c r="R32" s="1"/>
      <c r="S32" s="1"/>
      <c r="T32" s="1"/>
      <c r="U32" s="1"/>
      <c r="V32" s="21"/>
      <c r="W32" s="1"/>
      <c r="X32" s="1"/>
      <c r="Z32" s="1"/>
      <c r="AA32" s="21"/>
      <c r="AB32" s="1"/>
      <c r="AE32" s="1"/>
      <c r="AF32" s="21"/>
      <c r="AL32" s="31">
        <v>0.1</v>
      </c>
      <c r="AS32" s="31">
        <v>0.12</v>
      </c>
      <c r="AT32">
        <v>57</v>
      </c>
      <c r="AU32">
        <v>366</v>
      </c>
    </row>
    <row r="33" spans="1:47" x14ac:dyDescent="0.2">
      <c r="A33" t="s">
        <v>322</v>
      </c>
      <c r="P33" s="1"/>
      <c r="Q33" s="1"/>
      <c r="R33" s="1"/>
      <c r="S33" s="1"/>
      <c r="T33" s="1"/>
      <c r="U33" s="1"/>
      <c r="V33" s="21"/>
      <c r="W33" s="1"/>
      <c r="X33" s="1"/>
      <c r="Z33" s="1"/>
      <c r="AA33" s="21"/>
      <c r="AB33" s="1"/>
      <c r="AE33" s="1"/>
      <c r="AF33" s="21"/>
      <c r="AL33" s="31">
        <v>0.1</v>
      </c>
      <c r="AS33" s="31">
        <v>0.12</v>
      </c>
      <c r="AT33">
        <v>57</v>
      </c>
      <c r="AU33">
        <v>366</v>
      </c>
    </row>
    <row r="34" spans="1:47" x14ac:dyDescent="0.2">
      <c r="A34" t="s">
        <v>323</v>
      </c>
      <c r="P34" s="1"/>
      <c r="Q34" s="1"/>
      <c r="R34" s="1"/>
      <c r="S34" s="1"/>
      <c r="T34" s="1"/>
      <c r="U34" s="1"/>
      <c r="V34" s="21"/>
      <c r="W34" s="1"/>
      <c r="X34" s="1"/>
      <c r="Z34" s="1"/>
      <c r="AA34" s="21"/>
      <c r="AB34" s="1"/>
      <c r="AE34" s="1"/>
      <c r="AF34" s="21"/>
      <c r="AL34" s="31">
        <v>0.1</v>
      </c>
      <c r="AS34" s="31">
        <v>0.14000000000000001</v>
      </c>
      <c r="AT34">
        <v>57</v>
      </c>
      <c r="AU34">
        <v>366</v>
      </c>
    </row>
    <row r="35" spans="1:47" x14ac:dyDescent="0.2">
      <c r="A35" t="s">
        <v>318</v>
      </c>
      <c r="P35" s="1"/>
      <c r="Q35" s="1"/>
      <c r="R35" s="1"/>
      <c r="S35" s="1"/>
      <c r="T35" s="1"/>
      <c r="U35" s="1"/>
      <c r="V35" s="21"/>
      <c r="W35" s="1"/>
      <c r="X35" s="1"/>
      <c r="Z35" s="1"/>
      <c r="AA35" s="21"/>
      <c r="AB35" s="1"/>
      <c r="AE35" s="1"/>
      <c r="AF35" s="21"/>
      <c r="AL35" s="31">
        <v>0.3</v>
      </c>
      <c r="AR35" s="31">
        <v>0.12</v>
      </c>
      <c r="AT35">
        <v>57</v>
      </c>
      <c r="AU35">
        <v>366</v>
      </c>
    </row>
    <row r="36" spans="1:47" x14ac:dyDescent="0.2">
      <c r="A36" t="s">
        <v>319</v>
      </c>
      <c r="P36" s="1"/>
      <c r="Q36" s="1"/>
      <c r="R36" s="1"/>
      <c r="S36" s="1"/>
      <c r="T36" s="1"/>
      <c r="U36" s="1"/>
      <c r="V36" s="21"/>
      <c r="W36" s="1"/>
      <c r="X36" s="1"/>
      <c r="Z36" s="1"/>
      <c r="AA36" s="21"/>
      <c r="AB36" s="1"/>
      <c r="AE36" s="1"/>
      <c r="AF36" s="21"/>
      <c r="AL36" s="31">
        <v>0.35</v>
      </c>
      <c r="AR36" s="31">
        <v>0.12</v>
      </c>
      <c r="AT36">
        <v>57</v>
      </c>
      <c r="AU36">
        <v>366</v>
      </c>
    </row>
    <row r="37" spans="1:47" x14ac:dyDescent="0.2">
      <c r="A37" t="s">
        <v>320</v>
      </c>
      <c r="P37" s="1"/>
      <c r="Q37" s="1"/>
      <c r="R37" s="1"/>
      <c r="S37" s="1"/>
      <c r="T37" s="1"/>
      <c r="U37" s="1"/>
      <c r="V37" s="21"/>
      <c r="W37" s="1"/>
      <c r="X37" s="1"/>
      <c r="Z37" s="1"/>
      <c r="AA37" s="21"/>
      <c r="AB37" s="1"/>
      <c r="AE37" s="1"/>
      <c r="AF37" s="21"/>
      <c r="AL37" s="31">
        <v>0.35</v>
      </c>
      <c r="AR37" s="31">
        <v>0.14000000000000001</v>
      </c>
      <c r="AT37">
        <v>57</v>
      </c>
      <c r="AU37">
        <v>366</v>
      </c>
    </row>
    <row r="38" spans="1:47" s="65" customFormat="1" x14ac:dyDescent="0.2">
      <c r="A38" s="65" t="s">
        <v>741</v>
      </c>
      <c r="J38" s="65">
        <v>22</v>
      </c>
      <c r="K38" s="65">
        <v>12</v>
      </c>
      <c r="M38" s="65" t="s">
        <v>742</v>
      </c>
      <c r="P38" s="88"/>
      <c r="Q38" s="88"/>
      <c r="R38" s="88"/>
      <c r="S38" s="88"/>
      <c r="T38" s="88"/>
      <c r="U38" s="88"/>
      <c r="V38" s="89"/>
      <c r="W38" s="88"/>
      <c r="X38" s="88"/>
      <c r="Z38" s="88"/>
      <c r="AA38" s="89"/>
      <c r="AB38" s="88"/>
      <c r="AC38" s="89"/>
      <c r="AD38" s="89"/>
      <c r="AE38" s="88"/>
      <c r="AF38" s="89">
        <v>228</v>
      </c>
      <c r="AG38" s="89">
        <v>15</v>
      </c>
      <c r="AH38" s="89">
        <v>28</v>
      </c>
      <c r="AI38" s="66"/>
      <c r="AJ38" s="90"/>
      <c r="AK38" s="89"/>
      <c r="AL38" s="66"/>
      <c r="AM38" s="90">
        <v>217</v>
      </c>
      <c r="AN38" s="66"/>
      <c r="AO38" s="66"/>
      <c r="AP38" s="66"/>
      <c r="AQ38" s="66">
        <v>0.02</v>
      </c>
      <c r="AR38" s="66"/>
      <c r="AS38" s="66"/>
      <c r="AT38" s="65">
        <v>198</v>
      </c>
      <c r="AU38" s="65">
        <v>366</v>
      </c>
    </row>
    <row r="39" spans="1:47" x14ac:dyDescent="0.2">
      <c r="A39" t="s">
        <v>719</v>
      </c>
      <c r="J39">
        <v>6</v>
      </c>
      <c r="K39">
        <v>16</v>
      </c>
      <c r="P39" s="1"/>
      <c r="Q39" s="1"/>
      <c r="R39" s="1"/>
      <c r="S39" s="1"/>
      <c r="T39" s="1"/>
      <c r="U39" s="1"/>
      <c r="V39" s="21"/>
      <c r="W39" s="1"/>
      <c r="X39" s="1"/>
      <c r="Z39" s="1"/>
      <c r="AA39" s="21"/>
      <c r="AB39" s="1"/>
      <c r="AE39" s="1"/>
      <c r="AF39" s="21">
        <v>215</v>
      </c>
      <c r="AH39" s="21">
        <v>16</v>
      </c>
      <c r="AM39" s="53">
        <v>124</v>
      </c>
      <c r="AT39">
        <v>125</v>
      </c>
      <c r="AU39">
        <v>288</v>
      </c>
    </row>
    <row r="40" spans="1:47" x14ac:dyDescent="0.2">
      <c r="A40" s="19" t="s">
        <v>702</v>
      </c>
      <c r="J40">
        <v>4</v>
      </c>
      <c r="K40">
        <v>4</v>
      </c>
      <c r="P40" s="1"/>
      <c r="Q40" s="1"/>
      <c r="R40" s="1"/>
      <c r="S40" s="1"/>
      <c r="T40" s="1"/>
      <c r="U40" s="1"/>
      <c r="V40" s="21"/>
      <c r="W40" s="1"/>
      <c r="X40" s="1"/>
      <c r="Z40" s="1"/>
      <c r="AA40" s="21"/>
      <c r="AB40" s="1"/>
      <c r="AE40" s="1"/>
      <c r="AF40" s="21">
        <v>96</v>
      </c>
      <c r="AH40" s="21">
        <v>8</v>
      </c>
      <c r="AK40" s="1"/>
      <c r="AM40" s="53">
        <v>62</v>
      </c>
      <c r="AT40">
        <v>116</v>
      </c>
      <c r="AU40">
        <v>288</v>
      </c>
    </row>
    <row r="41" spans="1:47" x14ac:dyDescent="0.2">
      <c r="A41" t="s">
        <v>325</v>
      </c>
      <c r="J41">
        <v>10</v>
      </c>
      <c r="K41">
        <v>10</v>
      </c>
      <c r="P41" s="1"/>
      <c r="Q41" s="1"/>
      <c r="R41" s="1"/>
      <c r="S41" s="1"/>
      <c r="T41" s="1"/>
      <c r="U41" s="1"/>
      <c r="V41" s="21"/>
      <c r="W41" s="1"/>
      <c r="X41" s="1"/>
      <c r="Z41" s="1"/>
      <c r="AA41" s="21"/>
      <c r="AB41" s="1"/>
      <c r="AE41" s="1"/>
      <c r="AF41" s="21">
        <v>153</v>
      </c>
      <c r="AH41" s="21">
        <v>19</v>
      </c>
      <c r="AM41" s="53">
        <v>151</v>
      </c>
      <c r="AT41">
        <v>145</v>
      </c>
      <c r="AU41">
        <v>366</v>
      </c>
    </row>
    <row r="42" spans="1:47" x14ac:dyDescent="0.2">
      <c r="A42" t="s">
        <v>326</v>
      </c>
      <c r="J42">
        <v>11</v>
      </c>
      <c r="K42">
        <v>10</v>
      </c>
      <c r="P42" s="1"/>
      <c r="Q42" s="1"/>
      <c r="R42" s="1"/>
      <c r="S42" s="1"/>
      <c r="T42" s="1"/>
      <c r="U42" s="1"/>
      <c r="V42" s="21"/>
      <c r="W42" s="1"/>
      <c r="X42" s="1"/>
      <c r="Z42" s="1"/>
      <c r="AA42" s="21"/>
      <c r="AB42" s="1"/>
      <c r="AE42" s="1"/>
      <c r="AF42" s="21">
        <v>153</v>
      </c>
      <c r="AH42" s="21">
        <v>24</v>
      </c>
      <c r="AM42" s="53">
        <v>151</v>
      </c>
      <c r="AT42">
        <v>145</v>
      </c>
      <c r="AU42">
        <v>366</v>
      </c>
    </row>
    <row r="43" spans="1:47" x14ac:dyDescent="0.2">
      <c r="A43" t="s">
        <v>327</v>
      </c>
      <c r="J43">
        <v>10</v>
      </c>
      <c r="K43">
        <v>11</v>
      </c>
      <c r="P43" s="1"/>
      <c r="Q43" s="1"/>
      <c r="R43" s="1"/>
      <c r="S43" s="1"/>
      <c r="T43" s="1"/>
      <c r="U43" s="1"/>
      <c r="V43" s="21"/>
      <c r="W43" s="1"/>
      <c r="X43" s="1"/>
      <c r="Z43" s="1"/>
      <c r="AA43" s="21"/>
      <c r="AB43" s="1"/>
      <c r="AE43" s="1"/>
      <c r="AF43" s="21">
        <v>153</v>
      </c>
      <c r="AG43" s="21">
        <v>6</v>
      </c>
      <c r="AH43" s="21">
        <v>19</v>
      </c>
      <c r="AM43" s="53">
        <v>151</v>
      </c>
      <c r="AT43">
        <v>145</v>
      </c>
      <c r="AU43">
        <v>366</v>
      </c>
    </row>
    <row r="44" spans="1:47" x14ac:dyDescent="0.2">
      <c r="A44" t="s">
        <v>328</v>
      </c>
      <c r="J44">
        <v>10</v>
      </c>
      <c r="K44">
        <v>10</v>
      </c>
      <c r="P44" s="1"/>
      <c r="Q44" s="1"/>
      <c r="R44" s="1"/>
      <c r="S44" s="1"/>
      <c r="T44" s="1"/>
      <c r="U44" s="1"/>
      <c r="V44" s="21"/>
      <c r="W44" s="1"/>
      <c r="X44" s="1"/>
      <c r="Z44" s="1"/>
      <c r="AA44" s="21"/>
      <c r="AB44" s="1"/>
      <c r="AE44" s="1"/>
      <c r="AF44" s="21">
        <v>153</v>
      </c>
      <c r="AG44" s="21">
        <v>2</v>
      </c>
      <c r="AH44" s="21">
        <v>19</v>
      </c>
      <c r="AM44" s="53">
        <v>151</v>
      </c>
      <c r="AT44">
        <v>145</v>
      </c>
      <c r="AU44">
        <v>366</v>
      </c>
    </row>
    <row r="45" spans="1:47" x14ac:dyDescent="0.2">
      <c r="A45" t="s">
        <v>576</v>
      </c>
      <c r="J45">
        <v>18</v>
      </c>
      <c r="K45">
        <v>15</v>
      </c>
      <c r="P45" s="1"/>
      <c r="Q45" s="1"/>
      <c r="R45" s="1"/>
      <c r="S45" s="1"/>
      <c r="T45" s="1"/>
      <c r="U45" s="1"/>
      <c r="V45" s="21"/>
      <c r="W45" s="1"/>
      <c r="X45" s="1"/>
      <c r="Z45" s="1"/>
      <c r="AA45" s="21"/>
      <c r="AB45" s="1"/>
      <c r="AE45" s="1"/>
      <c r="AF45" s="21">
        <v>153</v>
      </c>
      <c r="AH45" s="21">
        <v>29</v>
      </c>
      <c r="AM45" s="53">
        <v>151</v>
      </c>
      <c r="AT45">
        <v>145</v>
      </c>
      <c r="AU45">
        <v>366</v>
      </c>
    </row>
    <row r="46" spans="1:47" x14ac:dyDescent="0.2">
      <c r="A46" t="s">
        <v>329</v>
      </c>
      <c r="J46">
        <v>20</v>
      </c>
      <c r="K46">
        <v>20</v>
      </c>
      <c r="P46" s="1"/>
      <c r="Q46" s="1"/>
      <c r="R46" s="1"/>
      <c r="S46" s="1"/>
      <c r="T46" s="1"/>
      <c r="U46" s="1"/>
      <c r="V46" s="21"/>
      <c r="W46" s="1"/>
      <c r="X46" s="1"/>
      <c r="Z46" s="1"/>
      <c r="AA46" s="21"/>
      <c r="AB46" s="1"/>
      <c r="AE46" s="1"/>
      <c r="AF46" s="21">
        <v>153</v>
      </c>
      <c r="AH46" s="21">
        <v>32</v>
      </c>
      <c r="AM46" s="53">
        <v>151</v>
      </c>
      <c r="AT46">
        <v>145</v>
      </c>
      <c r="AU46">
        <v>366</v>
      </c>
    </row>
    <row r="47" spans="1:47" x14ac:dyDescent="0.2">
      <c r="A47" t="s">
        <v>330</v>
      </c>
      <c r="J47">
        <v>20</v>
      </c>
      <c r="K47">
        <v>20</v>
      </c>
      <c r="P47" s="1"/>
      <c r="Q47" s="1"/>
      <c r="R47" s="1"/>
      <c r="S47" s="1"/>
      <c r="T47" s="1"/>
      <c r="U47" s="1"/>
      <c r="V47" s="21"/>
      <c r="W47" s="1"/>
      <c r="X47" s="1"/>
      <c r="Z47" s="1"/>
      <c r="AA47" s="21"/>
      <c r="AB47" s="1"/>
      <c r="AE47" s="1"/>
      <c r="AF47" s="21">
        <v>153</v>
      </c>
      <c r="AG47" s="21">
        <v>13</v>
      </c>
      <c r="AH47" s="21">
        <v>19</v>
      </c>
      <c r="AM47" s="53">
        <v>151</v>
      </c>
      <c r="AT47">
        <v>145</v>
      </c>
      <c r="AU47">
        <v>366</v>
      </c>
    </row>
    <row r="48" spans="1:47" x14ac:dyDescent="0.2">
      <c r="A48" t="s">
        <v>331</v>
      </c>
      <c r="J48">
        <v>10</v>
      </c>
      <c r="K48">
        <v>10</v>
      </c>
      <c r="P48" s="1"/>
      <c r="Q48" s="1"/>
      <c r="R48" s="1"/>
      <c r="S48" s="1"/>
      <c r="T48" s="1"/>
      <c r="U48" s="1"/>
      <c r="V48" s="21"/>
      <c r="W48" s="1"/>
      <c r="X48" s="1"/>
      <c r="Z48" s="1"/>
      <c r="AA48" s="21"/>
      <c r="AB48" s="1"/>
      <c r="AE48" s="1"/>
      <c r="AF48" s="21">
        <v>153</v>
      </c>
      <c r="AG48" s="21">
        <v>8</v>
      </c>
      <c r="AH48" s="21">
        <v>27</v>
      </c>
      <c r="AM48" s="53">
        <v>151</v>
      </c>
      <c r="AT48">
        <v>145</v>
      </c>
      <c r="AU48">
        <v>366</v>
      </c>
    </row>
    <row r="49" spans="1:47" x14ac:dyDescent="0.2">
      <c r="A49" s="19" t="s">
        <v>604</v>
      </c>
      <c r="J49">
        <v>5</v>
      </c>
      <c r="K49">
        <v>5</v>
      </c>
      <c r="P49" s="1"/>
      <c r="Q49" s="1"/>
      <c r="R49" s="1"/>
      <c r="S49" s="1"/>
      <c r="T49" s="1"/>
      <c r="U49" s="1"/>
      <c r="V49" s="21"/>
      <c r="W49" s="1"/>
      <c r="X49" s="1"/>
      <c r="Z49" s="1"/>
      <c r="AA49" s="21"/>
      <c r="AB49" s="1"/>
      <c r="AE49" s="1"/>
      <c r="AF49" s="21">
        <v>90</v>
      </c>
      <c r="AH49" s="21">
        <v>12</v>
      </c>
      <c r="AM49" s="53">
        <v>99</v>
      </c>
      <c r="AT49">
        <v>88</v>
      </c>
      <c r="AU49">
        <v>216</v>
      </c>
    </row>
    <row r="50" spans="1:47" x14ac:dyDescent="0.2">
      <c r="A50" s="19" t="s">
        <v>723</v>
      </c>
      <c r="J50">
        <v>20</v>
      </c>
      <c r="K50">
        <v>12</v>
      </c>
      <c r="P50" s="1"/>
      <c r="Q50" s="1"/>
      <c r="R50" s="1"/>
      <c r="S50" s="1"/>
      <c r="T50" s="1"/>
      <c r="U50" s="1"/>
      <c r="V50" s="21"/>
      <c r="W50" s="1"/>
      <c r="X50" s="1"/>
      <c r="Z50" s="1"/>
      <c r="AA50" s="21"/>
      <c r="AB50" s="1"/>
      <c r="AE50" s="1"/>
      <c r="AF50" s="21">
        <v>228</v>
      </c>
      <c r="AH50" s="21">
        <v>28</v>
      </c>
      <c r="AM50" s="53">
        <v>217</v>
      </c>
      <c r="AP50" s="31">
        <v>0.05</v>
      </c>
      <c r="AT50">
        <v>198</v>
      </c>
      <c r="AU50">
        <v>366</v>
      </c>
    </row>
    <row r="51" spans="1:47" x14ac:dyDescent="0.2">
      <c r="A51" s="19" t="s">
        <v>602</v>
      </c>
      <c r="J51">
        <v>7</v>
      </c>
      <c r="K51">
        <v>7</v>
      </c>
      <c r="P51" s="1"/>
      <c r="Q51" s="1"/>
      <c r="R51" s="1"/>
      <c r="S51" s="1"/>
      <c r="T51" s="1"/>
      <c r="U51" s="1"/>
      <c r="V51" s="21"/>
      <c r="W51" s="1"/>
      <c r="X51" s="1"/>
      <c r="Z51" s="1"/>
      <c r="AA51" s="21"/>
      <c r="AB51" s="1"/>
      <c r="AE51" s="1"/>
      <c r="AF51" s="1"/>
      <c r="AH51" s="21">
        <v>60</v>
      </c>
      <c r="AM51" s="53">
        <v>86</v>
      </c>
      <c r="AT51">
        <v>154</v>
      </c>
      <c r="AU51">
        <v>412</v>
      </c>
    </row>
    <row r="52" spans="1:47" x14ac:dyDescent="0.2">
      <c r="A52" s="19" t="s">
        <v>603</v>
      </c>
      <c r="J52">
        <v>7</v>
      </c>
      <c r="K52">
        <v>7</v>
      </c>
      <c r="P52" s="1"/>
      <c r="Q52" s="1"/>
      <c r="R52" s="1"/>
      <c r="S52" s="1"/>
      <c r="T52" s="1"/>
      <c r="U52" s="1"/>
      <c r="V52" s="21"/>
      <c r="W52" s="1"/>
      <c r="X52" s="1"/>
      <c r="Z52" s="1"/>
      <c r="AA52" s="21"/>
      <c r="AB52" s="1"/>
      <c r="AE52" s="1"/>
      <c r="AF52" s="1"/>
      <c r="AH52" s="21">
        <v>70</v>
      </c>
      <c r="AM52" s="53">
        <v>97</v>
      </c>
      <c r="AT52">
        <v>160</v>
      </c>
      <c r="AU52">
        <v>402</v>
      </c>
    </row>
    <row r="53" spans="1:47" x14ac:dyDescent="0.2">
      <c r="AA53" s="21"/>
    </row>
    <row r="55" spans="1:47" x14ac:dyDescent="0.2">
      <c r="A55" t="s">
        <v>615</v>
      </c>
      <c r="B55" t="s">
        <v>26</v>
      </c>
      <c r="C55" t="s">
        <v>645</v>
      </c>
      <c r="D55" t="s">
        <v>676</v>
      </c>
      <c r="E55" t="s">
        <v>273</v>
      </c>
      <c r="F55" t="s">
        <v>3</v>
      </c>
      <c r="G55" t="s">
        <v>4</v>
      </c>
      <c r="H55" t="s">
        <v>5</v>
      </c>
      <c r="I55" t="s">
        <v>33</v>
      </c>
      <c r="J55" t="s">
        <v>120</v>
      </c>
      <c r="K55" t="s">
        <v>121</v>
      </c>
      <c r="L55" t="s">
        <v>122</v>
      </c>
      <c r="M55" t="s">
        <v>10</v>
      </c>
      <c r="N55" t="s">
        <v>9</v>
      </c>
      <c r="O55" t="s">
        <v>183</v>
      </c>
      <c r="P55" t="s">
        <v>12</v>
      </c>
      <c r="Q55" t="s">
        <v>84</v>
      </c>
      <c r="R55" t="s">
        <v>177</v>
      </c>
      <c r="S55" t="s">
        <v>265</v>
      </c>
      <c r="T55" t="s">
        <v>132</v>
      </c>
      <c r="U55" t="s">
        <v>266</v>
      </c>
      <c r="V55" t="s">
        <v>11</v>
      </c>
      <c r="W55" t="s">
        <v>78</v>
      </c>
      <c r="X55" t="s">
        <v>77</v>
      </c>
      <c r="Y55" t="s">
        <v>13</v>
      </c>
      <c r="Z55" t="s">
        <v>76</v>
      </c>
      <c r="AA55" t="s">
        <v>131</v>
      </c>
      <c r="AB55" t="s">
        <v>91</v>
      </c>
      <c r="AC55" s="21" t="s">
        <v>250</v>
      </c>
      <c r="AD55" s="21" t="s">
        <v>251</v>
      </c>
      <c r="AE55" t="s">
        <v>175</v>
      </c>
      <c r="AF55" t="s">
        <v>725</v>
      </c>
      <c r="AG55" s="21" t="s">
        <v>651</v>
      </c>
      <c r="AH55" s="21" t="s">
        <v>272</v>
      </c>
      <c r="AI55" s="31" t="s">
        <v>390</v>
      </c>
      <c r="AJ55" s="53" t="s">
        <v>392</v>
      </c>
      <c r="AK55" s="21" t="s">
        <v>315</v>
      </c>
      <c r="AL55" s="31" t="s">
        <v>274</v>
      </c>
      <c r="AM55" s="64" t="s">
        <v>595</v>
      </c>
      <c r="AN55" s="31" t="s">
        <v>275</v>
      </c>
      <c r="AO55" s="31" t="s">
        <v>515</v>
      </c>
      <c r="AP55" s="31" t="s">
        <v>516</v>
      </c>
      <c r="AQ55" s="31" t="s">
        <v>312</v>
      </c>
      <c r="AR55" s="31" t="s">
        <v>549</v>
      </c>
      <c r="AS55" s="31" t="s">
        <v>550</v>
      </c>
    </row>
    <row r="56" spans="1:47" x14ac:dyDescent="0.2">
      <c r="A56" t="s">
        <v>34</v>
      </c>
      <c r="P56" s="1"/>
      <c r="Q56" s="1"/>
      <c r="R56" s="1"/>
      <c r="S56" s="1"/>
      <c r="T56" s="1"/>
      <c r="U56" s="1"/>
      <c r="W56" s="1"/>
      <c r="X56" s="1"/>
      <c r="Z56" s="1"/>
      <c r="AA56" s="1"/>
      <c r="AB56" s="1"/>
      <c r="AE56" s="1"/>
      <c r="AF56" s="1"/>
    </row>
    <row r="57" spans="1:47" x14ac:dyDescent="0.2">
      <c r="A57" s="19" t="s">
        <v>704</v>
      </c>
      <c r="K57">
        <v>4</v>
      </c>
      <c r="P57" s="1"/>
      <c r="Q57" s="1"/>
      <c r="R57" s="1"/>
      <c r="S57" s="1"/>
      <c r="T57" s="1"/>
      <c r="U57" s="1"/>
      <c r="W57" s="1"/>
      <c r="X57" s="1"/>
      <c r="Z57" s="1"/>
      <c r="AA57" s="1"/>
      <c r="AB57" s="1"/>
      <c r="AE57" s="1"/>
      <c r="AF57" s="1"/>
    </row>
    <row r="58" spans="1:47" x14ac:dyDescent="0.2">
      <c r="A58" s="19" t="s">
        <v>605</v>
      </c>
      <c r="P58" s="1"/>
      <c r="Q58" s="1"/>
      <c r="R58" s="1"/>
      <c r="S58" s="1"/>
      <c r="T58" s="1"/>
      <c r="U58" s="1"/>
      <c r="W58" s="1"/>
      <c r="X58" s="1"/>
      <c r="Z58" s="1"/>
      <c r="AA58" s="1"/>
      <c r="AB58" s="1"/>
      <c r="AE58" s="1"/>
      <c r="AF58" s="1"/>
      <c r="AG58" s="21">
        <v>10</v>
      </c>
      <c r="AH58" s="21">
        <v>10</v>
      </c>
    </row>
    <row r="59" spans="1:47" x14ac:dyDescent="0.2">
      <c r="A59" t="s">
        <v>381</v>
      </c>
      <c r="P59" s="1"/>
      <c r="Q59" s="1"/>
      <c r="R59" s="1"/>
      <c r="S59" s="1"/>
      <c r="T59" s="1"/>
      <c r="U59" s="1"/>
      <c r="V59">
        <v>10</v>
      </c>
      <c r="W59" s="1"/>
      <c r="X59" s="1"/>
      <c r="Z59" s="1"/>
      <c r="AA59" s="1"/>
      <c r="AB59" s="1"/>
      <c r="AE59" s="1"/>
      <c r="AF59" s="1"/>
    </row>
    <row r="60" spans="1:47" x14ac:dyDescent="0.2">
      <c r="A60" t="s">
        <v>383</v>
      </c>
      <c r="P60" s="1"/>
      <c r="Q60" s="1"/>
      <c r="R60" s="1"/>
      <c r="S60" s="1"/>
      <c r="T60" s="1"/>
      <c r="U60" s="1"/>
      <c r="W60" s="1"/>
      <c r="X60" s="1"/>
      <c r="Z60" s="1"/>
      <c r="AA60" s="1"/>
      <c r="AB60" s="1"/>
      <c r="AE60" s="1"/>
      <c r="AF60" s="1"/>
      <c r="AG60" s="21">
        <v>8</v>
      </c>
    </row>
    <row r="61" spans="1:47" x14ac:dyDescent="0.2">
      <c r="A61" t="s">
        <v>614</v>
      </c>
      <c r="P61" s="1"/>
      <c r="Q61" s="1"/>
      <c r="R61" s="1"/>
      <c r="S61" s="1"/>
      <c r="T61" s="1"/>
      <c r="U61" s="1"/>
      <c r="W61" s="1"/>
      <c r="X61" s="1"/>
      <c r="Z61" s="1"/>
      <c r="AA61" s="1"/>
      <c r="AB61" s="1"/>
      <c r="AE61" s="1"/>
      <c r="AF61" s="1"/>
      <c r="AH61" s="21">
        <v>5</v>
      </c>
    </row>
    <row r="62" spans="1:47" x14ac:dyDescent="0.2">
      <c r="A62" t="s">
        <v>379</v>
      </c>
      <c r="P62" s="1"/>
      <c r="Q62" s="1"/>
      <c r="R62" s="1"/>
      <c r="S62" s="1"/>
      <c r="T62" s="1"/>
      <c r="U62" s="1"/>
      <c r="W62" s="1"/>
      <c r="X62" s="1"/>
      <c r="Z62" s="1"/>
      <c r="AA62" s="1"/>
      <c r="AB62" s="1"/>
      <c r="AE62" s="1"/>
      <c r="AF62" s="1"/>
      <c r="AG62" s="21">
        <v>1</v>
      </c>
      <c r="AH62" s="21">
        <v>1</v>
      </c>
    </row>
    <row r="63" spans="1:47" s="65" customFormat="1" x14ac:dyDescent="0.2">
      <c r="A63" s="65" t="s">
        <v>752</v>
      </c>
      <c r="P63" s="88"/>
      <c r="Q63" s="88"/>
      <c r="R63" s="88"/>
      <c r="S63" s="88"/>
      <c r="T63" s="88"/>
      <c r="U63" s="88"/>
      <c r="W63" s="88"/>
      <c r="X63" s="88"/>
      <c r="Z63" s="88"/>
      <c r="AA63" s="88"/>
      <c r="AB63" s="88"/>
      <c r="AC63" s="89"/>
      <c r="AD63" s="89"/>
      <c r="AE63" s="88"/>
      <c r="AF63" s="88"/>
      <c r="AG63" s="89">
        <v>4</v>
      </c>
      <c r="AH63" s="89">
        <v>4</v>
      </c>
      <c r="AI63" s="66"/>
      <c r="AJ63" s="90"/>
      <c r="AK63" s="89"/>
      <c r="AL63" s="66"/>
      <c r="AM63" s="90"/>
      <c r="AN63" s="66"/>
      <c r="AO63" s="66"/>
      <c r="AP63" s="66"/>
      <c r="AQ63" s="66"/>
      <c r="AR63" s="66"/>
      <c r="AS63" s="66"/>
    </row>
    <row r="64" spans="1:47" x14ac:dyDescent="0.2">
      <c r="A64" t="s">
        <v>382</v>
      </c>
      <c r="B64">
        <v>3</v>
      </c>
      <c r="P64" s="1"/>
      <c r="Q64" s="1"/>
      <c r="R64" s="1"/>
      <c r="S64" s="1"/>
      <c r="T64" s="1"/>
      <c r="U64" s="1"/>
      <c r="W64" s="1"/>
      <c r="X64" s="1"/>
      <c r="Z64" s="1"/>
      <c r="AA64" s="1"/>
      <c r="AB64" s="1"/>
      <c r="AE64" s="1"/>
      <c r="AF64" s="1"/>
    </row>
    <row r="65" spans="1:47" x14ac:dyDescent="0.2">
      <c r="A65" s="19" t="s">
        <v>726</v>
      </c>
      <c r="J65">
        <v>6</v>
      </c>
      <c r="K65">
        <v>6</v>
      </c>
      <c r="P65" s="1"/>
      <c r="Q65" s="1"/>
      <c r="R65" s="1"/>
      <c r="S65" s="1"/>
      <c r="T65" s="1"/>
      <c r="U65" s="1"/>
      <c r="V65" s="21"/>
      <c r="W65" s="1"/>
      <c r="X65" s="1"/>
      <c r="Z65" s="1"/>
      <c r="AA65" s="21"/>
      <c r="AB65" s="1"/>
      <c r="AE65" s="1"/>
      <c r="AF65" s="21">
        <v>191</v>
      </c>
      <c r="AH65" s="21">
        <v>14</v>
      </c>
      <c r="AK65" s="1"/>
      <c r="AM65" s="53">
        <v>111</v>
      </c>
      <c r="AT65">
        <v>134</v>
      </c>
      <c r="AU65">
        <v>288</v>
      </c>
    </row>
    <row r="66" spans="1:47" x14ac:dyDescent="0.2">
      <c r="A66" s="19" t="s">
        <v>727</v>
      </c>
      <c r="J66">
        <v>6</v>
      </c>
      <c r="K66">
        <v>6</v>
      </c>
      <c r="M66">
        <v>15</v>
      </c>
      <c r="N66">
        <v>10</v>
      </c>
      <c r="P66" s="1"/>
      <c r="Q66" s="1"/>
      <c r="R66" s="1"/>
      <c r="S66" s="1"/>
      <c r="T66" s="1"/>
      <c r="U66" s="1"/>
      <c r="V66" s="21"/>
      <c r="W66" s="1"/>
      <c r="X66" s="1"/>
      <c r="Z66" s="1"/>
      <c r="AA66" s="21"/>
      <c r="AB66" s="1"/>
      <c r="AE66" s="1"/>
      <c r="AF66" s="21">
        <v>191</v>
      </c>
      <c r="AH66" s="21">
        <v>14</v>
      </c>
      <c r="AK66" s="1"/>
      <c r="AM66" s="53">
        <v>111</v>
      </c>
      <c r="AT66">
        <v>141</v>
      </c>
      <c r="AU66">
        <v>288</v>
      </c>
    </row>
    <row r="67" spans="1:47" x14ac:dyDescent="0.2">
      <c r="A67" s="19" t="s">
        <v>609</v>
      </c>
      <c r="P67" s="1"/>
      <c r="Q67" s="1"/>
      <c r="R67" s="1"/>
      <c r="S67" s="1"/>
      <c r="T67" s="1"/>
      <c r="U67" s="1"/>
      <c r="W67" s="1"/>
      <c r="X67" s="1"/>
      <c r="Z67" s="1"/>
      <c r="AA67" s="1"/>
      <c r="AB67" s="1"/>
      <c r="AE67" s="1"/>
      <c r="AF67" s="1"/>
      <c r="AH67" s="21">
        <v>4</v>
      </c>
      <c r="AP67" s="31">
        <v>0.04</v>
      </c>
    </row>
    <row r="68" spans="1:47" x14ac:dyDescent="0.2">
      <c r="A68" s="19" t="s">
        <v>616</v>
      </c>
      <c r="P68" s="1"/>
      <c r="Q68" s="1"/>
      <c r="R68" s="1"/>
      <c r="S68" s="1"/>
      <c r="T68" s="1"/>
      <c r="U68" s="1"/>
      <c r="W68" s="1"/>
      <c r="X68" s="1"/>
      <c r="Z68" s="1"/>
      <c r="AA68" s="1"/>
      <c r="AB68" s="1"/>
      <c r="AE68" s="1"/>
      <c r="AF68" s="1"/>
      <c r="AG68" s="21">
        <v>3</v>
      </c>
      <c r="AH68" s="21">
        <v>3</v>
      </c>
    </row>
    <row r="69" spans="1:47" x14ac:dyDescent="0.2">
      <c r="A69" t="s">
        <v>377</v>
      </c>
      <c r="P69" s="1"/>
      <c r="Q69" s="1"/>
      <c r="R69" s="1"/>
      <c r="S69" s="1"/>
      <c r="T69" s="1"/>
      <c r="U69" s="1"/>
      <c r="W69" s="1"/>
      <c r="X69" s="1"/>
      <c r="Z69" s="1"/>
      <c r="AA69" s="1"/>
      <c r="AB69" s="1"/>
      <c r="AE69" s="1"/>
      <c r="AF69" s="1"/>
      <c r="AG69" s="21">
        <v>5</v>
      </c>
    </row>
    <row r="70" spans="1:47" x14ac:dyDescent="0.2">
      <c r="A70" t="s">
        <v>719</v>
      </c>
      <c r="J70">
        <v>6</v>
      </c>
      <c r="K70">
        <v>16</v>
      </c>
      <c r="P70" s="1"/>
      <c r="Q70" s="1"/>
      <c r="R70" s="1"/>
      <c r="S70" s="1"/>
      <c r="T70" s="1"/>
      <c r="U70" s="1"/>
      <c r="V70" s="21"/>
      <c r="W70" s="1"/>
      <c r="X70" s="1"/>
      <c r="Z70" s="1"/>
      <c r="AA70" s="21"/>
      <c r="AB70" s="1"/>
      <c r="AE70" s="1"/>
      <c r="AF70" s="21">
        <v>215</v>
      </c>
      <c r="AH70" s="21">
        <v>16</v>
      </c>
      <c r="AM70" s="53">
        <v>124</v>
      </c>
      <c r="AT70">
        <v>125</v>
      </c>
      <c r="AU70">
        <v>288</v>
      </c>
    </row>
    <row r="71" spans="1:47" x14ac:dyDescent="0.2">
      <c r="A71" s="19" t="s">
        <v>606</v>
      </c>
      <c r="J71">
        <v>10</v>
      </c>
      <c r="K71">
        <v>10</v>
      </c>
      <c r="P71" s="1"/>
      <c r="Q71" s="1"/>
      <c r="R71" s="1"/>
      <c r="S71" s="1"/>
      <c r="T71" s="1"/>
      <c r="U71" s="1"/>
      <c r="W71" s="1"/>
      <c r="X71" s="1"/>
      <c r="Z71" s="1"/>
      <c r="AA71" s="1"/>
      <c r="AB71" s="1"/>
      <c r="AE71" s="1"/>
      <c r="AF71" s="1"/>
    </row>
    <row r="72" spans="1:47" x14ac:dyDescent="0.2">
      <c r="A72" s="19" t="s">
        <v>608</v>
      </c>
      <c r="J72">
        <v>8</v>
      </c>
      <c r="K72">
        <v>8</v>
      </c>
      <c r="P72" s="1"/>
      <c r="Q72" s="1"/>
      <c r="R72" s="1"/>
      <c r="S72" s="1"/>
      <c r="T72" s="1"/>
      <c r="U72" s="1"/>
      <c r="W72" s="1"/>
      <c r="X72" s="1"/>
      <c r="Z72" s="1"/>
      <c r="AA72" s="1"/>
      <c r="AB72" s="1"/>
      <c r="AE72" s="1"/>
      <c r="AF72" s="1"/>
    </row>
    <row r="73" spans="1:47" x14ac:dyDescent="0.2">
      <c r="A73" s="19" t="s">
        <v>607</v>
      </c>
      <c r="J73">
        <v>9</v>
      </c>
      <c r="K73">
        <v>9</v>
      </c>
      <c r="P73" s="1"/>
      <c r="Q73" s="1"/>
      <c r="R73" s="1"/>
      <c r="S73" s="1"/>
      <c r="T73" s="1"/>
      <c r="U73" s="1"/>
      <c r="W73" s="1"/>
      <c r="X73" s="1"/>
      <c r="Z73" s="1"/>
      <c r="AA73" s="1"/>
      <c r="AB73" s="1"/>
      <c r="AE73" s="1"/>
      <c r="AF73" s="1"/>
    </row>
    <row r="74" spans="1:47" x14ac:dyDescent="0.2">
      <c r="A74" s="19" t="s">
        <v>702</v>
      </c>
      <c r="J74">
        <v>4</v>
      </c>
      <c r="K74">
        <v>4</v>
      </c>
      <c r="P74" s="1"/>
      <c r="Q74" s="1"/>
      <c r="R74" s="1"/>
      <c r="S74" s="1"/>
      <c r="T74" s="1"/>
      <c r="U74" s="1"/>
      <c r="V74" s="21"/>
      <c r="W74" s="1"/>
      <c r="X74" s="1"/>
      <c r="Z74" s="1"/>
      <c r="AA74" s="21"/>
      <c r="AB74" s="1"/>
      <c r="AE74" s="1"/>
      <c r="AF74" s="21">
        <v>96</v>
      </c>
      <c r="AH74" s="21">
        <v>8</v>
      </c>
      <c r="AK74" s="1"/>
      <c r="AM74" s="53">
        <v>62</v>
      </c>
      <c r="AT74">
        <v>116</v>
      </c>
      <c r="AU74">
        <v>288</v>
      </c>
    </row>
    <row r="75" spans="1:47" x14ac:dyDescent="0.2">
      <c r="A75" t="s">
        <v>380</v>
      </c>
      <c r="B75">
        <v>2</v>
      </c>
      <c r="J75">
        <v>3</v>
      </c>
      <c r="P75" s="1"/>
      <c r="Q75" s="1"/>
      <c r="R75" s="1"/>
      <c r="S75" s="1"/>
      <c r="T75" s="1"/>
      <c r="U75" s="1"/>
      <c r="W75" s="1"/>
      <c r="X75" s="1"/>
      <c r="Z75" s="1"/>
      <c r="AA75" s="1"/>
      <c r="AB75" s="1"/>
      <c r="AE75" s="1"/>
      <c r="AF75" s="1"/>
    </row>
    <row r="76" spans="1:47" x14ac:dyDescent="0.2">
      <c r="A76" t="s">
        <v>586</v>
      </c>
      <c r="P76" s="1"/>
      <c r="Q76" s="1"/>
      <c r="R76" s="1"/>
      <c r="S76" s="1"/>
      <c r="T76" s="1"/>
      <c r="U76" s="1"/>
      <c r="W76" s="1"/>
      <c r="X76" s="1"/>
      <c r="Z76" s="1"/>
      <c r="AA76" s="1"/>
      <c r="AB76" s="1"/>
      <c r="AE76" s="1"/>
      <c r="AF76" s="1"/>
      <c r="AQ76" s="31">
        <v>0.01</v>
      </c>
    </row>
    <row r="77" spans="1:47" x14ac:dyDescent="0.2">
      <c r="A77" t="s">
        <v>378</v>
      </c>
      <c r="J77">
        <v>3</v>
      </c>
      <c r="P77" s="1"/>
      <c r="Q77" s="1"/>
      <c r="R77" s="1"/>
      <c r="S77" s="1"/>
      <c r="T77" s="1"/>
      <c r="U77" s="1"/>
      <c r="W77" s="1"/>
      <c r="X77" s="1"/>
      <c r="Z77" s="1"/>
      <c r="AA77" s="1"/>
      <c r="AB77" s="1"/>
      <c r="AE77" s="1"/>
      <c r="AF77" s="1"/>
      <c r="AP77" s="31">
        <v>0.01</v>
      </c>
    </row>
    <row r="78" spans="1:47" x14ac:dyDescent="0.2">
      <c r="A78" s="19" t="s">
        <v>692</v>
      </c>
      <c r="P78" s="1"/>
      <c r="Q78" s="1"/>
      <c r="R78" s="1"/>
      <c r="S78" s="1"/>
      <c r="T78" s="1"/>
      <c r="U78" s="1"/>
      <c r="W78" s="1"/>
      <c r="X78" s="1"/>
      <c r="Z78" s="1"/>
      <c r="AA78" s="1"/>
      <c r="AB78" s="1"/>
      <c r="AE78" s="1"/>
      <c r="AF78" s="1"/>
      <c r="AM78" s="53">
        <v>10</v>
      </c>
    </row>
    <row r="81" spans="1:45" x14ac:dyDescent="0.2">
      <c r="A81" t="s">
        <v>15</v>
      </c>
      <c r="B81" t="s">
        <v>26</v>
      </c>
      <c r="C81" t="s">
        <v>645</v>
      </c>
      <c r="D81" t="s">
        <v>676</v>
      </c>
      <c r="E81" t="s">
        <v>273</v>
      </c>
      <c r="F81" t="s">
        <v>3</v>
      </c>
      <c r="G81" t="s">
        <v>4</v>
      </c>
      <c r="H81" t="s">
        <v>5</v>
      </c>
      <c r="I81" t="s">
        <v>33</v>
      </c>
      <c r="J81" t="s">
        <v>120</v>
      </c>
      <c r="K81" t="s">
        <v>121</v>
      </c>
      <c r="L81" t="s">
        <v>122</v>
      </c>
      <c r="M81" t="s">
        <v>10</v>
      </c>
      <c r="N81" t="s">
        <v>9</v>
      </c>
      <c r="O81" t="s">
        <v>183</v>
      </c>
      <c r="P81" t="s">
        <v>12</v>
      </c>
      <c r="Q81" t="s">
        <v>84</v>
      </c>
      <c r="R81" t="s">
        <v>177</v>
      </c>
      <c r="S81" t="s">
        <v>265</v>
      </c>
      <c r="T81" t="s">
        <v>132</v>
      </c>
      <c r="U81" t="s">
        <v>266</v>
      </c>
      <c r="V81" t="s">
        <v>11</v>
      </c>
      <c r="W81" t="s">
        <v>78</v>
      </c>
      <c r="X81" t="s">
        <v>77</v>
      </c>
      <c r="Y81" t="s">
        <v>13</v>
      </c>
      <c r="Z81" t="s">
        <v>76</v>
      </c>
      <c r="AA81" t="s">
        <v>131</v>
      </c>
      <c r="AB81" t="s">
        <v>91</v>
      </c>
      <c r="AC81" s="21" t="s">
        <v>250</v>
      </c>
      <c r="AD81" s="21" t="s">
        <v>251</v>
      </c>
      <c r="AE81" t="s">
        <v>175</v>
      </c>
      <c r="AF81" t="s">
        <v>725</v>
      </c>
      <c r="AG81" s="21" t="s">
        <v>651</v>
      </c>
      <c r="AH81" s="21" t="s">
        <v>272</v>
      </c>
      <c r="AI81" s="31" t="s">
        <v>390</v>
      </c>
      <c r="AJ81" s="53" t="s">
        <v>392</v>
      </c>
      <c r="AK81" s="21" t="s">
        <v>315</v>
      </c>
      <c r="AL81" s="31" t="s">
        <v>274</v>
      </c>
      <c r="AM81" s="64" t="s">
        <v>595</v>
      </c>
      <c r="AN81" s="31" t="s">
        <v>275</v>
      </c>
      <c r="AO81" s="31" t="s">
        <v>515</v>
      </c>
      <c r="AP81" s="31" t="s">
        <v>516</v>
      </c>
      <c r="AQ81" s="31" t="s">
        <v>312</v>
      </c>
      <c r="AR81" s="31" t="s">
        <v>549</v>
      </c>
      <c r="AS81" s="31" t="s">
        <v>550</v>
      </c>
    </row>
    <row r="82" spans="1:45" x14ac:dyDescent="0.2">
      <c r="A82" t="s">
        <v>374</v>
      </c>
      <c r="P82" s="1"/>
      <c r="Q82" s="1"/>
      <c r="R82" s="1"/>
      <c r="S82" s="1"/>
      <c r="T82" s="1"/>
      <c r="U82" s="1"/>
      <c r="V82" s="21"/>
      <c r="W82" s="1"/>
      <c r="X82" s="1"/>
      <c r="Z82" s="1"/>
      <c r="AA82" s="1"/>
      <c r="AB82" s="1"/>
      <c r="AE82" s="1"/>
      <c r="AF82" s="1"/>
      <c r="AP82" s="31">
        <v>0.03</v>
      </c>
    </row>
    <row r="83" spans="1:45" x14ac:dyDescent="0.2">
      <c r="A83" s="19" t="s">
        <v>691</v>
      </c>
      <c r="P83" s="1"/>
      <c r="Q83" s="1"/>
      <c r="R83" s="1"/>
      <c r="S83" s="1"/>
      <c r="T83" s="1"/>
      <c r="U83" s="1"/>
      <c r="V83" s="21"/>
      <c r="W83" s="1"/>
      <c r="X83" s="1"/>
      <c r="Z83" s="1"/>
      <c r="AA83" s="1"/>
      <c r="AB83" s="1"/>
      <c r="AE83" s="1"/>
      <c r="AF83" s="1"/>
      <c r="AM83" s="53">
        <v>13</v>
      </c>
    </row>
    <row r="84" spans="1:45" x14ac:dyDescent="0.2">
      <c r="A84" t="s">
        <v>369</v>
      </c>
      <c r="P84" s="1"/>
      <c r="Q84" s="1"/>
      <c r="R84" s="1"/>
      <c r="S84" s="1"/>
      <c r="T84" s="1"/>
      <c r="U84" s="1"/>
      <c r="V84" s="21"/>
      <c r="W84" s="1"/>
      <c r="X84" s="1"/>
      <c r="Z84" s="1"/>
      <c r="AA84" s="1"/>
      <c r="AB84" s="1"/>
      <c r="AE84" s="1"/>
      <c r="AF84" s="1"/>
      <c r="AH84" s="21">
        <v>3</v>
      </c>
    </row>
    <row r="85" spans="1:45" x14ac:dyDescent="0.2">
      <c r="A85" t="s">
        <v>373</v>
      </c>
      <c r="P85" s="1"/>
      <c r="Q85" s="1"/>
      <c r="R85" s="1"/>
      <c r="S85" s="1"/>
      <c r="T85" s="1"/>
      <c r="U85" s="1"/>
      <c r="V85" s="21"/>
      <c r="W85" s="1"/>
      <c r="X85" s="1"/>
      <c r="Z85" s="1"/>
      <c r="AA85" s="1"/>
      <c r="AB85" s="1"/>
      <c r="AE85" s="1"/>
      <c r="AF85" s="1"/>
      <c r="AQ85" s="31">
        <v>0.02</v>
      </c>
    </row>
    <row r="86" spans="1:45" x14ac:dyDescent="0.2">
      <c r="A86" s="19" t="s">
        <v>703</v>
      </c>
      <c r="K86">
        <v>1</v>
      </c>
      <c r="P86" s="1"/>
      <c r="Q86" s="1"/>
      <c r="R86" s="1"/>
      <c r="S86" s="1"/>
      <c r="T86" s="1"/>
      <c r="U86" s="1"/>
      <c r="V86" s="21"/>
      <c r="W86" s="1"/>
      <c r="X86" s="1"/>
      <c r="Z86" s="1"/>
      <c r="AA86" s="1"/>
      <c r="AB86" s="1"/>
      <c r="AE86" s="1"/>
      <c r="AF86" s="1"/>
      <c r="AG86" s="21">
        <v>4</v>
      </c>
    </row>
    <row r="87" spans="1:45" x14ac:dyDescent="0.2">
      <c r="A87" t="s">
        <v>370</v>
      </c>
      <c r="P87" s="1"/>
      <c r="Q87" s="1"/>
      <c r="R87" s="1"/>
      <c r="S87" s="1"/>
      <c r="T87" s="1"/>
      <c r="U87" s="1"/>
      <c r="V87" s="21"/>
      <c r="W87" s="1"/>
      <c r="X87" s="1"/>
      <c r="Z87" s="1"/>
      <c r="AA87" s="1"/>
      <c r="AB87" s="1"/>
      <c r="AE87" s="1"/>
      <c r="AF87" s="1"/>
      <c r="AG87" s="21">
        <v>2</v>
      </c>
      <c r="AH87" s="21">
        <v>2</v>
      </c>
    </row>
    <row r="88" spans="1:45" x14ac:dyDescent="0.2">
      <c r="A88" t="s">
        <v>371</v>
      </c>
      <c r="J88">
        <v>4</v>
      </c>
      <c r="P88" s="1"/>
      <c r="Q88" s="1"/>
      <c r="R88" s="1"/>
      <c r="S88" s="1"/>
      <c r="T88" s="1"/>
      <c r="U88" s="1"/>
      <c r="V88" s="21"/>
      <c r="W88" s="1"/>
      <c r="X88" s="1"/>
      <c r="Z88" s="1"/>
      <c r="AA88" s="1"/>
      <c r="AB88" s="1"/>
      <c r="AE88" s="1"/>
      <c r="AF88" s="1"/>
      <c r="AP88" s="31">
        <v>0.02</v>
      </c>
    </row>
    <row r="89" spans="1:45" s="65" customFormat="1" x14ac:dyDescent="0.2">
      <c r="A89" s="87" t="s">
        <v>738</v>
      </c>
      <c r="J89" s="65">
        <v>6</v>
      </c>
      <c r="P89" s="88"/>
      <c r="Q89" s="88"/>
      <c r="R89" s="88"/>
      <c r="S89" s="88"/>
      <c r="T89" s="88"/>
      <c r="U89" s="88"/>
      <c r="V89" s="89"/>
      <c r="W89" s="88"/>
      <c r="X89" s="88"/>
      <c r="Z89" s="88"/>
      <c r="AA89" s="88"/>
      <c r="AB89" s="88"/>
      <c r="AC89" s="89"/>
      <c r="AD89" s="89"/>
      <c r="AE89" s="88"/>
      <c r="AF89" s="88"/>
      <c r="AG89" s="89"/>
      <c r="AH89" s="89">
        <v>3</v>
      </c>
      <c r="AI89" s="66"/>
      <c r="AJ89" s="90"/>
      <c r="AK89" s="89"/>
      <c r="AL89" s="66"/>
      <c r="AM89" s="90"/>
      <c r="AN89" s="66"/>
      <c r="AO89" s="66"/>
      <c r="AP89" s="66">
        <v>0.04</v>
      </c>
      <c r="AQ89" s="66"/>
      <c r="AR89" s="66"/>
      <c r="AS89" s="66"/>
    </row>
    <row r="90" spans="1:45" x14ac:dyDescent="0.2">
      <c r="A90" t="s">
        <v>368</v>
      </c>
      <c r="K90">
        <v>4</v>
      </c>
      <c r="P90" s="1"/>
      <c r="Q90" s="1"/>
      <c r="R90" s="1"/>
      <c r="S90" s="1"/>
      <c r="T90" s="1"/>
      <c r="U90" s="1"/>
      <c r="V90" s="21"/>
      <c r="W90" s="1"/>
      <c r="X90" s="1"/>
      <c r="Z90" s="1"/>
      <c r="AA90" s="1"/>
      <c r="AB90" s="1"/>
      <c r="AE90" s="1"/>
      <c r="AF90" s="1"/>
      <c r="AG90" s="21">
        <v>1</v>
      </c>
    </row>
    <row r="91" spans="1:45" x14ac:dyDescent="0.2">
      <c r="A91" t="s">
        <v>376</v>
      </c>
      <c r="J91">
        <v>2</v>
      </c>
      <c r="P91" s="1"/>
      <c r="Q91" s="1"/>
      <c r="R91" s="1"/>
      <c r="S91" s="1"/>
      <c r="T91" s="1"/>
      <c r="U91" s="1"/>
      <c r="V91" s="21"/>
      <c r="W91" s="1"/>
      <c r="X91" s="1"/>
      <c r="Z91" s="1"/>
      <c r="AA91" s="1"/>
      <c r="AB91" s="1"/>
      <c r="AE91" s="1"/>
      <c r="AF91" s="1"/>
    </row>
    <row r="92" spans="1:45" x14ac:dyDescent="0.2">
      <c r="A92" t="s">
        <v>372</v>
      </c>
      <c r="J92">
        <v>2</v>
      </c>
      <c r="P92" s="1"/>
      <c r="Q92" s="1"/>
      <c r="R92" s="1"/>
      <c r="S92" s="1"/>
      <c r="T92" s="1"/>
      <c r="U92" s="1"/>
      <c r="V92" s="21"/>
      <c r="W92" s="1"/>
      <c r="X92" s="1"/>
      <c r="Z92" s="1"/>
      <c r="AA92" s="1"/>
      <c r="AB92" s="1"/>
      <c r="AE92" s="1"/>
      <c r="AF92" s="1"/>
    </row>
    <row r="93" spans="1:45" x14ac:dyDescent="0.2">
      <c r="A93" t="s">
        <v>375</v>
      </c>
      <c r="P93" s="1"/>
      <c r="Q93" s="1"/>
      <c r="R93" s="1"/>
      <c r="S93" s="1"/>
      <c r="T93" s="1"/>
      <c r="U93" s="1"/>
      <c r="V93" s="21"/>
      <c r="W93" s="1"/>
      <c r="X93" s="1"/>
      <c r="Z93" s="1"/>
      <c r="AA93" s="1"/>
      <c r="AB93" s="1"/>
      <c r="AE93" s="1"/>
      <c r="AF93" s="1"/>
      <c r="AH93" s="21">
        <v>2</v>
      </c>
    </row>
    <row r="94" spans="1:45" x14ac:dyDescent="0.2">
      <c r="V94" s="21"/>
    </row>
    <row r="96" spans="1:45" x14ac:dyDescent="0.2">
      <c r="A96" t="s">
        <v>16</v>
      </c>
      <c r="B96" t="s">
        <v>26</v>
      </c>
      <c r="C96" t="s">
        <v>645</v>
      </c>
      <c r="D96" t="s">
        <v>676</v>
      </c>
      <c r="E96" t="s">
        <v>273</v>
      </c>
      <c r="F96" t="s">
        <v>3</v>
      </c>
      <c r="G96" t="s">
        <v>4</v>
      </c>
      <c r="H96" t="s">
        <v>5</v>
      </c>
      <c r="I96" t="s">
        <v>33</v>
      </c>
      <c r="J96" t="s">
        <v>120</v>
      </c>
      <c r="K96" t="s">
        <v>121</v>
      </c>
      <c r="L96" t="s">
        <v>122</v>
      </c>
      <c r="M96" t="s">
        <v>10</v>
      </c>
      <c r="N96" t="s">
        <v>9</v>
      </c>
      <c r="O96" t="s">
        <v>183</v>
      </c>
      <c r="P96" t="s">
        <v>12</v>
      </c>
      <c r="Q96" t="s">
        <v>84</v>
      </c>
      <c r="R96" t="s">
        <v>177</v>
      </c>
      <c r="S96" t="s">
        <v>265</v>
      </c>
      <c r="T96" t="s">
        <v>132</v>
      </c>
      <c r="U96" t="s">
        <v>266</v>
      </c>
      <c r="V96" t="s">
        <v>11</v>
      </c>
      <c r="W96" t="s">
        <v>78</v>
      </c>
      <c r="X96" t="s">
        <v>77</v>
      </c>
      <c r="Y96" t="s">
        <v>13</v>
      </c>
      <c r="Z96" t="s">
        <v>76</v>
      </c>
      <c r="AA96" t="s">
        <v>131</v>
      </c>
      <c r="AB96" t="s">
        <v>91</v>
      </c>
      <c r="AC96" s="21" t="s">
        <v>250</v>
      </c>
      <c r="AD96" s="21" t="s">
        <v>251</v>
      </c>
      <c r="AE96" t="s">
        <v>175</v>
      </c>
      <c r="AF96" t="s">
        <v>725</v>
      </c>
      <c r="AG96" s="21" t="s">
        <v>651</v>
      </c>
      <c r="AH96" s="21" t="s">
        <v>272</v>
      </c>
      <c r="AI96" s="31" t="s">
        <v>390</v>
      </c>
      <c r="AJ96" s="53" t="s">
        <v>392</v>
      </c>
      <c r="AK96" s="21" t="s">
        <v>315</v>
      </c>
      <c r="AL96" s="31" t="s">
        <v>274</v>
      </c>
      <c r="AM96" s="64" t="s">
        <v>595</v>
      </c>
      <c r="AN96" s="31" t="s">
        <v>275</v>
      </c>
      <c r="AO96" s="31" t="s">
        <v>515</v>
      </c>
      <c r="AP96" s="31" t="s">
        <v>516</v>
      </c>
      <c r="AQ96" s="31" t="s">
        <v>312</v>
      </c>
      <c r="AR96" s="31" t="s">
        <v>549</v>
      </c>
      <c r="AS96" s="31" t="s">
        <v>550</v>
      </c>
    </row>
    <row r="97" spans="1:45" x14ac:dyDescent="0.2">
      <c r="A97" t="s">
        <v>391</v>
      </c>
      <c r="J97">
        <v>5</v>
      </c>
      <c r="K97">
        <v>5</v>
      </c>
      <c r="L97">
        <v>5</v>
      </c>
      <c r="O97" s="1"/>
      <c r="P97" s="1"/>
      <c r="Q97" s="1"/>
      <c r="R97" s="1"/>
      <c r="S97" s="1"/>
      <c r="T97" s="1"/>
      <c r="U97" s="1"/>
      <c r="V97" s="21"/>
      <c r="W97" s="1"/>
      <c r="X97" s="1"/>
      <c r="Y97" s="21"/>
      <c r="Z97" s="1"/>
      <c r="AA97" s="1"/>
      <c r="AB97" s="1"/>
      <c r="AE97" s="1"/>
      <c r="AF97" s="1"/>
      <c r="AG97" s="21">
        <v>10</v>
      </c>
      <c r="AH97" s="21">
        <v>6</v>
      </c>
      <c r="AI97" s="31">
        <v>0.1</v>
      </c>
    </row>
    <row r="98" spans="1:45" x14ac:dyDescent="0.2">
      <c r="A98" t="s">
        <v>746</v>
      </c>
      <c r="B98">
        <v>17</v>
      </c>
      <c r="F98">
        <v>14</v>
      </c>
      <c r="G98">
        <v>14</v>
      </c>
      <c r="H98">
        <v>14</v>
      </c>
      <c r="I98">
        <v>14</v>
      </c>
      <c r="J98">
        <v>24</v>
      </c>
      <c r="K98">
        <v>19</v>
      </c>
      <c r="L98">
        <v>19</v>
      </c>
      <c r="O98" s="1"/>
      <c r="P98" s="1"/>
      <c r="Q98" s="1"/>
      <c r="R98" s="1"/>
      <c r="S98" s="1"/>
      <c r="T98" s="1"/>
      <c r="U98" s="1"/>
      <c r="V98" s="21"/>
      <c r="W98" s="1"/>
      <c r="X98" s="1"/>
      <c r="Y98" s="21"/>
      <c r="Z98" s="1"/>
      <c r="AA98" s="1"/>
      <c r="AB98" s="1"/>
      <c r="AE98" s="1"/>
      <c r="AF98" s="1"/>
      <c r="AG98" s="21">
        <v>12</v>
      </c>
      <c r="AH98" s="21">
        <v>12</v>
      </c>
    </row>
    <row r="99" spans="1:45" x14ac:dyDescent="0.2">
      <c r="A99" t="s">
        <v>389</v>
      </c>
      <c r="O99" s="1"/>
      <c r="P99" s="1"/>
      <c r="Q99" s="1"/>
      <c r="R99" s="1"/>
      <c r="S99" s="1"/>
      <c r="T99" s="1"/>
      <c r="U99" s="1"/>
      <c r="V99" s="21">
        <v>30</v>
      </c>
      <c r="W99" s="1"/>
      <c r="X99" s="1"/>
      <c r="Y99" s="21"/>
      <c r="Z99" s="1"/>
      <c r="AA99" s="1"/>
      <c r="AB99" s="1"/>
      <c r="AE99" s="1"/>
      <c r="AF99" s="1"/>
      <c r="AG99" s="21">
        <v>7</v>
      </c>
      <c r="AH99" s="21">
        <v>7</v>
      </c>
    </row>
    <row r="100" spans="1:45" x14ac:dyDescent="0.2">
      <c r="A100" t="s">
        <v>384</v>
      </c>
      <c r="J100">
        <v>5</v>
      </c>
      <c r="K100">
        <v>7</v>
      </c>
      <c r="O100" s="1"/>
      <c r="P100" s="1"/>
      <c r="Q100" s="1"/>
      <c r="R100" s="1"/>
      <c r="S100" s="1"/>
      <c r="T100" s="1"/>
      <c r="U100" s="1"/>
      <c r="V100" s="21"/>
      <c r="W100" s="1"/>
      <c r="X100" s="1"/>
      <c r="Y100" s="21"/>
      <c r="Z100" s="1"/>
      <c r="AA100" s="1"/>
      <c r="AB100" s="1"/>
      <c r="AE100" s="1"/>
      <c r="AF100" s="1"/>
      <c r="AG100" s="21">
        <v>7</v>
      </c>
    </row>
    <row r="101" spans="1:45" x14ac:dyDescent="0.2">
      <c r="A101" t="s">
        <v>461</v>
      </c>
      <c r="F101">
        <v>9</v>
      </c>
      <c r="G101">
        <v>9</v>
      </c>
      <c r="H101">
        <v>9</v>
      </c>
      <c r="I101">
        <v>9</v>
      </c>
      <c r="J101">
        <v>13</v>
      </c>
      <c r="K101">
        <v>13</v>
      </c>
      <c r="L101">
        <v>13</v>
      </c>
      <c r="O101" s="1"/>
      <c r="P101" s="1"/>
      <c r="Q101" s="1"/>
      <c r="R101" s="1"/>
      <c r="S101" s="1"/>
      <c r="T101" s="1"/>
      <c r="U101" s="1"/>
      <c r="V101" s="21"/>
      <c r="W101" s="1"/>
      <c r="X101" s="1"/>
      <c r="Y101" s="21"/>
      <c r="Z101" s="1"/>
      <c r="AA101" s="1"/>
      <c r="AB101" s="1"/>
      <c r="AE101" s="1"/>
      <c r="AF101" s="1"/>
    </row>
    <row r="102" spans="1:45" x14ac:dyDescent="0.2">
      <c r="A102" t="s">
        <v>538</v>
      </c>
      <c r="F102">
        <v>9</v>
      </c>
      <c r="G102">
        <v>9</v>
      </c>
      <c r="H102">
        <v>9</v>
      </c>
      <c r="I102">
        <v>9</v>
      </c>
      <c r="J102">
        <v>15</v>
      </c>
      <c r="K102">
        <v>13</v>
      </c>
      <c r="L102">
        <v>13</v>
      </c>
      <c r="O102" s="1"/>
      <c r="P102" s="1"/>
      <c r="Q102" s="1"/>
      <c r="R102" s="1"/>
      <c r="S102" s="1"/>
      <c r="T102" s="1"/>
      <c r="U102" s="1"/>
      <c r="V102" s="21"/>
      <c r="W102" s="1"/>
      <c r="X102" s="1"/>
      <c r="Y102" s="21"/>
      <c r="Z102" s="1"/>
      <c r="AA102" s="1"/>
      <c r="AB102" s="1"/>
      <c r="AE102" s="1"/>
      <c r="AF102" s="1"/>
      <c r="AH102" s="21">
        <v>7</v>
      </c>
    </row>
    <row r="103" spans="1:45" x14ac:dyDescent="0.2">
      <c r="A103" t="s">
        <v>539</v>
      </c>
      <c r="F103">
        <v>9</v>
      </c>
      <c r="G103">
        <v>9</v>
      </c>
      <c r="H103">
        <v>9</v>
      </c>
      <c r="I103">
        <v>9</v>
      </c>
      <c r="J103">
        <v>13</v>
      </c>
      <c r="K103">
        <v>15</v>
      </c>
      <c r="L103">
        <v>13</v>
      </c>
      <c r="O103" s="1"/>
      <c r="P103" s="1"/>
      <c r="Q103" s="1"/>
      <c r="R103" s="1"/>
      <c r="S103" s="1"/>
      <c r="T103" s="1"/>
      <c r="U103" s="1"/>
      <c r="V103" s="21"/>
      <c r="W103" s="1"/>
      <c r="X103" s="1"/>
      <c r="Y103" s="21"/>
      <c r="Z103" s="1"/>
      <c r="AA103" s="1"/>
      <c r="AB103" s="1"/>
      <c r="AE103" s="1"/>
      <c r="AF103" s="1"/>
      <c r="AG103" s="21">
        <v>7</v>
      </c>
    </row>
    <row r="104" spans="1:45" x14ac:dyDescent="0.2">
      <c r="A104" t="s">
        <v>540</v>
      </c>
      <c r="F104">
        <v>9</v>
      </c>
      <c r="G104">
        <v>9</v>
      </c>
      <c r="H104">
        <v>9</v>
      </c>
      <c r="I104">
        <v>9</v>
      </c>
      <c r="J104">
        <v>23</v>
      </c>
      <c r="K104">
        <v>23</v>
      </c>
      <c r="L104">
        <v>13</v>
      </c>
      <c r="O104" s="1"/>
      <c r="P104" s="1"/>
      <c r="Q104" s="1"/>
      <c r="R104" s="1"/>
      <c r="S104" s="1"/>
      <c r="T104" s="1"/>
      <c r="U104" s="1"/>
      <c r="V104" s="21"/>
      <c r="W104" s="1"/>
      <c r="X104" s="1"/>
      <c r="Y104" s="21"/>
      <c r="Z104" s="1"/>
      <c r="AA104" s="1"/>
      <c r="AB104" s="1"/>
      <c r="AE104" s="1"/>
      <c r="AF104" s="1"/>
      <c r="AH104" s="21">
        <v>13</v>
      </c>
    </row>
    <row r="105" spans="1:45" x14ac:dyDescent="0.2">
      <c r="A105" t="s">
        <v>541</v>
      </c>
      <c r="F105">
        <v>9</v>
      </c>
      <c r="G105">
        <v>9</v>
      </c>
      <c r="H105">
        <v>9</v>
      </c>
      <c r="I105">
        <v>9</v>
      </c>
      <c r="J105">
        <v>23</v>
      </c>
      <c r="K105">
        <v>23</v>
      </c>
      <c r="L105">
        <v>13</v>
      </c>
      <c r="O105" s="1"/>
      <c r="P105" s="1"/>
      <c r="Q105" s="1"/>
      <c r="R105" s="1"/>
      <c r="S105" s="1"/>
      <c r="T105" s="1"/>
      <c r="U105" s="1"/>
      <c r="V105" s="21"/>
      <c r="W105" s="1"/>
      <c r="X105" s="1"/>
      <c r="Y105" s="21"/>
      <c r="Z105" s="1"/>
      <c r="AA105" s="1"/>
      <c r="AB105" s="1"/>
      <c r="AE105" s="1"/>
      <c r="AF105" s="1"/>
      <c r="AG105" s="21">
        <v>13</v>
      </c>
    </row>
    <row r="106" spans="1:45" s="65" customFormat="1" x14ac:dyDescent="0.2">
      <c r="A106" s="87" t="s">
        <v>600</v>
      </c>
      <c r="F106" s="65">
        <v>20</v>
      </c>
      <c r="G106" s="65">
        <v>20</v>
      </c>
      <c r="H106" s="65">
        <v>20</v>
      </c>
      <c r="I106" s="65">
        <v>20</v>
      </c>
      <c r="J106" s="65">
        <v>32</v>
      </c>
      <c r="K106" s="65">
        <v>24</v>
      </c>
      <c r="L106" s="65">
        <v>24</v>
      </c>
      <c r="O106" s="88"/>
      <c r="P106" s="88"/>
      <c r="Q106" s="88"/>
      <c r="R106" s="88"/>
      <c r="S106" s="88"/>
      <c r="T106" s="88"/>
      <c r="U106" s="88"/>
      <c r="V106" s="89">
        <v>51</v>
      </c>
      <c r="W106" s="88"/>
      <c r="X106" s="88"/>
      <c r="Y106" s="89"/>
      <c r="Z106" s="88"/>
      <c r="AA106" s="88"/>
      <c r="AB106" s="88"/>
      <c r="AC106" s="89"/>
      <c r="AD106" s="89"/>
      <c r="AE106" s="88"/>
      <c r="AF106" s="88"/>
      <c r="AG106" s="89">
        <v>15</v>
      </c>
      <c r="AH106" s="89"/>
      <c r="AI106" s="66"/>
      <c r="AJ106" s="90"/>
      <c r="AK106" s="89"/>
      <c r="AL106" s="66"/>
      <c r="AM106" s="90">
        <v>35</v>
      </c>
      <c r="AN106" s="66"/>
      <c r="AO106" s="66"/>
      <c r="AP106" s="66"/>
      <c r="AQ106" s="66"/>
      <c r="AR106" s="66"/>
      <c r="AS106" s="66"/>
    </row>
    <row r="107" spans="1:45" x14ac:dyDescent="0.2">
      <c r="A107" t="s">
        <v>387</v>
      </c>
      <c r="F107">
        <v>-7</v>
      </c>
      <c r="G107">
        <v>-7</v>
      </c>
      <c r="H107">
        <v>-7</v>
      </c>
      <c r="I107">
        <v>-7</v>
      </c>
      <c r="J107">
        <v>7</v>
      </c>
      <c r="K107">
        <v>7</v>
      </c>
      <c r="L107">
        <v>7</v>
      </c>
      <c r="O107" s="1"/>
      <c r="P107" s="1"/>
      <c r="Q107" s="1"/>
      <c r="R107" s="1"/>
      <c r="S107" s="1"/>
      <c r="T107" s="1"/>
      <c r="U107" s="1"/>
      <c r="V107" s="21"/>
      <c r="W107" s="1"/>
      <c r="X107" s="1"/>
      <c r="Y107" s="21"/>
      <c r="Z107" s="1"/>
      <c r="AA107" s="1"/>
      <c r="AB107" s="1"/>
      <c r="AE107" s="1"/>
      <c r="AF107" s="1"/>
      <c r="AH107" s="21">
        <v>5</v>
      </c>
    </row>
    <row r="108" spans="1:45" x14ac:dyDescent="0.2">
      <c r="A108" t="s">
        <v>388</v>
      </c>
      <c r="F108">
        <v>-8</v>
      </c>
      <c r="G108">
        <v>-8</v>
      </c>
      <c r="H108">
        <v>-8</v>
      </c>
      <c r="I108">
        <v>-8</v>
      </c>
      <c r="J108">
        <v>8</v>
      </c>
      <c r="K108">
        <v>8</v>
      </c>
      <c r="L108">
        <v>8</v>
      </c>
      <c r="O108" s="1"/>
      <c r="P108" s="1"/>
      <c r="Q108" s="1"/>
      <c r="R108" s="1"/>
      <c r="S108" s="1"/>
      <c r="T108" s="1"/>
      <c r="U108" s="1"/>
      <c r="V108" s="21"/>
      <c r="W108" s="1"/>
      <c r="X108" s="1"/>
      <c r="Y108" s="21"/>
      <c r="Z108" s="1"/>
      <c r="AA108" s="1"/>
      <c r="AB108" s="1"/>
      <c r="AE108" s="1"/>
      <c r="AF108" s="1"/>
      <c r="AH108" s="21">
        <v>6</v>
      </c>
    </row>
    <row r="109" spans="1:45" x14ac:dyDescent="0.2">
      <c r="A109" t="s">
        <v>409</v>
      </c>
      <c r="J109">
        <v>8</v>
      </c>
      <c r="K109">
        <v>8</v>
      </c>
      <c r="O109" s="1"/>
      <c r="P109" s="1"/>
      <c r="Q109" s="1"/>
      <c r="R109" s="1"/>
      <c r="S109" s="1"/>
      <c r="T109" s="1"/>
      <c r="U109" s="1"/>
      <c r="V109" s="21"/>
      <c r="W109" s="1"/>
      <c r="X109" s="1"/>
      <c r="Y109" s="21"/>
      <c r="Z109" s="1"/>
      <c r="AA109" s="1"/>
      <c r="AB109" s="1"/>
      <c r="AE109" s="1"/>
      <c r="AF109" s="1"/>
      <c r="AG109" s="21">
        <v>7</v>
      </c>
      <c r="AH109" s="21">
        <v>7</v>
      </c>
    </row>
    <row r="110" spans="1:45" x14ac:dyDescent="0.2">
      <c r="A110" t="s">
        <v>402</v>
      </c>
      <c r="B110">
        <v>10</v>
      </c>
      <c r="J110">
        <v>7</v>
      </c>
      <c r="K110">
        <v>7</v>
      </c>
      <c r="O110" s="1"/>
      <c r="P110" s="1"/>
      <c r="Q110" s="1"/>
      <c r="R110" s="1"/>
      <c r="S110" s="1"/>
      <c r="T110" s="1"/>
      <c r="U110" s="1"/>
      <c r="V110" s="21"/>
      <c r="W110" s="1"/>
      <c r="X110" s="1"/>
      <c r="Y110" s="21"/>
      <c r="Z110" s="1"/>
      <c r="AA110" s="1"/>
      <c r="AB110" s="1"/>
      <c r="AE110" s="1"/>
      <c r="AF110" s="1"/>
      <c r="AG110" s="21">
        <v>8</v>
      </c>
    </row>
    <row r="111" spans="1:45" x14ac:dyDescent="0.2">
      <c r="A111" t="s">
        <v>408</v>
      </c>
      <c r="B111">
        <v>15</v>
      </c>
      <c r="J111">
        <v>8</v>
      </c>
      <c r="O111" s="1"/>
      <c r="P111" s="1"/>
      <c r="Q111" s="1"/>
      <c r="R111" s="1"/>
      <c r="S111" s="1"/>
      <c r="T111" s="1"/>
      <c r="U111" s="1"/>
      <c r="V111" s="21"/>
      <c r="W111" s="1"/>
      <c r="X111" s="1"/>
      <c r="Y111" s="21"/>
      <c r="Z111" s="1"/>
      <c r="AA111" s="1"/>
      <c r="AB111" s="1"/>
      <c r="AE111" s="1"/>
      <c r="AF111" s="1"/>
      <c r="AR111" s="31">
        <v>0.12</v>
      </c>
    </row>
    <row r="112" spans="1:45" x14ac:dyDescent="0.2">
      <c r="A112" s="19" t="s">
        <v>628</v>
      </c>
      <c r="F112">
        <v>15</v>
      </c>
      <c r="G112">
        <v>15</v>
      </c>
      <c r="H112">
        <v>15</v>
      </c>
      <c r="I112">
        <v>15</v>
      </c>
      <c r="J112">
        <v>19</v>
      </c>
      <c r="K112">
        <v>19</v>
      </c>
      <c r="L112">
        <v>19</v>
      </c>
      <c r="O112" s="1"/>
      <c r="P112" s="1"/>
      <c r="Q112" s="1"/>
      <c r="R112" s="1"/>
      <c r="S112" s="1"/>
      <c r="T112" s="1"/>
      <c r="U112" s="1"/>
      <c r="V112" s="21">
        <v>51</v>
      </c>
      <c r="W112" s="1"/>
      <c r="X112" s="1"/>
      <c r="Y112" s="21"/>
      <c r="Z112" s="1"/>
      <c r="AA112" s="1"/>
      <c r="AB112" s="1"/>
      <c r="AE112" s="1"/>
      <c r="AF112" s="1"/>
      <c r="AH112" s="21">
        <v>13</v>
      </c>
    </row>
    <row r="113" spans="1:45" x14ac:dyDescent="0.2">
      <c r="A113" s="19" t="s">
        <v>716</v>
      </c>
      <c r="F113">
        <v>15</v>
      </c>
      <c r="G113">
        <v>15</v>
      </c>
      <c r="H113">
        <v>15</v>
      </c>
      <c r="I113">
        <v>15</v>
      </c>
      <c r="J113">
        <v>19</v>
      </c>
      <c r="K113">
        <v>19</v>
      </c>
      <c r="L113">
        <v>19</v>
      </c>
      <c r="O113" s="1"/>
      <c r="P113" s="1"/>
      <c r="Q113" s="1"/>
      <c r="R113" s="1"/>
      <c r="S113" s="1"/>
      <c r="T113" s="1"/>
      <c r="U113" s="1"/>
      <c r="V113" s="21">
        <v>51</v>
      </c>
      <c r="W113" s="1"/>
      <c r="X113" s="1"/>
      <c r="Y113" s="21"/>
      <c r="Z113" s="1"/>
      <c r="AA113" s="1"/>
      <c r="AB113" s="1"/>
      <c r="AE113" s="1"/>
      <c r="AF113" s="1"/>
      <c r="AH113" s="21">
        <v>41</v>
      </c>
    </row>
    <row r="114" spans="1:45" x14ac:dyDescent="0.2">
      <c r="A114" s="19" t="s">
        <v>717</v>
      </c>
      <c r="F114">
        <v>15</v>
      </c>
      <c r="G114">
        <v>15</v>
      </c>
      <c r="H114">
        <v>15</v>
      </c>
      <c r="I114">
        <v>15</v>
      </c>
      <c r="J114">
        <v>19</v>
      </c>
      <c r="K114">
        <v>19</v>
      </c>
      <c r="L114">
        <v>19</v>
      </c>
      <c r="O114" s="1"/>
      <c r="P114" s="1"/>
      <c r="Q114" s="1"/>
      <c r="R114" s="1"/>
      <c r="S114" s="1"/>
      <c r="T114" s="1"/>
      <c r="U114" s="1"/>
      <c r="V114" s="21">
        <v>51</v>
      </c>
      <c r="W114" s="1"/>
      <c r="X114" s="1"/>
      <c r="Y114" s="21"/>
      <c r="Z114" s="1"/>
      <c r="AA114" s="1"/>
      <c r="AB114" s="1"/>
      <c r="AE114" s="1"/>
      <c r="AF114" s="1"/>
      <c r="AH114" s="21">
        <v>42</v>
      </c>
    </row>
    <row r="115" spans="1:45" x14ac:dyDescent="0.2">
      <c r="A115" s="19" t="s">
        <v>737</v>
      </c>
      <c r="F115">
        <v>16</v>
      </c>
      <c r="G115">
        <v>16</v>
      </c>
      <c r="H115">
        <v>16</v>
      </c>
      <c r="I115">
        <v>16</v>
      </c>
      <c r="J115">
        <v>21</v>
      </c>
      <c r="K115">
        <v>21</v>
      </c>
      <c r="L115">
        <v>21</v>
      </c>
      <c r="O115" s="1"/>
      <c r="P115" s="1"/>
      <c r="Q115" s="1"/>
      <c r="R115" s="1"/>
      <c r="S115" s="1"/>
      <c r="T115" s="1"/>
      <c r="U115" s="1"/>
      <c r="V115" s="21"/>
      <c r="W115" s="1"/>
      <c r="X115" s="1"/>
      <c r="Y115" s="21"/>
      <c r="Z115" s="1"/>
      <c r="AA115" s="1"/>
      <c r="AB115" s="1"/>
      <c r="AE115" s="1"/>
      <c r="AF115" s="1"/>
      <c r="AH115" s="21">
        <v>13</v>
      </c>
    </row>
    <row r="116" spans="1:45" x14ac:dyDescent="0.2">
      <c r="A116" s="19" t="s">
        <v>736</v>
      </c>
      <c r="F116">
        <v>16</v>
      </c>
      <c r="G116">
        <v>16</v>
      </c>
      <c r="H116">
        <v>16</v>
      </c>
      <c r="I116">
        <v>16</v>
      </c>
      <c r="J116">
        <v>21</v>
      </c>
      <c r="K116">
        <v>21</v>
      </c>
      <c r="L116">
        <v>21</v>
      </c>
      <c r="O116" s="1"/>
      <c r="P116" s="1"/>
      <c r="Q116" s="1"/>
      <c r="R116" s="1"/>
      <c r="S116" s="1"/>
      <c r="T116" s="1"/>
      <c r="U116" s="1"/>
      <c r="V116" s="21"/>
      <c r="W116" s="1"/>
      <c r="X116" s="1"/>
      <c r="Y116" s="21"/>
      <c r="Z116" s="1"/>
      <c r="AA116" s="1"/>
      <c r="AB116" s="1"/>
      <c r="AE116" s="1"/>
      <c r="AF116" s="1"/>
      <c r="AH116" s="21">
        <v>35</v>
      </c>
    </row>
    <row r="117" spans="1:45" s="65" customFormat="1" x14ac:dyDescent="0.2">
      <c r="A117" s="87" t="s">
        <v>750</v>
      </c>
      <c r="F117" s="65">
        <v>17</v>
      </c>
      <c r="G117" s="65">
        <v>17</v>
      </c>
      <c r="H117" s="65">
        <v>17</v>
      </c>
      <c r="I117" s="65">
        <v>17</v>
      </c>
      <c r="J117" s="65">
        <v>21</v>
      </c>
      <c r="K117" s="65">
        <v>22</v>
      </c>
      <c r="L117" s="65">
        <v>22</v>
      </c>
      <c r="O117" s="88"/>
      <c r="P117" s="88"/>
      <c r="Q117" s="88"/>
      <c r="R117" s="88"/>
      <c r="S117" s="88"/>
      <c r="T117" s="88"/>
      <c r="U117" s="88"/>
      <c r="V117" s="89">
        <v>51</v>
      </c>
      <c r="W117" s="88"/>
      <c r="X117" s="88"/>
      <c r="Y117" s="89"/>
      <c r="Z117" s="88"/>
      <c r="AA117" s="88"/>
      <c r="AB117" s="88"/>
      <c r="AC117" s="89"/>
      <c r="AD117" s="89"/>
      <c r="AE117" s="88"/>
      <c r="AF117" s="88"/>
      <c r="AG117" s="89">
        <v>7</v>
      </c>
      <c r="AH117" s="89">
        <v>32</v>
      </c>
      <c r="AI117" s="66"/>
      <c r="AJ117" s="90"/>
      <c r="AK117" s="89"/>
      <c r="AL117" s="66"/>
      <c r="AM117" s="90"/>
      <c r="AN117" s="66"/>
      <c r="AO117" s="66"/>
      <c r="AP117" s="66">
        <v>0.03</v>
      </c>
      <c r="AQ117" s="66"/>
      <c r="AR117" s="66"/>
      <c r="AS117" s="66"/>
    </row>
    <row r="118" spans="1:45" x14ac:dyDescent="0.2">
      <c r="A118" t="s">
        <v>395</v>
      </c>
      <c r="J118">
        <v>15</v>
      </c>
      <c r="K118">
        <v>15</v>
      </c>
      <c r="L118">
        <v>15</v>
      </c>
      <c r="O118" s="1"/>
      <c r="P118" s="1"/>
      <c r="Q118" s="1"/>
      <c r="R118" s="1"/>
      <c r="S118" s="1"/>
      <c r="T118" s="1"/>
      <c r="U118" s="1"/>
      <c r="V118" s="21"/>
      <c r="W118" s="1"/>
      <c r="X118" s="1"/>
      <c r="Y118" s="21"/>
      <c r="Z118" s="1"/>
      <c r="AA118" s="1"/>
      <c r="AB118" s="1"/>
      <c r="AE118" s="1"/>
      <c r="AF118" s="1"/>
      <c r="AG118" s="21">
        <v>10</v>
      </c>
      <c r="AQ118" s="31">
        <v>0.1</v>
      </c>
    </row>
    <row r="119" spans="1:45" s="65" customFormat="1" x14ac:dyDescent="0.2">
      <c r="A119" s="87" t="s">
        <v>706</v>
      </c>
      <c r="F119" s="65">
        <v>16</v>
      </c>
      <c r="G119" s="65">
        <v>16</v>
      </c>
      <c r="H119" s="65">
        <v>16</v>
      </c>
      <c r="I119" s="65">
        <v>16</v>
      </c>
      <c r="J119" s="65">
        <v>34</v>
      </c>
      <c r="K119" s="65">
        <v>26</v>
      </c>
      <c r="L119" s="65">
        <v>26</v>
      </c>
      <c r="O119" s="88"/>
      <c r="P119" s="88"/>
      <c r="Q119" s="88"/>
      <c r="R119" s="88"/>
      <c r="S119" s="88"/>
      <c r="T119" s="88"/>
      <c r="U119" s="88"/>
      <c r="V119" s="89">
        <v>61</v>
      </c>
      <c r="W119" s="88"/>
      <c r="X119" s="88"/>
      <c r="Y119" s="89"/>
      <c r="Z119" s="88"/>
      <c r="AA119" s="88"/>
      <c r="AB119" s="88"/>
      <c r="AC119" s="89"/>
      <c r="AD119" s="89"/>
      <c r="AE119" s="88"/>
      <c r="AF119" s="88"/>
      <c r="AG119" s="89">
        <v>15</v>
      </c>
      <c r="AH119" s="89"/>
      <c r="AI119" s="66"/>
      <c r="AJ119" s="90"/>
      <c r="AK119" s="89"/>
      <c r="AL119" s="66"/>
      <c r="AM119" s="90">
        <v>15</v>
      </c>
      <c r="AN119" s="66"/>
      <c r="AO119" s="66"/>
      <c r="AP119" s="66"/>
      <c r="AQ119" s="66"/>
      <c r="AR119" s="66"/>
      <c r="AS119" s="66"/>
    </row>
    <row r="120" spans="1:45" x14ac:dyDescent="0.2">
      <c r="A120" t="s">
        <v>396</v>
      </c>
      <c r="F120">
        <v>4</v>
      </c>
      <c r="J120">
        <v>4</v>
      </c>
      <c r="K120">
        <v>4</v>
      </c>
      <c r="M120">
        <v>5</v>
      </c>
      <c r="O120" s="1"/>
      <c r="P120" s="1"/>
      <c r="Q120" s="1"/>
      <c r="R120" s="1"/>
      <c r="S120" s="1"/>
      <c r="T120" s="1"/>
      <c r="U120" s="1"/>
      <c r="V120" s="21"/>
      <c r="W120" s="1"/>
      <c r="X120" s="1"/>
      <c r="Y120" s="21"/>
      <c r="Z120" s="1"/>
      <c r="AA120" s="1"/>
      <c r="AB120" s="1"/>
      <c r="AE120" s="1"/>
      <c r="AF120" s="1"/>
      <c r="AG120" s="21">
        <v>5</v>
      </c>
    </row>
    <row r="121" spans="1:45" x14ac:dyDescent="0.2">
      <c r="A121" t="s">
        <v>397</v>
      </c>
      <c r="F121">
        <v>10</v>
      </c>
      <c r="J121">
        <v>10</v>
      </c>
      <c r="K121">
        <v>10</v>
      </c>
      <c r="M121">
        <v>12</v>
      </c>
      <c r="O121" s="1"/>
      <c r="P121" s="1"/>
      <c r="Q121" s="1"/>
      <c r="R121" s="1"/>
      <c r="S121" s="1"/>
      <c r="T121" s="1"/>
      <c r="U121" s="1"/>
      <c r="V121" s="21"/>
      <c r="W121" s="1"/>
      <c r="X121" s="1"/>
      <c r="Y121" s="21"/>
      <c r="Z121" s="1"/>
      <c r="AA121" s="1"/>
      <c r="AB121" s="1"/>
      <c r="AE121" s="1"/>
      <c r="AF121" s="1"/>
      <c r="AG121" s="21">
        <v>12</v>
      </c>
    </row>
    <row r="122" spans="1:45" x14ac:dyDescent="0.2">
      <c r="A122" t="s">
        <v>403</v>
      </c>
      <c r="F122">
        <v>17</v>
      </c>
      <c r="G122">
        <v>17</v>
      </c>
      <c r="H122">
        <v>17</v>
      </c>
      <c r="I122">
        <v>17</v>
      </c>
      <c r="J122">
        <v>25</v>
      </c>
      <c r="K122">
        <v>25</v>
      </c>
      <c r="L122">
        <v>25</v>
      </c>
      <c r="O122" s="1"/>
      <c r="P122" s="1"/>
      <c r="Q122" s="1"/>
      <c r="R122" s="1"/>
      <c r="S122" s="1"/>
      <c r="T122" s="1"/>
      <c r="U122" s="1"/>
      <c r="V122" s="21">
        <v>51</v>
      </c>
      <c r="W122" s="1"/>
      <c r="X122" s="1"/>
      <c r="Y122" s="21"/>
      <c r="Z122" s="1"/>
      <c r="AA122" s="1"/>
      <c r="AB122" s="1"/>
      <c r="AE122" s="1"/>
      <c r="AF122" s="1"/>
      <c r="AG122" s="21">
        <v>10</v>
      </c>
      <c r="AQ122" s="31">
        <v>0.1</v>
      </c>
    </row>
    <row r="123" spans="1:45" x14ac:dyDescent="0.2">
      <c r="A123" t="s">
        <v>394</v>
      </c>
      <c r="J123">
        <v>12</v>
      </c>
      <c r="O123" s="1"/>
      <c r="P123" s="1"/>
      <c r="Q123" s="1"/>
      <c r="R123" s="1"/>
      <c r="S123" s="1"/>
      <c r="T123" s="1"/>
      <c r="U123" s="1"/>
      <c r="V123" s="21"/>
      <c r="W123" s="1"/>
      <c r="X123" s="1"/>
      <c r="Y123" s="21"/>
      <c r="Z123" s="1"/>
      <c r="AA123" s="1"/>
      <c r="AB123" s="1"/>
      <c r="AE123" s="1"/>
      <c r="AF123" s="1"/>
      <c r="AH123" s="21">
        <v>5</v>
      </c>
      <c r="AI123" s="31">
        <v>0.05</v>
      </c>
      <c r="AP123" s="31">
        <v>0.05</v>
      </c>
      <c r="AQ123" s="31">
        <v>0.1</v>
      </c>
    </row>
    <row r="124" spans="1:45" x14ac:dyDescent="0.2">
      <c r="A124" t="s">
        <v>405</v>
      </c>
      <c r="O124" s="1"/>
      <c r="P124" s="1"/>
      <c r="Q124" s="1"/>
      <c r="R124" s="1"/>
      <c r="S124" s="1"/>
      <c r="T124" s="1"/>
      <c r="U124" s="1"/>
      <c r="V124" s="21"/>
      <c r="W124" s="1"/>
      <c r="X124" s="1"/>
      <c r="Y124" s="21"/>
      <c r="Z124" s="1"/>
      <c r="AA124" s="1"/>
      <c r="AB124" s="1"/>
      <c r="AE124" s="1"/>
      <c r="AF124" s="1"/>
      <c r="AG124" s="21">
        <v>5</v>
      </c>
      <c r="AH124" s="21">
        <v>5</v>
      </c>
    </row>
    <row r="125" spans="1:45" x14ac:dyDescent="0.2">
      <c r="A125" t="s">
        <v>406</v>
      </c>
      <c r="O125" s="1"/>
      <c r="P125" s="1"/>
      <c r="Q125" s="1"/>
      <c r="R125" s="1"/>
      <c r="S125" s="1"/>
      <c r="T125" s="1"/>
      <c r="U125" s="1"/>
      <c r="V125" s="21"/>
      <c r="W125" s="1"/>
      <c r="X125" s="1"/>
      <c r="Y125" s="21"/>
      <c r="Z125" s="1"/>
      <c r="AA125" s="1"/>
      <c r="AB125" s="1"/>
      <c r="AE125" s="1"/>
      <c r="AF125" s="1"/>
      <c r="AG125" s="21">
        <v>6</v>
      </c>
      <c r="AH125" s="21">
        <v>6</v>
      </c>
    </row>
    <row r="126" spans="1:45" x14ac:dyDescent="0.2">
      <c r="A126" s="19" t="s">
        <v>450</v>
      </c>
      <c r="F126">
        <v>12</v>
      </c>
      <c r="G126">
        <v>12</v>
      </c>
      <c r="H126">
        <v>12</v>
      </c>
      <c r="I126">
        <v>12</v>
      </c>
      <c r="J126">
        <v>14</v>
      </c>
      <c r="K126">
        <v>14</v>
      </c>
      <c r="L126">
        <v>14</v>
      </c>
      <c r="O126" s="1"/>
      <c r="P126" s="1"/>
      <c r="Q126" s="1"/>
      <c r="R126" s="1"/>
      <c r="S126" s="1"/>
      <c r="T126" s="1"/>
      <c r="U126" s="1"/>
      <c r="V126" s="21"/>
      <c r="W126" s="1"/>
      <c r="X126" s="1"/>
      <c r="Y126" s="21"/>
      <c r="Z126" s="1"/>
      <c r="AA126" s="1"/>
      <c r="AB126" s="1"/>
      <c r="AE126" s="1"/>
      <c r="AF126" s="1"/>
      <c r="AG126" s="21">
        <v>8</v>
      </c>
    </row>
    <row r="127" spans="1:45" x14ac:dyDescent="0.2">
      <c r="A127" s="19" t="s">
        <v>705</v>
      </c>
      <c r="F127">
        <v>13</v>
      </c>
      <c r="G127">
        <v>13</v>
      </c>
      <c r="H127">
        <v>13</v>
      </c>
      <c r="I127">
        <v>13</v>
      </c>
      <c r="J127">
        <v>17</v>
      </c>
      <c r="K127">
        <v>17</v>
      </c>
      <c r="L127">
        <v>17</v>
      </c>
      <c r="P127" s="1"/>
      <c r="Q127" s="1"/>
      <c r="R127" s="1"/>
      <c r="S127" s="1"/>
      <c r="T127" s="1"/>
      <c r="U127" s="1"/>
      <c r="V127" s="21">
        <v>10</v>
      </c>
      <c r="W127" s="1"/>
      <c r="X127" s="1"/>
      <c r="Y127" s="21"/>
      <c r="Z127" s="21"/>
      <c r="AA127" s="21"/>
      <c r="AB127" s="1"/>
      <c r="AC127" s="1"/>
      <c r="AD127" s="1"/>
      <c r="AE127" s="1"/>
      <c r="AF127" s="1"/>
      <c r="AG127" s="21">
        <v>9</v>
      </c>
      <c r="AH127"/>
      <c r="AI127"/>
      <c r="AJ127"/>
      <c r="AK127"/>
      <c r="AL127"/>
      <c r="AM127"/>
      <c r="AN127"/>
      <c r="AO127"/>
      <c r="AP127"/>
      <c r="AQ127"/>
      <c r="AR127"/>
      <c r="AS127"/>
    </row>
    <row r="128" spans="1:45" x14ac:dyDescent="0.2">
      <c r="A128" s="19" t="s">
        <v>745</v>
      </c>
      <c r="P128" s="1"/>
      <c r="Q128" s="1"/>
      <c r="R128" s="1"/>
      <c r="S128" s="1"/>
      <c r="T128" s="1"/>
      <c r="U128" s="1"/>
      <c r="V128" s="21"/>
      <c r="W128" s="1"/>
      <c r="X128" s="1"/>
      <c r="Y128" s="21"/>
      <c r="Z128" s="21"/>
      <c r="AA128" s="21"/>
      <c r="AB128" s="1"/>
      <c r="AC128" s="1"/>
      <c r="AD128" s="1"/>
      <c r="AE128" s="1"/>
      <c r="AF128" s="1"/>
      <c r="AH128"/>
      <c r="AI128"/>
      <c r="AJ128"/>
      <c r="AK128"/>
      <c r="AL128"/>
      <c r="AM128"/>
      <c r="AN128"/>
      <c r="AO128"/>
      <c r="AP128"/>
      <c r="AQ128"/>
      <c r="AR128"/>
      <c r="AS128"/>
    </row>
    <row r="129" spans="1:45" x14ac:dyDescent="0.2">
      <c r="A129" t="s">
        <v>404</v>
      </c>
      <c r="O129" s="1"/>
      <c r="P129" s="1"/>
      <c r="Q129" s="1"/>
      <c r="R129" s="1"/>
      <c r="S129" s="1"/>
      <c r="T129" s="1"/>
      <c r="U129" s="1"/>
      <c r="V129" s="21"/>
      <c r="W129" s="1"/>
      <c r="X129" s="1"/>
      <c r="Y129" s="21"/>
      <c r="Z129" s="1"/>
      <c r="AA129" s="1"/>
      <c r="AB129" s="1"/>
      <c r="AE129" s="1"/>
      <c r="AF129" s="1"/>
      <c r="AG129" s="21">
        <v>5</v>
      </c>
      <c r="AH129" s="21">
        <v>5</v>
      </c>
      <c r="AI129" s="31">
        <v>0.05</v>
      </c>
    </row>
    <row r="130" spans="1:45" x14ac:dyDescent="0.2">
      <c r="A130" t="s">
        <v>386</v>
      </c>
      <c r="F130">
        <v>4</v>
      </c>
      <c r="J130">
        <v>4</v>
      </c>
      <c r="K130">
        <v>4</v>
      </c>
      <c r="O130" s="1"/>
      <c r="P130" s="1"/>
      <c r="Q130" s="1"/>
      <c r="R130" s="1"/>
      <c r="S130" s="1"/>
      <c r="T130" s="1"/>
      <c r="U130" s="1"/>
      <c r="V130" s="21"/>
      <c r="W130" s="1"/>
      <c r="X130" s="1"/>
      <c r="Y130" s="21"/>
      <c r="Z130" s="1"/>
      <c r="AA130" s="1"/>
      <c r="AB130" s="1"/>
      <c r="AE130" s="1"/>
      <c r="AF130" s="1"/>
      <c r="AG130" s="21">
        <v>6</v>
      </c>
      <c r="AH130" s="21">
        <v>6</v>
      </c>
    </row>
    <row r="131" spans="1:45" x14ac:dyDescent="0.2">
      <c r="A131" t="s">
        <v>407</v>
      </c>
      <c r="B131">
        <v>12</v>
      </c>
      <c r="O131" s="1"/>
      <c r="P131" s="1"/>
      <c r="Q131" s="1"/>
      <c r="R131" s="1"/>
      <c r="S131" s="1"/>
      <c r="T131" s="1"/>
      <c r="U131" s="1"/>
      <c r="V131" s="21"/>
      <c r="W131" s="1"/>
      <c r="X131" s="1"/>
      <c r="Y131" s="21"/>
      <c r="Z131" s="1"/>
      <c r="AA131" s="1"/>
      <c r="AB131" s="1"/>
      <c r="AE131" s="1"/>
      <c r="AF131" s="1"/>
      <c r="AH131" s="21">
        <v>5</v>
      </c>
    </row>
    <row r="132" spans="1:45" x14ac:dyDescent="0.2">
      <c r="A132" s="19" t="s">
        <v>715</v>
      </c>
      <c r="F132">
        <v>13</v>
      </c>
      <c r="G132">
        <v>13</v>
      </c>
      <c r="H132">
        <v>13</v>
      </c>
      <c r="I132">
        <v>13</v>
      </c>
      <c r="J132">
        <v>20</v>
      </c>
      <c r="K132">
        <v>17</v>
      </c>
      <c r="L132">
        <v>17</v>
      </c>
      <c r="O132" s="1"/>
      <c r="P132" s="1"/>
      <c r="Q132" s="1"/>
      <c r="R132" s="1"/>
      <c r="S132" s="1"/>
      <c r="T132" s="1"/>
      <c r="U132" s="1"/>
      <c r="V132" s="21">
        <v>51</v>
      </c>
      <c r="W132" s="1"/>
      <c r="X132" s="1"/>
      <c r="Y132" s="21"/>
      <c r="Z132" s="1"/>
      <c r="AA132" s="1"/>
      <c r="AB132" s="1"/>
      <c r="AE132" s="1"/>
      <c r="AF132" s="1"/>
      <c r="AH132" s="21">
        <v>13</v>
      </c>
      <c r="AP132" s="31">
        <v>0.03</v>
      </c>
    </row>
    <row r="133" spans="1:45" x14ac:dyDescent="0.2">
      <c r="A133" s="19" t="s">
        <v>728</v>
      </c>
      <c r="F133">
        <v>19</v>
      </c>
      <c r="G133">
        <v>19</v>
      </c>
      <c r="H133">
        <v>19</v>
      </c>
      <c r="I133">
        <v>19</v>
      </c>
      <c r="J133">
        <v>27</v>
      </c>
      <c r="K133">
        <v>24</v>
      </c>
      <c r="L133">
        <v>24</v>
      </c>
      <c r="O133" s="1"/>
      <c r="P133" s="1"/>
      <c r="Q133" s="1"/>
      <c r="R133" s="1"/>
      <c r="S133" s="1"/>
      <c r="T133" s="1"/>
      <c r="U133" s="1"/>
      <c r="V133" s="21">
        <v>61</v>
      </c>
      <c r="W133" s="1"/>
      <c r="X133" s="1"/>
      <c r="Y133" s="21"/>
      <c r="Z133" s="1"/>
      <c r="AA133" s="1"/>
      <c r="AB133" s="1"/>
      <c r="AE133" s="1"/>
      <c r="AF133" s="1"/>
      <c r="AH133" s="21">
        <v>13</v>
      </c>
      <c r="AP133" s="31">
        <v>0.04</v>
      </c>
    </row>
    <row r="134" spans="1:45" x14ac:dyDescent="0.2">
      <c r="A134" t="s">
        <v>385</v>
      </c>
      <c r="J134">
        <v>8</v>
      </c>
      <c r="K134">
        <v>10</v>
      </c>
      <c r="O134" s="1"/>
      <c r="P134" s="1"/>
      <c r="Q134" s="1"/>
      <c r="R134" s="1"/>
      <c r="S134" s="1"/>
      <c r="T134" s="1"/>
      <c r="U134" s="1"/>
      <c r="V134" s="21"/>
      <c r="W134" s="1"/>
      <c r="X134" s="1"/>
      <c r="Y134" s="21"/>
      <c r="Z134" s="1"/>
      <c r="AA134" s="1"/>
      <c r="AB134" s="1"/>
      <c r="AE134" s="1"/>
      <c r="AF134" s="1"/>
      <c r="AG134" s="21">
        <v>10</v>
      </c>
    </row>
    <row r="135" spans="1:45" x14ac:dyDescent="0.2">
      <c r="A135" t="s">
        <v>398</v>
      </c>
      <c r="J135">
        <v>6</v>
      </c>
      <c r="K135">
        <v>6</v>
      </c>
      <c r="O135" s="1"/>
      <c r="P135" s="1"/>
      <c r="Q135" s="1"/>
      <c r="R135" s="1"/>
      <c r="S135" s="1"/>
      <c r="T135" s="1"/>
      <c r="U135" s="1"/>
      <c r="V135" s="21"/>
      <c r="W135" s="1"/>
      <c r="X135" s="1"/>
      <c r="Y135" s="21"/>
      <c r="Z135" s="1"/>
      <c r="AA135" s="1"/>
      <c r="AB135" s="1"/>
      <c r="AE135" s="1"/>
      <c r="AF135" s="1"/>
    </row>
    <row r="136" spans="1:45" x14ac:dyDescent="0.2">
      <c r="A136" t="s">
        <v>393</v>
      </c>
      <c r="J136">
        <v>11</v>
      </c>
      <c r="O136" s="1"/>
      <c r="P136" s="1"/>
      <c r="Q136" s="1"/>
      <c r="R136" s="1"/>
      <c r="S136" s="1"/>
      <c r="T136" s="1"/>
      <c r="U136" s="1"/>
      <c r="V136" s="21"/>
      <c r="W136" s="1"/>
      <c r="X136" s="1"/>
      <c r="Y136" s="21"/>
      <c r="Z136" s="1"/>
      <c r="AA136" s="1"/>
      <c r="AB136" s="1"/>
      <c r="AE136" s="1"/>
      <c r="AF136" s="1"/>
      <c r="AH136" s="21">
        <v>4</v>
      </c>
      <c r="AI136" s="31">
        <v>0.04</v>
      </c>
      <c r="AP136" s="31">
        <v>0.04</v>
      </c>
      <c r="AQ136" s="31">
        <v>7.0000000000000007E-2</v>
      </c>
    </row>
    <row r="137" spans="1:45" x14ac:dyDescent="0.2">
      <c r="A137" t="s">
        <v>729</v>
      </c>
      <c r="F137">
        <v>19</v>
      </c>
      <c r="G137">
        <v>19</v>
      </c>
      <c r="H137">
        <v>19</v>
      </c>
      <c r="I137">
        <v>19</v>
      </c>
      <c r="J137">
        <v>24</v>
      </c>
      <c r="K137">
        <v>24</v>
      </c>
      <c r="L137">
        <v>24</v>
      </c>
      <c r="O137" s="1"/>
      <c r="P137" s="1"/>
      <c r="Q137" s="1"/>
      <c r="R137" s="1"/>
      <c r="S137" s="1"/>
      <c r="T137" s="1"/>
      <c r="U137" s="1"/>
      <c r="V137" s="21">
        <v>61</v>
      </c>
      <c r="W137" s="1"/>
      <c r="X137" s="1"/>
      <c r="Y137" s="21"/>
      <c r="Z137" s="1"/>
      <c r="AA137" s="1"/>
      <c r="AB137" s="1"/>
      <c r="AE137" s="1"/>
      <c r="AF137" s="1"/>
      <c r="AH137" s="21">
        <v>5</v>
      </c>
    </row>
    <row r="138" spans="1:45" x14ac:dyDescent="0.2">
      <c r="A138" s="19" t="s">
        <v>629</v>
      </c>
      <c r="J138">
        <v>17</v>
      </c>
      <c r="K138">
        <v>17</v>
      </c>
      <c r="L138">
        <v>17</v>
      </c>
      <c r="O138" s="1"/>
      <c r="P138" s="1"/>
      <c r="Q138" s="1"/>
      <c r="R138" s="1"/>
      <c r="S138" s="1"/>
      <c r="T138" s="1"/>
      <c r="U138" s="1"/>
      <c r="V138" s="21">
        <v>51</v>
      </c>
      <c r="W138" s="1"/>
      <c r="X138" s="1"/>
      <c r="Y138" s="21"/>
      <c r="Z138" s="1"/>
      <c r="AA138" s="1"/>
      <c r="AB138" s="1"/>
      <c r="AE138" s="1"/>
      <c r="AF138" s="1"/>
      <c r="AG138" s="21">
        <v>10</v>
      </c>
    </row>
    <row r="139" spans="1:45" x14ac:dyDescent="0.2">
      <c r="A139" s="19" t="s">
        <v>630</v>
      </c>
      <c r="F139">
        <v>11</v>
      </c>
      <c r="G139">
        <v>11</v>
      </c>
      <c r="H139">
        <v>11</v>
      </c>
      <c r="I139">
        <v>11</v>
      </c>
      <c r="J139">
        <v>20</v>
      </c>
      <c r="K139">
        <v>20</v>
      </c>
      <c r="L139">
        <v>20</v>
      </c>
      <c r="O139" s="1"/>
      <c r="P139" s="1"/>
      <c r="Q139" s="1"/>
      <c r="R139" s="1"/>
      <c r="S139" s="1"/>
      <c r="T139" s="1"/>
      <c r="U139" s="1"/>
      <c r="V139" s="21">
        <v>51</v>
      </c>
      <c r="W139" s="1"/>
      <c r="X139" s="1"/>
      <c r="Y139" s="21"/>
      <c r="Z139" s="1"/>
      <c r="AA139" s="1"/>
      <c r="AB139" s="1"/>
      <c r="AE139" s="1"/>
      <c r="AF139" s="1"/>
      <c r="AG139" s="21">
        <v>15</v>
      </c>
    </row>
    <row r="140" spans="1:45" x14ac:dyDescent="0.2">
      <c r="A140" t="s">
        <v>89</v>
      </c>
      <c r="P140" s="1"/>
      <c r="Q140" s="1"/>
      <c r="R140" s="1"/>
      <c r="S140" s="1"/>
      <c r="T140" s="1"/>
      <c r="U140" s="1"/>
      <c r="V140" s="21">
        <v>81</v>
      </c>
      <c r="W140" s="1"/>
      <c r="X140" s="1"/>
      <c r="Y140" s="21"/>
      <c r="Z140" s="1"/>
      <c r="AA140" s="1"/>
      <c r="AB140" s="1"/>
      <c r="AE140" s="1"/>
      <c r="AF140" s="1"/>
    </row>
    <row r="143" spans="1:45" x14ac:dyDescent="0.2">
      <c r="A143" t="s">
        <v>17</v>
      </c>
      <c r="B143" t="s">
        <v>26</v>
      </c>
      <c r="C143" t="s">
        <v>645</v>
      </c>
      <c r="D143" t="s">
        <v>676</v>
      </c>
      <c r="E143" t="s">
        <v>273</v>
      </c>
      <c r="F143" t="s">
        <v>3</v>
      </c>
      <c r="G143" t="s">
        <v>4</v>
      </c>
      <c r="H143" t="s">
        <v>5</v>
      </c>
      <c r="I143" t="s">
        <v>33</v>
      </c>
      <c r="J143" t="s">
        <v>120</v>
      </c>
      <c r="K143" t="s">
        <v>121</v>
      </c>
      <c r="L143" t="s">
        <v>122</v>
      </c>
      <c r="M143" t="s">
        <v>10</v>
      </c>
      <c r="N143" t="s">
        <v>9</v>
      </c>
      <c r="O143" t="s">
        <v>183</v>
      </c>
      <c r="P143" t="s">
        <v>12</v>
      </c>
      <c r="Q143" t="s">
        <v>84</v>
      </c>
      <c r="R143" t="s">
        <v>177</v>
      </c>
      <c r="S143" t="s">
        <v>265</v>
      </c>
      <c r="T143" t="s">
        <v>132</v>
      </c>
      <c r="U143" t="s">
        <v>266</v>
      </c>
      <c r="V143" t="s">
        <v>11</v>
      </c>
      <c r="W143" t="s">
        <v>78</v>
      </c>
      <c r="X143" t="s">
        <v>77</v>
      </c>
      <c r="Y143" t="s">
        <v>13</v>
      </c>
      <c r="Z143" t="s">
        <v>76</v>
      </c>
      <c r="AA143" t="s">
        <v>131</v>
      </c>
      <c r="AB143" t="s">
        <v>91</v>
      </c>
      <c r="AC143" s="21" t="s">
        <v>250</v>
      </c>
      <c r="AD143" s="21" t="s">
        <v>251</v>
      </c>
      <c r="AE143" t="s">
        <v>175</v>
      </c>
      <c r="AF143" t="s">
        <v>725</v>
      </c>
      <c r="AG143" s="21" t="s">
        <v>651</v>
      </c>
      <c r="AH143" s="21" t="s">
        <v>272</v>
      </c>
      <c r="AI143" s="31" t="s">
        <v>390</v>
      </c>
      <c r="AJ143" s="53" t="s">
        <v>392</v>
      </c>
      <c r="AK143" s="21" t="s">
        <v>315</v>
      </c>
      <c r="AL143" s="31" t="s">
        <v>274</v>
      </c>
      <c r="AM143" s="64" t="s">
        <v>595</v>
      </c>
      <c r="AN143" s="31" t="s">
        <v>275</v>
      </c>
      <c r="AO143" s="31" t="s">
        <v>515</v>
      </c>
      <c r="AP143" s="31" t="s">
        <v>516</v>
      </c>
      <c r="AQ143" s="31" t="s">
        <v>312</v>
      </c>
      <c r="AR143" s="31" t="s">
        <v>549</v>
      </c>
      <c r="AS143" s="31" t="s">
        <v>550</v>
      </c>
    </row>
    <row r="144" spans="1:45" x14ac:dyDescent="0.2">
      <c r="A144" t="s">
        <v>35</v>
      </c>
      <c r="B144">
        <v>7</v>
      </c>
    </row>
    <row r="145" spans="1:45" x14ac:dyDescent="0.2">
      <c r="A145" t="s">
        <v>415</v>
      </c>
      <c r="J145">
        <v>6</v>
      </c>
      <c r="K145">
        <v>6</v>
      </c>
    </row>
    <row r="146" spans="1:45" x14ac:dyDescent="0.2">
      <c r="A146" s="19" t="s">
        <v>707</v>
      </c>
      <c r="AG146" s="21">
        <v>2</v>
      </c>
      <c r="AH146" s="21">
        <v>5</v>
      </c>
    </row>
    <row r="147" spans="1:45" x14ac:dyDescent="0.2">
      <c r="A147" t="s">
        <v>413</v>
      </c>
      <c r="AG147" s="21">
        <v>5</v>
      </c>
      <c r="AH147" s="21">
        <v>11</v>
      </c>
    </row>
    <row r="148" spans="1:45" x14ac:dyDescent="0.2">
      <c r="A148" t="s">
        <v>417</v>
      </c>
      <c r="J148">
        <v>7</v>
      </c>
      <c r="AG148" s="21">
        <v>4</v>
      </c>
    </row>
    <row r="149" spans="1:45" x14ac:dyDescent="0.2">
      <c r="A149" t="s">
        <v>411</v>
      </c>
      <c r="AG149" s="21">
        <v>1</v>
      </c>
    </row>
    <row r="150" spans="1:45" x14ac:dyDescent="0.2">
      <c r="A150" t="s">
        <v>253</v>
      </c>
      <c r="J150">
        <v>8</v>
      </c>
    </row>
    <row r="151" spans="1:45" x14ac:dyDescent="0.2">
      <c r="A151" t="s">
        <v>410</v>
      </c>
      <c r="AG151" s="21">
        <v>1</v>
      </c>
      <c r="AQ151" s="31">
        <v>0.05</v>
      </c>
    </row>
    <row r="152" spans="1:45" x14ac:dyDescent="0.2">
      <c r="A152" s="19" t="s">
        <v>708</v>
      </c>
      <c r="AH152" s="21">
        <v>7</v>
      </c>
    </row>
    <row r="153" spans="1:45" x14ac:dyDescent="0.2">
      <c r="A153" s="19" t="s">
        <v>709</v>
      </c>
      <c r="AH153" s="21">
        <v>12</v>
      </c>
    </row>
    <row r="154" spans="1:45" x14ac:dyDescent="0.2">
      <c r="A154" t="s">
        <v>416</v>
      </c>
      <c r="AG154" s="21">
        <v>-3</v>
      </c>
      <c r="AH154" s="21">
        <v>9</v>
      </c>
    </row>
    <row r="155" spans="1:45" x14ac:dyDescent="0.2">
      <c r="A155" t="s">
        <v>418</v>
      </c>
      <c r="J155">
        <v>5</v>
      </c>
      <c r="K155">
        <v>5</v>
      </c>
      <c r="AG155" s="21">
        <v>3</v>
      </c>
      <c r="AH155" s="21">
        <v>3</v>
      </c>
    </row>
    <row r="156" spans="1:45" x14ac:dyDescent="0.2">
      <c r="A156" t="s">
        <v>414</v>
      </c>
      <c r="AG156" s="21">
        <v>2</v>
      </c>
      <c r="AH156" s="21">
        <v>8</v>
      </c>
      <c r="AQ156" s="31">
        <v>0.03</v>
      </c>
    </row>
    <row r="157" spans="1:45" x14ac:dyDescent="0.2">
      <c r="A157" t="s">
        <v>412</v>
      </c>
      <c r="K157">
        <v>2</v>
      </c>
      <c r="AG157" s="21">
        <v>2</v>
      </c>
    </row>
    <row r="160" spans="1:45" x14ac:dyDescent="0.2">
      <c r="A160" t="s">
        <v>41</v>
      </c>
      <c r="B160" t="s">
        <v>26</v>
      </c>
      <c r="C160" t="s">
        <v>645</v>
      </c>
      <c r="D160" t="s">
        <v>676</v>
      </c>
      <c r="E160" t="s">
        <v>273</v>
      </c>
      <c r="F160" t="s">
        <v>3</v>
      </c>
      <c r="G160" t="s">
        <v>4</v>
      </c>
      <c r="H160" t="s">
        <v>5</v>
      </c>
      <c r="I160" t="s">
        <v>33</v>
      </c>
      <c r="J160" t="s">
        <v>120</v>
      </c>
      <c r="K160" t="s">
        <v>121</v>
      </c>
      <c r="L160" t="s">
        <v>122</v>
      </c>
      <c r="M160" t="s">
        <v>10</v>
      </c>
      <c r="N160" t="s">
        <v>9</v>
      </c>
      <c r="O160" t="s">
        <v>183</v>
      </c>
      <c r="P160" t="s">
        <v>12</v>
      </c>
      <c r="Q160" t="s">
        <v>84</v>
      </c>
      <c r="R160" t="s">
        <v>177</v>
      </c>
      <c r="S160" t="s">
        <v>265</v>
      </c>
      <c r="T160" t="s">
        <v>132</v>
      </c>
      <c r="U160" t="s">
        <v>266</v>
      </c>
      <c r="V160" t="s">
        <v>11</v>
      </c>
      <c r="W160" t="s">
        <v>78</v>
      </c>
      <c r="X160" t="s">
        <v>77</v>
      </c>
      <c r="Y160" t="s">
        <v>13</v>
      </c>
      <c r="Z160" t="s">
        <v>76</v>
      </c>
      <c r="AA160" t="s">
        <v>131</v>
      </c>
      <c r="AB160" t="s">
        <v>91</v>
      </c>
      <c r="AC160" s="21" t="s">
        <v>250</v>
      </c>
      <c r="AD160" s="21" t="s">
        <v>251</v>
      </c>
      <c r="AE160" t="s">
        <v>175</v>
      </c>
      <c r="AF160" t="s">
        <v>725</v>
      </c>
      <c r="AG160" s="21" t="s">
        <v>651</v>
      </c>
      <c r="AH160" s="21" t="s">
        <v>272</v>
      </c>
      <c r="AI160" s="31" t="s">
        <v>390</v>
      </c>
      <c r="AJ160" s="53" t="s">
        <v>392</v>
      </c>
      <c r="AK160" s="21" t="s">
        <v>315</v>
      </c>
      <c r="AL160" s="31" t="s">
        <v>274</v>
      </c>
      <c r="AM160" s="64" t="s">
        <v>595</v>
      </c>
      <c r="AN160" s="31" t="s">
        <v>275</v>
      </c>
      <c r="AO160" s="31" t="s">
        <v>515</v>
      </c>
      <c r="AP160" s="31" t="s">
        <v>516</v>
      </c>
      <c r="AQ160" s="31" t="s">
        <v>312</v>
      </c>
      <c r="AR160" s="31" t="s">
        <v>549</v>
      </c>
      <c r="AS160" s="31" t="s">
        <v>550</v>
      </c>
    </row>
    <row r="161" spans="1:43" x14ac:dyDescent="0.2">
      <c r="A161" t="s">
        <v>426</v>
      </c>
      <c r="J161">
        <v>3</v>
      </c>
      <c r="P161" s="1"/>
      <c r="Q161" s="1"/>
      <c r="R161" s="1"/>
      <c r="S161" s="1"/>
      <c r="T161" s="1"/>
      <c r="U161" s="1"/>
      <c r="V161" s="21"/>
      <c r="W161" s="1"/>
      <c r="X161" s="1"/>
      <c r="Z161" s="21"/>
      <c r="AA161" s="21"/>
      <c r="AB161" s="1"/>
      <c r="AE161" s="1"/>
      <c r="AF161" s="1"/>
    </row>
    <row r="162" spans="1:43" x14ac:dyDescent="0.2">
      <c r="A162" t="s">
        <v>424</v>
      </c>
      <c r="J162">
        <v>4</v>
      </c>
      <c r="P162" s="1"/>
      <c r="Q162" s="1"/>
      <c r="R162" s="1"/>
      <c r="S162" s="1"/>
      <c r="T162" s="1"/>
      <c r="U162" s="1"/>
      <c r="V162" s="21"/>
      <c r="W162" s="1"/>
      <c r="X162" s="1"/>
      <c r="Z162" s="21"/>
      <c r="AA162" s="21"/>
      <c r="AB162" s="1"/>
      <c r="AE162" s="1"/>
      <c r="AF162" s="1"/>
    </row>
    <row r="163" spans="1:43" x14ac:dyDescent="0.2">
      <c r="A163" t="s">
        <v>421</v>
      </c>
      <c r="J163">
        <v>3</v>
      </c>
      <c r="K163">
        <v>3</v>
      </c>
      <c r="P163" s="1"/>
      <c r="Q163" s="1"/>
      <c r="R163" s="1"/>
      <c r="S163" s="1"/>
      <c r="T163" s="1"/>
      <c r="U163" s="1"/>
      <c r="V163" s="21"/>
      <c r="W163" s="1"/>
      <c r="X163" s="1"/>
      <c r="Z163" s="21"/>
      <c r="AA163" s="21"/>
      <c r="AB163" s="1"/>
      <c r="AE163" s="1"/>
      <c r="AF163" s="1"/>
      <c r="AG163" s="21">
        <v>2</v>
      </c>
    </row>
    <row r="164" spans="1:43" x14ac:dyDescent="0.2">
      <c r="A164" t="s">
        <v>420</v>
      </c>
      <c r="P164" s="1"/>
      <c r="Q164" s="1"/>
      <c r="R164" s="1"/>
      <c r="S164" s="1"/>
      <c r="T164" s="1"/>
      <c r="U164" s="1"/>
      <c r="V164" s="21"/>
      <c r="W164" s="1"/>
      <c r="X164" s="1"/>
      <c r="Z164" s="21"/>
      <c r="AA164" s="21"/>
      <c r="AB164" s="1"/>
      <c r="AE164" s="1"/>
      <c r="AF164" s="1"/>
      <c r="AG164" s="21">
        <v>2</v>
      </c>
      <c r="AI164" s="31">
        <v>0.1</v>
      </c>
      <c r="AJ164" s="53">
        <v>10</v>
      </c>
    </row>
    <row r="165" spans="1:43" x14ac:dyDescent="0.2">
      <c r="A165" t="s">
        <v>732</v>
      </c>
      <c r="P165" s="1"/>
      <c r="Q165" s="1"/>
      <c r="R165" s="1"/>
      <c r="S165" s="1"/>
      <c r="T165" s="1"/>
      <c r="U165" s="1"/>
      <c r="V165" s="21"/>
      <c r="W165" s="1"/>
      <c r="X165" s="1"/>
      <c r="Z165" s="21"/>
      <c r="AA165" s="21"/>
      <c r="AB165" s="1"/>
      <c r="AE165" s="1"/>
      <c r="AF165" s="1"/>
      <c r="AH165" s="21">
        <v>6</v>
      </c>
      <c r="AM165" s="53">
        <v>6</v>
      </c>
    </row>
    <row r="166" spans="1:43" x14ac:dyDescent="0.2">
      <c r="A166" s="19" t="s">
        <v>694</v>
      </c>
      <c r="P166" s="1"/>
      <c r="Q166" s="1"/>
      <c r="R166" s="1"/>
      <c r="S166" s="1"/>
      <c r="T166" s="1"/>
      <c r="U166" s="1"/>
      <c r="V166" s="21"/>
      <c r="W166" s="1"/>
      <c r="X166" s="1"/>
      <c r="Z166" s="21"/>
      <c r="AA166" s="21"/>
      <c r="AB166" s="1"/>
      <c r="AE166" s="1"/>
      <c r="AF166" s="1"/>
      <c r="AH166" s="21">
        <v>10</v>
      </c>
    </row>
    <row r="167" spans="1:43" x14ac:dyDescent="0.2">
      <c r="A167" t="s">
        <v>417</v>
      </c>
      <c r="P167" s="1"/>
      <c r="Q167" s="1"/>
      <c r="R167" s="1"/>
      <c r="S167" s="1"/>
      <c r="T167" s="1"/>
      <c r="U167" s="1"/>
      <c r="V167" s="21"/>
      <c r="W167" s="1"/>
      <c r="X167" s="1"/>
      <c r="Z167" s="21"/>
      <c r="AA167" s="21"/>
      <c r="AB167" s="1"/>
      <c r="AE167" s="1"/>
      <c r="AF167" s="1"/>
      <c r="AG167" s="21">
        <v>3</v>
      </c>
      <c r="AH167" s="21">
        <v>3</v>
      </c>
    </row>
    <row r="168" spans="1:43" x14ac:dyDescent="0.2">
      <c r="A168" t="s">
        <v>423</v>
      </c>
      <c r="P168" s="1"/>
      <c r="Q168" s="1"/>
      <c r="R168" s="1"/>
      <c r="S168" s="1"/>
      <c r="T168" s="1"/>
      <c r="U168" s="1"/>
      <c r="V168" s="21"/>
      <c r="W168" s="1"/>
      <c r="X168" s="1"/>
      <c r="Z168" s="21"/>
      <c r="AA168" s="21"/>
      <c r="AB168" s="1"/>
      <c r="AE168" s="1"/>
      <c r="AF168" s="1"/>
      <c r="AH168" s="21">
        <v>6</v>
      </c>
      <c r="AI168" s="31">
        <v>0.03</v>
      </c>
    </row>
    <row r="169" spans="1:43" x14ac:dyDescent="0.2">
      <c r="A169" t="s">
        <v>401</v>
      </c>
      <c r="K169">
        <v>4</v>
      </c>
      <c r="P169" s="1"/>
      <c r="Q169" s="1"/>
      <c r="R169" s="1"/>
      <c r="S169" s="1"/>
      <c r="T169" s="1"/>
      <c r="U169" s="1"/>
      <c r="V169" s="21"/>
      <c r="W169" s="1"/>
      <c r="X169" s="1"/>
      <c r="Z169" s="21"/>
      <c r="AA169" s="21"/>
      <c r="AB169" s="1"/>
      <c r="AE169" s="1"/>
      <c r="AF169" s="1"/>
    </row>
    <row r="170" spans="1:43" x14ac:dyDescent="0.2">
      <c r="A170" t="s">
        <v>563</v>
      </c>
      <c r="P170" s="1"/>
      <c r="Q170" s="1"/>
      <c r="R170" s="1"/>
      <c r="S170" s="1"/>
      <c r="T170" s="1"/>
      <c r="U170" s="1"/>
      <c r="V170" s="21"/>
      <c r="W170" s="1"/>
      <c r="X170" s="1"/>
      <c r="Z170" s="21"/>
      <c r="AA170" s="21"/>
      <c r="AB170" s="1"/>
      <c r="AE170" s="1"/>
      <c r="AF170" s="1"/>
      <c r="AQ170" s="31">
        <v>0.02</v>
      </c>
    </row>
    <row r="171" spans="1:43" x14ac:dyDescent="0.2">
      <c r="A171" t="s">
        <v>428</v>
      </c>
      <c r="P171" s="1"/>
      <c r="Q171" s="1"/>
      <c r="R171" s="1"/>
      <c r="S171" s="1"/>
      <c r="T171" s="1"/>
      <c r="U171" s="1"/>
      <c r="V171" s="21"/>
      <c r="W171" s="1"/>
      <c r="X171" s="1"/>
      <c r="Z171" s="21"/>
      <c r="AA171" s="21"/>
      <c r="AB171" s="1"/>
      <c r="AE171" s="1"/>
      <c r="AF171" s="1"/>
      <c r="AH171" s="21">
        <v>5</v>
      </c>
    </row>
    <row r="172" spans="1:43" x14ac:dyDescent="0.2">
      <c r="A172" t="s">
        <v>427</v>
      </c>
      <c r="P172" s="1"/>
      <c r="Q172" s="1"/>
      <c r="R172" s="1"/>
      <c r="S172" s="1"/>
      <c r="T172" s="1"/>
      <c r="U172" s="1"/>
      <c r="V172" s="21"/>
      <c r="W172" s="1"/>
      <c r="X172" s="1"/>
      <c r="Z172" s="21"/>
      <c r="AA172" s="21"/>
      <c r="AB172" s="1"/>
      <c r="AE172" s="1"/>
      <c r="AF172" s="1"/>
      <c r="AH172" s="21">
        <v>7</v>
      </c>
    </row>
    <row r="173" spans="1:43" x14ac:dyDescent="0.2">
      <c r="A173" t="s">
        <v>399</v>
      </c>
      <c r="J173">
        <v>4</v>
      </c>
      <c r="P173" s="1"/>
      <c r="Q173" s="1"/>
      <c r="R173" s="1"/>
      <c r="S173" s="1"/>
      <c r="T173" s="1"/>
      <c r="U173" s="1"/>
      <c r="V173" s="21"/>
      <c r="W173" s="1"/>
      <c r="X173" s="1"/>
      <c r="Z173" s="21"/>
      <c r="AA173" s="21"/>
      <c r="AB173" s="1"/>
      <c r="AE173" s="1"/>
      <c r="AF173" s="1"/>
    </row>
    <row r="174" spans="1:43" x14ac:dyDescent="0.2">
      <c r="A174" t="s">
        <v>425</v>
      </c>
      <c r="J174">
        <v>2</v>
      </c>
      <c r="P174" s="1"/>
      <c r="Q174" s="1"/>
      <c r="R174" s="1"/>
      <c r="S174" s="1"/>
      <c r="T174" s="1"/>
      <c r="U174" s="1"/>
      <c r="V174" s="21"/>
      <c r="W174" s="1"/>
      <c r="X174" s="1"/>
      <c r="Z174" s="21"/>
      <c r="AA174" s="21"/>
      <c r="AB174" s="1"/>
      <c r="AE174" s="1"/>
      <c r="AF174" s="1"/>
    </row>
    <row r="175" spans="1:43" x14ac:dyDescent="0.2">
      <c r="A175" t="s">
        <v>419</v>
      </c>
      <c r="P175" s="1"/>
      <c r="Q175" s="1"/>
      <c r="R175" s="1"/>
      <c r="S175" s="1"/>
      <c r="T175" s="1"/>
      <c r="U175" s="1"/>
      <c r="V175" s="21"/>
      <c r="W175" s="1"/>
      <c r="X175" s="1"/>
      <c r="Z175" s="21"/>
      <c r="AA175" s="21"/>
      <c r="AB175" s="1"/>
      <c r="AE175" s="1"/>
      <c r="AF175" s="1"/>
      <c r="AH175" s="21">
        <v>6</v>
      </c>
    </row>
    <row r="176" spans="1:43" x14ac:dyDescent="0.2">
      <c r="A176" t="s">
        <v>518</v>
      </c>
      <c r="K176">
        <v>2</v>
      </c>
      <c r="P176" s="1"/>
      <c r="Q176" s="1"/>
      <c r="R176" s="1"/>
      <c r="S176" s="1"/>
      <c r="T176" s="1"/>
      <c r="U176" s="1"/>
      <c r="V176" s="21"/>
      <c r="W176" s="1"/>
      <c r="X176" s="1"/>
      <c r="Z176" s="21"/>
      <c r="AA176" s="21"/>
      <c r="AB176" s="1"/>
      <c r="AE176" s="1"/>
      <c r="AF176" s="1"/>
      <c r="AO176" s="31">
        <v>0.05</v>
      </c>
    </row>
    <row r="177" spans="1:45" x14ac:dyDescent="0.2">
      <c r="A177" t="s">
        <v>422</v>
      </c>
      <c r="B177">
        <v>4</v>
      </c>
      <c r="J177">
        <v>3</v>
      </c>
      <c r="P177" s="1"/>
      <c r="Q177" s="1"/>
      <c r="R177" s="1"/>
      <c r="S177" s="1"/>
      <c r="T177" s="1"/>
      <c r="U177" s="1"/>
      <c r="V177" s="21"/>
      <c r="W177" s="1"/>
      <c r="X177" s="1"/>
      <c r="Z177" s="21"/>
      <c r="AA177" s="21"/>
      <c r="AB177" s="1"/>
      <c r="AE177" s="1"/>
      <c r="AF177" s="1"/>
      <c r="AH177" s="21">
        <v>4</v>
      </c>
    </row>
    <row r="178" spans="1:45" x14ac:dyDescent="0.2">
      <c r="AA178" s="21"/>
    </row>
    <row r="180" spans="1:45" x14ac:dyDescent="0.2">
      <c r="A180" t="s">
        <v>18</v>
      </c>
      <c r="B180" t="s">
        <v>26</v>
      </c>
      <c r="C180" t="s">
        <v>645</v>
      </c>
      <c r="D180" t="s">
        <v>676</v>
      </c>
      <c r="E180" t="s">
        <v>273</v>
      </c>
      <c r="F180" t="s">
        <v>3</v>
      </c>
      <c r="G180" t="s">
        <v>4</v>
      </c>
      <c r="H180" t="s">
        <v>5</v>
      </c>
      <c r="I180" t="s">
        <v>33</v>
      </c>
      <c r="J180" t="s">
        <v>120</v>
      </c>
      <c r="K180" t="s">
        <v>121</v>
      </c>
      <c r="L180" t="s">
        <v>122</v>
      </c>
      <c r="M180" t="s">
        <v>10</v>
      </c>
      <c r="N180" t="s">
        <v>9</v>
      </c>
      <c r="O180" t="s">
        <v>183</v>
      </c>
      <c r="P180" t="s">
        <v>12</v>
      </c>
      <c r="Q180" t="s">
        <v>84</v>
      </c>
      <c r="R180" t="s">
        <v>177</v>
      </c>
      <c r="S180" t="s">
        <v>265</v>
      </c>
      <c r="T180" t="s">
        <v>132</v>
      </c>
      <c r="U180" t="s">
        <v>266</v>
      </c>
      <c r="V180" t="s">
        <v>11</v>
      </c>
      <c r="W180" t="s">
        <v>78</v>
      </c>
      <c r="X180" t="s">
        <v>77</v>
      </c>
      <c r="Y180" t="s">
        <v>13</v>
      </c>
      <c r="Z180" t="s">
        <v>76</v>
      </c>
      <c r="AA180" t="s">
        <v>131</v>
      </c>
      <c r="AB180" t="s">
        <v>91</v>
      </c>
      <c r="AC180" s="21" t="s">
        <v>250</v>
      </c>
      <c r="AD180" s="21" t="s">
        <v>251</v>
      </c>
      <c r="AE180" t="s">
        <v>175</v>
      </c>
      <c r="AF180" t="s">
        <v>725</v>
      </c>
      <c r="AG180" s="21" t="s">
        <v>651</v>
      </c>
      <c r="AH180" s="21" t="s">
        <v>272</v>
      </c>
      <c r="AI180" s="31" t="s">
        <v>390</v>
      </c>
      <c r="AJ180" s="53" t="s">
        <v>392</v>
      </c>
      <c r="AK180" s="21" t="s">
        <v>315</v>
      </c>
      <c r="AL180" s="31" t="s">
        <v>274</v>
      </c>
      <c r="AM180" s="64" t="s">
        <v>595</v>
      </c>
      <c r="AN180" s="31" t="s">
        <v>275</v>
      </c>
      <c r="AO180" s="31" t="s">
        <v>515</v>
      </c>
      <c r="AP180" s="31" t="s">
        <v>516</v>
      </c>
      <c r="AQ180" s="31" t="s">
        <v>312</v>
      </c>
      <c r="AR180" s="31" t="s">
        <v>549</v>
      </c>
      <c r="AS180" s="31" t="s">
        <v>550</v>
      </c>
    </row>
    <row r="181" spans="1:45" x14ac:dyDescent="0.2">
      <c r="A181" t="s">
        <v>389</v>
      </c>
      <c r="P181" s="1"/>
      <c r="Q181" s="1"/>
      <c r="R181" s="1"/>
      <c r="S181" s="1"/>
      <c r="T181" s="1"/>
      <c r="U181" s="1"/>
      <c r="V181" s="21"/>
      <c r="W181" s="1"/>
      <c r="X181" s="1"/>
      <c r="Z181" s="1"/>
      <c r="AA181" s="1"/>
      <c r="AB181" s="1"/>
      <c r="AE181" s="1"/>
      <c r="AF181" s="1"/>
      <c r="AG181" s="21">
        <v>5</v>
      </c>
    </row>
    <row r="182" spans="1:45" x14ac:dyDescent="0.2">
      <c r="A182" t="s">
        <v>499</v>
      </c>
      <c r="B182">
        <v>12</v>
      </c>
      <c r="J182">
        <v>14</v>
      </c>
      <c r="L182">
        <v>14</v>
      </c>
      <c r="P182" s="1"/>
      <c r="Q182" s="1"/>
      <c r="R182" s="1"/>
      <c r="S182" s="1"/>
      <c r="T182" s="1"/>
      <c r="U182" s="1"/>
      <c r="V182" s="21"/>
      <c r="W182" s="1"/>
      <c r="X182" s="1"/>
      <c r="Z182" s="1"/>
      <c r="AA182" s="1"/>
      <c r="AB182" s="1"/>
      <c r="AE182" s="1"/>
      <c r="AF182" s="1"/>
      <c r="AQ182" s="31">
        <v>0.1</v>
      </c>
    </row>
    <row r="183" spans="1:45" x14ac:dyDescent="0.2">
      <c r="A183" t="s">
        <v>384</v>
      </c>
      <c r="P183" s="1"/>
      <c r="Q183" s="1"/>
      <c r="R183" s="1"/>
      <c r="S183" s="1"/>
      <c r="T183" s="1"/>
      <c r="U183" s="1"/>
      <c r="V183" s="21"/>
      <c r="W183" s="1"/>
      <c r="X183" s="1"/>
      <c r="Z183" s="1"/>
      <c r="AA183" s="1"/>
      <c r="AB183" s="1"/>
      <c r="AE183" s="1"/>
      <c r="AF183" s="1"/>
      <c r="AH183" s="21">
        <v>12</v>
      </c>
    </row>
    <row r="184" spans="1:45" x14ac:dyDescent="0.2">
      <c r="A184" t="s">
        <v>491</v>
      </c>
      <c r="J184">
        <v>10</v>
      </c>
      <c r="K184">
        <v>10</v>
      </c>
      <c r="P184" s="1"/>
      <c r="Q184" s="1"/>
      <c r="R184" s="1"/>
      <c r="S184" s="1"/>
      <c r="T184" s="1"/>
      <c r="U184" s="1"/>
      <c r="V184" s="21"/>
      <c r="W184" s="1"/>
      <c r="X184" s="1"/>
      <c r="Z184" s="1"/>
      <c r="AA184" s="1"/>
      <c r="AB184" s="1"/>
      <c r="AE184" s="1"/>
      <c r="AF184" s="1"/>
      <c r="AG184" s="21">
        <v>8</v>
      </c>
      <c r="AH184" s="21">
        <v>8</v>
      </c>
    </row>
    <row r="185" spans="1:45" x14ac:dyDescent="0.2">
      <c r="A185" t="s">
        <v>461</v>
      </c>
      <c r="F185">
        <v>7</v>
      </c>
      <c r="G185">
        <v>7</v>
      </c>
      <c r="H185">
        <v>7</v>
      </c>
      <c r="I185">
        <v>7</v>
      </c>
      <c r="J185">
        <v>13</v>
      </c>
      <c r="K185">
        <v>13</v>
      </c>
      <c r="P185" s="1"/>
      <c r="Q185" s="1"/>
      <c r="R185" s="1"/>
      <c r="S185" s="1"/>
      <c r="T185" s="1"/>
      <c r="U185" s="1"/>
      <c r="V185" s="21"/>
      <c r="W185" s="1"/>
      <c r="X185" s="1"/>
      <c r="Z185" s="1"/>
      <c r="AA185" s="1"/>
      <c r="AB185" s="1"/>
      <c r="AE185" s="1"/>
      <c r="AF185" s="1"/>
      <c r="AH185" s="21">
        <v>13</v>
      </c>
    </row>
    <row r="186" spans="1:45" x14ac:dyDescent="0.2">
      <c r="A186" t="s">
        <v>538</v>
      </c>
      <c r="F186">
        <v>7</v>
      </c>
      <c r="G186">
        <v>7</v>
      </c>
      <c r="H186">
        <v>7</v>
      </c>
      <c r="I186">
        <v>7</v>
      </c>
      <c r="J186">
        <v>15</v>
      </c>
      <c r="K186">
        <v>13</v>
      </c>
      <c r="P186" s="1"/>
      <c r="Q186" s="1"/>
      <c r="R186" s="1"/>
      <c r="S186" s="1"/>
      <c r="T186" s="1"/>
      <c r="U186" s="1"/>
      <c r="V186" s="21"/>
      <c r="W186" s="1"/>
      <c r="X186" s="1"/>
      <c r="Z186" s="1"/>
      <c r="AA186" s="1"/>
      <c r="AB186" s="1"/>
      <c r="AE186" s="1"/>
      <c r="AF186" s="1"/>
      <c r="AH186" s="21">
        <v>20</v>
      </c>
    </row>
    <row r="187" spans="1:45" x14ac:dyDescent="0.2">
      <c r="A187" t="s">
        <v>539</v>
      </c>
      <c r="F187">
        <v>7</v>
      </c>
      <c r="G187">
        <v>7</v>
      </c>
      <c r="H187">
        <v>7</v>
      </c>
      <c r="I187">
        <v>7</v>
      </c>
      <c r="J187">
        <v>13</v>
      </c>
      <c r="K187">
        <v>15</v>
      </c>
      <c r="P187" s="1"/>
      <c r="Q187" s="1"/>
      <c r="R187" s="1"/>
      <c r="S187" s="1"/>
      <c r="T187" s="1"/>
      <c r="U187" s="1"/>
      <c r="V187" s="21"/>
      <c r="W187" s="1"/>
      <c r="X187" s="1"/>
      <c r="Z187" s="1"/>
      <c r="AA187" s="1"/>
      <c r="AB187" s="1"/>
      <c r="AE187" s="1"/>
      <c r="AF187" s="1"/>
      <c r="AG187" s="21">
        <v>7</v>
      </c>
      <c r="AH187" s="21">
        <v>13</v>
      </c>
    </row>
    <row r="188" spans="1:45" x14ac:dyDescent="0.2">
      <c r="A188" s="19" t="s">
        <v>638</v>
      </c>
      <c r="F188">
        <v>7</v>
      </c>
      <c r="G188">
        <v>7</v>
      </c>
      <c r="H188">
        <v>7</v>
      </c>
      <c r="I188">
        <v>7</v>
      </c>
      <c r="J188">
        <v>21</v>
      </c>
      <c r="K188">
        <v>18</v>
      </c>
      <c r="P188" s="1"/>
      <c r="Q188" s="1"/>
      <c r="R188" s="1"/>
      <c r="S188" s="1"/>
      <c r="T188" s="1"/>
      <c r="U188" s="1"/>
      <c r="V188" s="21"/>
      <c r="W188" s="1"/>
      <c r="X188" s="1"/>
      <c r="Z188" s="1"/>
      <c r="AA188" s="1"/>
      <c r="AB188" s="1"/>
      <c r="AE188" s="1"/>
      <c r="AF188" s="1"/>
      <c r="AH188" s="21">
        <v>23</v>
      </c>
    </row>
    <row r="189" spans="1:45" x14ac:dyDescent="0.2">
      <c r="A189" t="s">
        <v>540</v>
      </c>
      <c r="F189">
        <v>7</v>
      </c>
      <c r="G189">
        <v>7</v>
      </c>
      <c r="H189">
        <v>7</v>
      </c>
      <c r="I189">
        <v>7</v>
      </c>
      <c r="J189">
        <v>23</v>
      </c>
      <c r="K189">
        <v>23</v>
      </c>
      <c r="P189" s="1"/>
      <c r="Q189" s="1"/>
      <c r="R189" s="1"/>
      <c r="S189" s="1"/>
      <c r="T189" s="1"/>
      <c r="U189" s="1"/>
      <c r="V189" s="21"/>
      <c r="W189" s="1"/>
      <c r="X189" s="1"/>
      <c r="Z189" s="1"/>
      <c r="AA189" s="1"/>
      <c r="AB189" s="1"/>
      <c r="AE189" s="1"/>
      <c r="AF189" s="1"/>
      <c r="AH189" s="21">
        <v>26</v>
      </c>
    </row>
    <row r="190" spans="1:45" x14ac:dyDescent="0.2">
      <c r="A190" t="s">
        <v>541</v>
      </c>
      <c r="F190">
        <v>7</v>
      </c>
      <c r="G190">
        <v>7</v>
      </c>
      <c r="H190">
        <v>7</v>
      </c>
      <c r="I190">
        <v>7</v>
      </c>
      <c r="J190">
        <v>23</v>
      </c>
      <c r="K190">
        <v>23</v>
      </c>
      <c r="P190" s="1"/>
      <c r="Q190" s="1"/>
      <c r="R190" s="1"/>
      <c r="S190" s="1"/>
      <c r="T190" s="1"/>
      <c r="U190" s="1"/>
      <c r="V190" s="21"/>
      <c r="W190" s="1"/>
      <c r="X190" s="1"/>
      <c r="Z190" s="1"/>
      <c r="AA190" s="1"/>
      <c r="AB190" s="1"/>
      <c r="AE190" s="1"/>
      <c r="AF190" s="1"/>
      <c r="AG190" s="21">
        <v>13</v>
      </c>
      <c r="AH190" s="21">
        <v>13</v>
      </c>
    </row>
    <row r="191" spans="1:45" x14ac:dyDescent="0.2">
      <c r="A191" t="s">
        <v>387</v>
      </c>
      <c r="F191">
        <v>-11</v>
      </c>
      <c r="G191">
        <v>-11</v>
      </c>
      <c r="H191">
        <v>-11</v>
      </c>
      <c r="I191">
        <v>-11</v>
      </c>
      <c r="J191">
        <v>11</v>
      </c>
      <c r="K191">
        <v>11</v>
      </c>
      <c r="L191">
        <v>11</v>
      </c>
      <c r="P191" s="1"/>
      <c r="Q191" s="1"/>
      <c r="R191" s="1"/>
      <c r="S191" s="1"/>
      <c r="T191" s="1"/>
      <c r="U191" s="1"/>
      <c r="V191" s="21"/>
      <c r="W191" s="1"/>
      <c r="X191" s="1"/>
      <c r="Z191" s="1"/>
      <c r="AA191" s="1"/>
      <c r="AB191" s="1"/>
      <c r="AE191" s="1"/>
      <c r="AF191" s="1"/>
    </row>
    <row r="192" spans="1:45" x14ac:dyDescent="0.2">
      <c r="A192" t="s">
        <v>388</v>
      </c>
      <c r="F192">
        <v>-12</v>
      </c>
      <c r="G192">
        <v>-12</v>
      </c>
      <c r="H192">
        <v>-12</v>
      </c>
      <c r="I192">
        <v>-12</v>
      </c>
      <c r="J192">
        <v>12</v>
      </c>
      <c r="K192">
        <v>12</v>
      </c>
      <c r="L192">
        <v>12</v>
      </c>
      <c r="P192" s="1"/>
      <c r="Q192" s="1"/>
      <c r="R192" s="1"/>
      <c r="S192" s="1"/>
      <c r="T192" s="1"/>
      <c r="U192" s="1"/>
      <c r="V192" s="21"/>
      <c r="W192" s="1"/>
      <c r="X192" s="1"/>
      <c r="Z192" s="1"/>
      <c r="AA192" s="1"/>
      <c r="AB192" s="1"/>
      <c r="AE192" s="1"/>
      <c r="AF192" s="1"/>
    </row>
    <row r="193" spans="1:43" x14ac:dyDescent="0.2">
      <c r="A193" t="s">
        <v>493</v>
      </c>
      <c r="P193" s="1"/>
      <c r="Q193" s="1"/>
      <c r="R193" s="1"/>
      <c r="S193" s="1"/>
      <c r="T193" s="1"/>
      <c r="U193" s="1"/>
      <c r="V193" s="21"/>
      <c r="W193" s="1"/>
      <c r="X193" s="1"/>
      <c r="Z193" s="1"/>
      <c r="AA193" s="1"/>
      <c r="AB193" s="1"/>
      <c r="AE193" s="1"/>
      <c r="AF193" s="1"/>
      <c r="AG193" s="21">
        <v>7</v>
      </c>
      <c r="AH193" s="21">
        <v>13</v>
      </c>
      <c r="AQ193" s="31">
        <v>0.1</v>
      </c>
    </row>
    <row r="194" spans="1:43" x14ac:dyDescent="0.2">
      <c r="A194" t="s">
        <v>402</v>
      </c>
      <c r="B194">
        <v>7</v>
      </c>
      <c r="P194" s="1"/>
      <c r="Q194" s="1"/>
      <c r="R194" s="1"/>
      <c r="S194" s="1"/>
      <c r="T194" s="1"/>
      <c r="U194" s="1"/>
      <c r="V194" s="21"/>
      <c r="W194" s="1"/>
      <c r="X194" s="1"/>
      <c r="Z194" s="1"/>
      <c r="AA194" s="1"/>
      <c r="AB194" s="1"/>
      <c r="AE194" s="1"/>
      <c r="AF194" s="1"/>
      <c r="AG194" s="21">
        <v>8</v>
      </c>
      <c r="AH194" s="21">
        <v>8</v>
      </c>
    </row>
    <row r="195" spans="1:43" x14ac:dyDescent="0.2">
      <c r="A195" t="s">
        <v>408</v>
      </c>
      <c r="P195" s="1"/>
      <c r="Q195" s="1"/>
      <c r="R195" s="1"/>
      <c r="S195" s="1"/>
      <c r="T195" s="1"/>
      <c r="U195" s="1"/>
      <c r="V195" s="21"/>
      <c r="W195" s="1"/>
      <c r="X195" s="1"/>
      <c r="Z195" s="1"/>
      <c r="AA195" s="1"/>
      <c r="AB195" s="1"/>
      <c r="AE195" s="1"/>
      <c r="AF195" s="1"/>
      <c r="AG195" s="21">
        <v>11</v>
      </c>
      <c r="AH195" s="21">
        <v>11</v>
      </c>
    </row>
    <row r="196" spans="1:43" x14ac:dyDescent="0.2">
      <c r="A196" s="19" t="s">
        <v>628</v>
      </c>
      <c r="F196">
        <v>17</v>
      </c>
      <c r="G196">
        <v>17</v>
      </c>
      <c r="H196">
        <v>17</v>
      </c>
      <c r="I196">
        <v>17</v>
      </c>
      <c r="J196">
        <v>28</v>
      </c>
      <c r="K196">
        <v>23</v>
      </c>
      <c r="L196">
        <v>23</v>
      </c>
      <c r="P196" s="1"/>
      <c r="Q196" s="1"/>
      <c r="R196" s="1"/>
      <c r="S196" s="1"/>
      <c r="T196" s="1"/>
      <c r="U196" s="1"/>
      <c r="V196" s="21">
        <v>30</v>
      </c>
      <c r="W196" s="1"/>
      <c r="X196" s="1"/>
      <c r="Z196" s="1"/>
      <c r="AA196" s="1"/>
      <c r="AB196" s="1"/>
      <c r="AE196" s="1"/>
      <c r="AF196" s="1"/>
      <c r="AH196" s="21">
        <v>10</v>
      </c>
    </row>
    <row r="197" spans="1:43" x14ac:dyDescent="0.2">
      <c r="A197" s="19" t="s">
        <v>716</v>
      </c>
      <c r="F197">
        <v>17</v>
      </c>
      <c r="G197">
        <v>17</v>
      </c>
      <c r="H197">
        <v>17</v>
      </c>
      <c r="I197">
        <v>17</v>
      </c>
      <c r="J197">
        <v>28</v>
      </c>
      <c r="K197">
        <v>23</v>
      </c>
      <c r="L197">
        <v>23</v>
      </c>
      <c r="P197" s="1"/>
      <c r="Q197" s="1"/>
      <c r="R197" s="1"/>
      <c r="S197" s="1"/>
      <c r="T197" s="1"/>
      <c r="U197" s="1"/>
      <c r="V197" s="21">
        <v>30</v>
      </c>
      <c r="W197" s="1"/>
      <c r="X197" s="1"/>
      <c r="Z197" s="1"/>
      <c r="AA197" s="1"/>
      <c r="AB197" s="1"/>
      <c r="AE197" s="1"/>
      <c r="AF197" s="1"/>
      <c r="AH197" s="21">
        <v>36</v>
      </c>
    </row>
    <row r="198" spans="1:43" x14ac:dyDescent="0.2">
      <c r="A198" s="19" t="s">
        <v>717</v>
      </c>
      <c r="F198">
        <v>17</v>
      </c>
      <c r="G198">
        <v>17</v>
      </c>
      <c r="H198">
        <v>17</v>
      </c>
      <c r="I198">
        <v>17</v>
      </c>
      <c r="J198">
        <v>28</v>
      </c>
      <c r="K198">
        <v>23</v>
      </c>
      <c r="L198">
        <v>23</v>
      </c>
      <c r="P198" s="1"/>
      <c r="Q198" s="1"/>
      <c r="R198" s="1"/>
      <c r="S198" s="1"/>
      <c r="T198" s="1"/>
      <c r="U198" s="1"/>
      <c r="V198" s="21">
        <v>30</v>
      </c>
      <c r="W198" s="1"/>
      <c r="X198" s="1"/>
      <c r="Z198" s="1"/>
      <c r="AA198" s="1"/>
      <c r="AB198" s="1"/>
      <c r="AE198" s="1"/>
      <c r="AF198" s="1"/>
      <c r="AH198" s="21">
        <v>39</v>
      </c>
    </row>
    <row r="199" spans="1:43" x14ac:dyDescent="0.2">
      <c r="A199" t="s">
        <v>494</v>
      </c>
      <c r="P199" s="1"/>
      <c r="Q199" s="1"/>
      <c r="R199" s="1"/>
      <c r="S199" s="1"/>
      <c r="T199" s="1"/>
      <c r="U199" s="1"/>
      <c r="V199" s="21">
        <v>51</v>
      </c>
      <c r="W199" s="1"/>
      <c r="X199" s="1"/>
      <c r="Z199" s="1"/>
      <c r="AA199" s="1"/>
      <c r="AB199" s="1"/>
      <c r="AE199" s="1"/>
      <c r="AF199" s="1"/>
      <c r="AG199" s="21">
        <v>10</v>
      </c>
      <c r="AP199" s="31">
        <v>0.06</v>
      </c>
    </row>
    <row r="200" spans="1:43" x14ac:dyDescent="0.2">
      <c r="A200" t="s">
        <v>497</v>
      </c>
      <c r="B200">
        <v>10</v>
      </c>
      <c r="J200">
        <v>12</v>
      </c>
      <c r="L200">
        <v>12</v>
      </c>
      <c r="P200" s="1"/>
      <c r="Q200" s="1"/>
      <c r="R200" s="1"/>
      <c r="S200" s="1"/>
      <c r="T200" s="1"/>
      <c r="U200" s="1"/>
      <c r="V200" s="21"/>
      <c r="W200" s="1"/>
      <c r="X200" s="1"/>
      <c r="Z200" s="1"/>
      <c r="AA200" s="1"/>
      <c r="AB200" s="1"/>
      <c r="AE200" s="1"/>
      <c r="AF200" s="1"/>
    </row>
    <row r="201" spans="1:43" x14ac:dyDescent="0.2">
      <c r="A201" t="s">
        <v>498</v>
      </c>
      <c r="B201">
        <v>11</v>
      </c>
      <c r="J201">
        <v>13</v>
      </c>
      <c r="L201">
        <v>13</v>
      </c>
      <c r="P201" s="1"/>
      <c r="Q201" s="1"/>
      <c r="R201" s="1"/>
      <c r="S201" s="1"/>
      <c r="T201" s="1"/>
      <c r="U201" s="1"/>
      <c r="V201" s="21"/>
      <c r="W201" s="1"/>
      <c r="X201" s="1"/>
      <c r="Z201" s="1"/>
      <c r="AA201" s="1"/>
      <c r="AB201" s="1"/>
      <c r="AE201" s="1"/>
      <c r="AF201" s="1"/>
    </row>
    <row r="202" spans="1:43" x14ac:dyDescent="0.2">
      <c r="A202" t="s">
        <v>488</v>
      </c>
      <c r="P202" s="1"/>
      <c r="Q202" s="1"/>
      <c r="R202" s="1"/>
      <c r="S202" s="1"/>
      <c r="T202" s="1"/>
      <c r="U202" s="1"/>
      <c r="V202" s="21"/>
      <c r="W202" s="1"/>
      <c r="X202" s="1"/>
      <c r="Z202" s="1"/>
      <c r="AA202" s="1"/>
      <c r="AB202" s="1"/>
      <c r="AE202" s="1"/>
      <c r="AF202" s="1"/>
      <c r="AH202" s="21">
        <v>14</v>
      </c>
      <c r="AI202" s="31">
        <v>0.08</v>
      </c>
    </row>
    <row r="203" spans="1:43" x14ac:dyDescent="0.2">
      <c r="A203" t="s">
        <v>454</v>
      </c>
      <c r="J203">
        <v>10</v>
      </c>
      <c r="K203">
        <v>10</v>
      </c>
      <c r="L203">
        <v>10</v>
      </c>
      <c r="P203" s="1"/>
      <c r="Q203" s="1"/>
      <c r="R203" s="1"/>
      <c r="S203" s="1"/>
      <c r="T203" s="1"/>
      <c r="U203" s="1"/>
      <c r="V203" s="21"/>
      <c r="W203" s="1"/>
      <c r="X203" s="1"/>
      <c r="Z203" s="1"/>
      <c r="AA203" s="1"/>
      <c r="AB203" s="1"/>
      <c r="AE203" s="1"/>
      <c r="AF203" s="1"/>
      <c r="AH203" s="21">
        <v>7</v>
      </c>
    </row>
    <row r="204" spans="1:43" x14ac:dyDescent="0.2">
      <c r="A204" t="s">
        <v>487</v>
      </c>
      <c r="K204">
        <v>13</v>
      </c>
      <c r="L204">
        <v>13</v>
      </c>
      <c r="P204" s="1"/>
      <c r="Q204" s="1"/>
      <c r="R204" s="1"/>
      <c r="S204" s="1"/>
      <c r="T204" s="1"/>
      <c r="U204" s="1"/>
      <c r="V204" s="21"/>
      <c r="W204" s="1"/>
      <c r="X204" s="1"/>
      <c r="Z204" s="1"/>
      <c r="AA204" s="1"/>
      <c r="AB204" s="1"/>
      <c r="AE204" s="1"/>
      <c r="AF204" s="1"/>
      <c r="AG204" s="21">
        <v>7</v>
      </c>
    </row>
    <row r="205" spans="1:43" x14ac:dyDescent="0.2">
      <c r="A205" t="s">
        <v>396</v>
      </c>
      <c r="F205">
        <v>8</v>
      </c>
      <c r="J205">
        <v>8</v>
      </c>
      <c r="K205">
        <v>8</v>
      </c>
      <c r="M205">
        <v>5</v>
      </c>
      <c r="N205">
        <v>5</v>
      </c>
      <c r="P205" s="1"/>
      <c r="Q205" s="1"/>
      <c r="R205" s="1"/>
      <c r="S205" s="1"/>
      <c r="T205" s="1"/>
      <c r="U205" s="1"/>
      <c r="V205" s="21"/>
      <c r="W205" s="1"/>
      <c r="X205" s="1"/>
      <c r="Z205" s="1"/>
      <c r="AA205" s="1"/>
      <c r="AB205" s="1"/>
      <c r="AE205" s="1"/>
      <c r="AF205" s="1"/>
      <c r="AH205" s="21">
        <v>5</v>
      </c>
    </row>
    <row r="206" spans="1:43" x14ac:dyDescent="0.2">
      <c r="A206" t="s">
        <v>397</v>
      </c>
      <c r="F206">
        <v>12</v>
      </c>
      <c r="J206">
        <v>12</v>
      </c>
      <c r="K206">
        <v>12</v>
      </c>
      <c r="M206">
        <v>13</v>
      </c>
      <c r="N206">
        <v>13</v>
      </c>
      <c r="P206" s="1"/>
      <c r="Q206" s="1"/>
      <c r="R206" s="1"/>
      <c r="S206" s="1"/>
      <c r="T206" s="1"/>
      <c r="U206" s="1"/>
      <c r="V206" s="21"/>
      <c r="W206" s="1"/>
      <c r="X206" s="1"/>
      <c r="Z206" s="1"/>
      <c r="AA206" s="1"/>
      <c r="AB206" s="1"/>
      <c r="AE206" s="1"/>
      <c r="AF206" s="1"/>
      <c r="AH206" s="21">
        <v>13</v>
      </c>
    </row>
    <row r="207" spans="1:43" x14ac:dyDescent="0.2">
      <c r="A207" t="s">
        <v>394</v>
      </c>
      <c r="J207">
        <v>9</v>
      </c>
      <c r="K207">
        <v>9</v>
      </c>
      <c r="L207">
        <v>9</v>
      </c>
      <c r="P207" s="1"/>
      <c r="Q207" s="1"/>
      <c r="R207" s="1"/>
      <c r="S207" s="1"/>
      <c r="T207" s="1"/>
      <c r="U207" s="1"/>
      <c r="V207" s="21"/>
      <c r="W207" s="1"/>
      <c r="X207" s="1"/>
      <c r="Z207" s="1"/>
      <c r="AA207" s="1"/>
      <c r="AB207" s="1"/>
      <c r="AE207" s="1"/>
      <c r="AF207" s="1"/>
      <c r="AG207" s="21">
        <v>14</v>
      </c>
      <c r="AH207" s="21">
        <v>8</v>
      </c>
    </row>
    <row r="208" spans="1:43" x14ac:dyDescent="0.2">
      <c r="A208" t="s">
        <v>453</v>
      </c>
      <c r="J208">
        <v>13</v>
      </c>
      <c r="K208">
        <v>13</v>
      </c>
      <c r="L208">
        <v>13</v>
      </c>
      <c r="P208" s="1"/>
      <c r="Q208" s="1"/>
      <c r="R208" s="1"/>
      <c r="S208" s="1"/>
      <c r="T208" s="1"/>
      <c r="U208" s="1"/>
      <c r="V208" s="21"/>
      <c r="W208" s="1"/>
      <c r="X208" s="1"/>
      <c r="Z208" s="1"/>
      <c r="AA208" s="1"/>
      <c r="AB208" s="1"/>
      <c r="AE208" s="1"/>
      <c r="AF208" s="1"/>
      <c r="AG208" s="21">
        <v>6</v>
      </c>
    </row>
    <row r="209" spans="1:45" x14ac:dyDescent="0.2">
      <c r="A209" t="s">
        <v>450</v>
      </c>
      <c r="F209">
        <v>9</v>
      </c>
      <c r="G209">
        <v>9</v>
      </c>
      <c r="H209">
        <v>9</v>
      </c>
      <c r="I209">
        <v>9</v>
      </c>
      <c r="J209">
        <v>18</v>
      </c>
      <c r="K209">
        <v>18</v>
      </c>
      <c r="L209">
        <v>18</v>
      </c>
      <c r="P209" s="1"/>
      <c r="Q209" s="1"/>
      <c r="R209" s="1"/>
      <c r="S209" s="1"/>
      <c r="T209" s="1"/>
      <c r="U209" s="1"/>
      <c r="V209" s="21"/>
      <c r="W209" s="1"/>
      <c r="X209" s="1"/>
      <c r="Z209" s="1"/>
      <c r="AA209" s="1"/>
      <c r="AB209" s="1"/>
      <c r="AE209" s="1"/>
      <c r="AF209" s="1"/>
    </row>
    <row r="210" spans="1:45" x14ac:dyDescent="0.2">
      <c r="A210" s="19" t="s">
        <v>705</v>
      </c>
      <c r="F210">
        <v>16</v>
      </c>
      <c r="G210">
        <v>16</v>
      </c>
      <c r="H210">
        <v>16</v>
      </c>
      <c r="I210">
        <v>16</v>
      </c>
      <c r="J210">
        <v>20</v>
      </c>
      <c r="K210">
        <v>20</v>
      </c>
      <c r="L210">
        <v>20</v>
      </c>
      <c r="P210" s="1"/>
      <c r="Q210" s="1"/>
      <c r="R210" s="1"/>
      <c r="S210" s="1"/>
      <c r="T210" s="1"/>
      <c r="U210" s="1"/>
      <c r="V210" s="21"/>
      <c r="W210" s="1"/>
      <c r="X210" s="1"/>
      <c r="Z210" s="1"/>
      <c r="AA210" s="1"/>
      <c r="AB210" s="1"/>
      <c r="AE210" s="1"/>
      <c r="AF210" s="1"/>
    </row>
    <row r="211" spans="1:45" x14ac:dyDescent="0.2">
      <c r="A211" t="s">
        <v>492</v>
      </c>
      <c r="J211">
        <v>15</v>
      </c>
      <c r="P211" s="1"/>
      <c r="Q211" s="1"/>
      <c r="R211" s="1"/>
      <c r="S211" s="1"/>
      <c r="T211" s="1"/>
      <c r="U211" s="1"/>
      <c r="V211" s="21"/>
      <c r="W211" s="1"/>
      <c r="X211" s="1"/>
      <c r="Z211" s="1"/>
      <c r="AA211" s="1"/>
      <c r="AB211" s="1"/>
      <c r="AE211" s="1"/>
      <c r="AF211" s="1"/>
      <c r="AG211" s="21">
        <v>5</v>
      </c>
      <c r="AH211" s="21">
        <v>8</v>
      </c>
    </row>
    <row r="212" spans="1:45" x14ac:dyDescent="0.2">
      <c r="A212" t="s">
        <v>495</v>
      </c>
      <c r="J212">
        <v>15</v>
      </c>
      <c r="K212">
        <v>15</v>
      </c>
      <c r="L212">
        <v>15</v>
      </c>
      <c r="P212" s="1"/>
      <c r="Q212" s="1"/>
      <c r="R212" s="1"/>
      <c r="S212" s="1"/>
      <c r="T212" s="1"/>
      <c r="U212" s="1"/>
      <c r="V212" s="21"/>
      <c r="W212" s="1"/>
      <c r="X212" s="1"/>
      <c r="Z212" s="1"/>
      <c r="AA212" s="1"/>
      <c r="AB212" s="1"/>
      <c r="AE212" s="1"/>
      <c r="AF212" s="1"/>
      <c r="AG212" s="21">
        <v>5</v>
      </c>
    </row>
    <row r="213" spans="1:45" x14ac:dyDescent="0.2">
      <c r="A213" t="s">
        <v>404</v>
      </c>
      <c r="J213">
        <v>13</v>
      </c>
      <c r="K213">
        <v>13</v>
      </c>
      <c r="L213">
        <v>13</v>
      </c>
      <c r="P213" s="1"/>
      <c r="Q213" s="1"/>
      <c r="R213" s="1"/>
      <c r="S213" s="1"/>
      <c r="T213" s="1"/>
      <c r="U213" s="1"/>
      <c r="V213" s="21"/>
      <c r="W213" s="1"/>
      <c r="X213" s="1"/>
      <c r="Z213" s="1"/>
      <c r="AA213" s="1"/>
      <c r="AB213" s="1"/>
      <c r="AE213" s="1"/>
      <c r="AF213" s="1"/>
      <c r="AG213" s="21">
        <v>10</v>
      </c>
    </row>
    <row r="214" spans="1:45" x14ac:dyDescent="0.2">
      <c r="A214" t="s">
        <v>489</v>
      </c>
      <c r="P214" s="1"/>
      <c r="Q214" s="1"/>
      <c r="R214" s="1"/>
      <c r="S214" s="1"/>
      <c r="T214" s="1"/>
      <c r="U214" s="1"/>
      <c r="V214" s="21"/>
      <c r="W214" s="1"/>
      <c r="X214" s="1"/>
      <c r="Z214" s="1"/>
      <c r="AA214" s="1"/>
      <c r="AB214" s="1"/>
      <c r="AE214" s="1"/>
      <c r="AF214" s="1"/>
      <c r="AG214" s="21">
        <v>13</v>
      </c>
      <c r="AH214" s="21">
        <v>7</v>
      </c>
    </row>
    <row r="215" spans="1:45" x14ac:dyDescent="0.2">
      <c r="A215" t="s">
        <v>486</v>
      </c>
      <c r="M215">
        <v>10</v>
      </c>
      <c r="N215">
        <v>10</v>
      </c>
      <c r="P215" s="1"/>
      <c r="Q215" s="1"/>
      <c r="R215" s="1"/>
      <c r="S215" s="1"/>
      <c r="T215" s="1"/>
      <c r="U215" s="1"/>
      <c r="V215" s="21">
        <v>40</v>
      </c>
      <c r="W215" s="1"/>
      <c r="X215" s="1"/>
      <c r="Z215" s="1"/>
      <c r="AA215" s="1"/>
      <c r="AB215" s="1"/>
      <c r="AE215" s="1"/>
      <c r="AF215" s="1"/>
      <c r="AG215" s="21">
        <v>5</v>
      </c>
      <c r="AH215" s="21">
        <v>5</v>
      </c>
    </row>
    <row r="216" spans="1:45" x14ac:dyDescent="0.2">
      <c r="A216" t="s">
        <v>407</v>
      </c>
      <c r="B216">
        <v>9</v>
      </c>
      <c r="J216">
        <v>8</v>
      </c>
      <c r="P216" s="1"/>
      <c r="Q216" s="1"/>
      <c r="R216" s="1"/>
      <c r="S216" s="1"/>
      <c r="T216" s="1"/>
      <c r="U216" s="1"/>
      <c r="V216" s="21"/>
      <c r="W216" s="1"/>
      <c r="X216" s="1"/>
      <c r="Z216" s="1"/>
      <c r="AA216" s="1"/>
      <c r="AB216" s="1"/>
      <c r="AE216" s="1"/>
      <c r="AF216" s="1"/>
    </row>
    <row r="217" spans="1:45" x14ac:dyDescent="0.2">
      <c r="A217" s="19" t="s">
        <v>715</v>
      </c>
      <c r="F217">
        <v>13</v>
      </c>
      <c r="G217">
        <v>13</v>
      </c>
      <c r="H217">
        <v>13</v>
      </c>
      <c r="I217">
        <v>13</v>
      </c>
      <c r="J217">
        <v>18</v>
      </c>
      <c r="K217">
        <v>18</v>
      </c>
      <c r="L217">
        <v>18</v>
      </c>
      <c r="O217" s="1"/>
      <c r="P217" s="1"/>
      <c r="Q217" s="1"/>
      <c r="R217" s="1"/>
      <c r="S217" s="1"/>
      <c r="T217" s="1"/>
      <c r="U217" s="1"/>
      <c r="V217" s="21">
        <v>20</v>
      </c>
      <c r="W217" s="1"/>
      <c r="X217" s="1"/>
      <c r="Y217" s="21"/>
      <c r="Z217" s="1"/>
      <c r="AA217" s="1"/>
      <c r="AB217" s="1"/>
      <c r="AE217" s="1"/>
      <c r="AF217" s="1"/>
      <c r="AG217" s="21">
        <v>10</v>
      </c>
    </row>
    <row r="218" spans="1:45" x14ac:dyDescent="0.2">
      <c r="A218" s="19" t="s">
        <v>728</v>
      </c>
      <c r="F218">
        <v>21</v>
      </c>
      <c r="G218">
        <v>21</v>
      </c>
      <c r="H218">
        <v>21</v>
      </c>
      <c r="I218">
        <v>21</v>
      </c>
      <c r="J218">
        <v>29</v>
      </c>
      <c r="K218">
        <v>29</v>
      </c>
      <c r="L218">
        <v>29</v>
      </c>
      <c r="O218" s="1"/>
      <c r="P218" s="1"/>
      <c r="Q218" s="1"/>
      <c r="R218" s="1"/>
      <c r="S218" s="1"/>
      <c r="T218" s="1"/>
      <c r="U218" s="1"/>
      <c r="V218" s="21">
        <v>30</v>
      </c>
      <c r="W218" s="1"/>
      <c r="X218" s="1"/>
      <c r="Y218" s="21"/>
      <c r="Z218" s="1"/>
      <c r="AA218" s="1"/>
      <c r="AB218" s="1"/>
      <c r="AE218" s="1"/>
      <c r="AF218" s="1"/>
      <c r="AG218" s="21">
        <v>10</v>
      </c>
    </row>
    <row r="219" spans="1:45" x14ac:dyDescent="0.2">
      <c r="A219" t="s">
        <v>452</v>
      </c>
      <c r="J219">
        <v>12</v>
      </c>
      <c r="K219">
        <v>12</v>
      </c>
      <c r="L219">
        <v>12</v>
      </c>
      <c r="P219" s="1"/>
      <c r="Q219" s="1"/>
      <c r="R219" s="1"/>
      <c r="S219" s="1"/>
      <c r="T219" s="1"/>
      <c r="U219" s="1"/>
      <c r="V219" s="21"/>
      <c r="W219" s="1"/>
      <c r="X219" s="1"/>
      <c r="Z219" s="1"/>
      <c r="AA219" s="1"/>
      <c r="AB219" s="1"/>
      <c r="AE219" s="1"/>
      <c r="AF219" s="1"/>
      <c r="AG219" s="21">
        <v>5</v>
      </c>
    </row>
    <row r="220" spans="1:45" x14ac:dyDescent="0.2">
      <c r="A220" t="s">
        <v>385</v>
      </c>
      <c r="P220" s="1"/>
      <c r="Q220" s="1"/>
      <c r="R220" s="1"/>
      <c r="S220" s="1"/>
      <c r="T220" s="1"/>
      <c r="U220" s="1"/>
      <c r="V220" s="21"/>
      <c r="W220" s="1"/>
      <c r="X220" s="1"/>
      <c r="Z220" s="1"/>
      <c r="AA220" s="1"/>
      <c r="AB220" s="1"/>
      <c r="AE220" s="1"/>
      <c r="AF220" s="1"/>
      <c r="AH220" s="21">
        <v>15</v>
      </c>
    </row>
    <row r="221" spans="1:45" x14ac:dyDescent="0.2">
      <c r="A221" t="s">
        <v>468</v>
      </c>
      <c r="J221">
        <v>5</v>
      </c>
      <c r="K221">
        <v>5</v>
      </c>
      <c r="P221" s="1"/>
      <c r="Q221" s="1"/>
      <c r="R221" s="1"/>
      <c r="S221" s="1"/>
      <c r="T221" s="1"/>
      <c r="U221" s="1"/>
      <c r="V221" s="21"/>
      <c r="W221" s="1"/>
      <c r="X221" s="1"/>
      <c r="Z221" s="1"/>
      <c r="AA221" s="1"/>
      <c r="AB221" s="1"/>
      <c r="AE221" s="1"/>
      <c r="AF221" s="1"/>
      <c r="AG221" s="21">
        <v>10</v>
      </c>
    </row>
    <row r="222" spans="1:45" x14ac:dyDescent="0.2">
      <c r="A222" t="s">
        <v>469</v>
      </c>
      <c r="J222">
        <v>6</v>
      </c>
      <c r="K222">
        <v>6</v>
      </c>
      <c r="P222" s="1"/>
      <c r="Q222" s="1"/>
      <c r="R222" s="1"/>
      <c r="S222" s="1"/>
      <c r="T222" s="1"/>
      <c r="U222" s="1"/>
      <c r="V222" s="21"/>
      <c r="W222" s="1"/>
      <c r="X222" s="1"/>
      <c r="Z222" s="1"/>
      <c r="AA222" s="1"/>
      <c r="AB222" s="1"/>
      <c r="AE222" s="1"/>
      <c r="AF222" s="1"/>
      <c r="AG222" s="21">
        <v>12</v>
      </c>
      <c r="AI222" s="31">
        <v>0.03</v>
      </c>
    </row>
    <row r="223" spans="1:45" s="65" customFormat="1" x14ac:dyDescent="0.2">
      <c r="A223" s="65" t="s">
        <v>745</v>
      </c>
      <c r="F223" s="65">
        <v>35</v>
      </c>
      <c r="G223" s="65">
        <v>35</v>
      </c>
      <c r="H223" s="65">
        <v>35</v>
      </c>
      <c r="I223" s="65">
        <v>35</v>
      </c>
      <c r="J223" s="65">
        <v>55</v>
      </c>
      <c r="K223" s="65">
        <v>55</v>
      </c>
      <c r="L223" s="65">
        <v>48</v>
      </c>
      <c r="P223" s="88"/>
      <c r="Q223" s="88"/>
      <c r="R223" s="88"/>
      <c r="S223" s="88"/>
      <c r="T223" s="88"/>
      <c r="U223" s="88"/>
      <c r="V223" s="89"/>
      <c r="W223" s="88"/>
      <c r="X223" s="88"/>
      <c r="Z223" s="88"/>
      <c r="AA223" s="88"/>
      <c r="AB223" s="88"/>
      <c r="AC223" s="89"/>
      <c r="AD223" s="89"/>
      <c r="AE223" s="88"/>
      <c r="AF223" s="88"/>
      <c r="AG223" s="89">
        <v>43</v>
      </c>
      <c r="AH223" s="89"/>
      <c r="AI223" s="66">
        <v>0.09</v>
      </c>
      <c r="AJ223" s="90"/>
      <c r="AK223" s="89"/>
      <c r="AL223" s="66"/>
      <c r="AM223" s="90"/>
      <c r="AN223" s="66"/>
      <c r="AO223" s="66"/>
      <c r="AP223" s="66"/>
      <c r="AQ223" s="66"/>
      <c r="AR223" s="66"/>
      <c r="AS223" s="66"/>
    </row>
    <row r="224" spans="1:45" x14ac:dyDescent="0.2">
      <c r="A224" t="s">
        <v>398</v>
      </c>
      <c r="J224">
        <v>6</v>
      </c>
      <c r="K224">
        <v>6</v>
      </c>
      <c r="L224">
        <v>6</v>
      </c>
      <c r="P224" s="1"/>
      <c r="Q224" s="1"/>
      <c r="R224" s="1"/>
      <c r="S224" s="1"/>
      <c r="T224" s="1"/>
      <c r="U224" s="1"/>
      <c r="V224" s="21"/>
      <c r="W224" s="1"/>
      <c r="X224" s="1"/>
      <c r="Z224" s="1"/>
      <c r="AA224" s="1"/>
      <c r="AB224" s="1"/>
      <c r="AE224" s="1"/>
      <c r="AF224" s="1"/>
      <c r="AG224" s="21">
        <v>4</v>
      </c>
      <c r="AH224" s="21">
        <v>4</v>
      </c>
    </row>
    <row r="225" spans="1:45" x14ac:dyDescent="0.2">
      <c r="A225" t="s">
        <v>393</v>
      </c>
      <c r="J225">
        <v>8</v>
      </c>
      <c r="K225">
        <v>8</v>
      </c>
      <c r="L225">
        <v>8</v>
      </c>
      <c r="P225" s="1"/>
      <c r="Q225" s="1"/>
      <c r="R225" s="1"/>
      <c r="S225" s="1"/>
      <c r="T225" s="1"/>
      <c r="U225" s="1"/>
      <c r="V225" s="21"/>
      <c r="W225" s="1"/>
      <c r="X225" s="1"/>
      <c r="Z225" s="1"/>
      <c r="AA225" s="1"/>
      <c r="AB225" s="1"/>
      <c r="AE225" s="1"/>
      <c r="AF225" s="1"/>
      <c r="AG225" s="21">
        <v>12</v>
      </c>
      <c r="AH225" s="21">
        <v>6</v>
      </c>
    </row>
    <row r="226" spans="1:45" x14ac:dyDescent="0.2">
      <c r="A226" t="s">
        <v>496</v>
      </c>
      <c r="P226" s="1"/>
      <c r="Q226" s="1"/>
      <c r="R226" s="1"/>
      <c r="S226" s="1"/>
      <c r="T226" s="1"/>
      <c r="U226" s="1"/>
      <c r="V226" s="21"/>
      <c r="W226" s="1"/>
      <c r="X226" s="1"/>
      <c r="Z226" s="1"/>
      <c r="AA226" s="1"/>
      <c r="AB226" s="1"/>
      <c r="AE226" s="1"/>
      <c r="AF226" s="1"/>
      <c r="AH226" s="21">
        <v>15</v>
      </c>
    </row>
    <row r="227" spans="1:45" x14ac:dyDescent="0.2">
      <c r="A227" t="s">
        <v>720</v>
      </c>
      <c r="F227">
        <v>21</v>
      </c>
      <c r="G227">
        <v>21</v>
      </c>
      <c r="H227">
        <v>21</v>
      </c>
      <c r="I227">
        <v>21</v>
      </c>
      <c r="J227">
        <v>36</v>
      </c>
      <c r="K227">
        <v>36</v>
      </c>
      <c r="L227">
        <v>29</v>
      </c>
      <c r="P227" s="1"/>
      <c r="Q227" s="1"/>
      <c r="R227" s="1"/>
      <c r="S227" s="1"/>
      <c r="T227" s="1"/>
      <c r="U227" s="1"/>
      <c r="V227" s="21">
        <v>30</v>
      </c>
      <c r="W227" s="1"/>
      <c r="X227" s="1"/>
      <c r="Z227" s="1"/>
      <c r="AA227" s="1"/>
      <c r="AB227" s="1"/>
      <c r="AE227" s="1"/>
      <c r="AF227" s="1"/>
      <c r="AG227" s="21">
        <v>18</v>
      </c>
      <c r="AH227" s="21">
        <v>18</v>
      </c>
      <c r="AQ227" s="31">
        <v>0.05</v>
      </c>
    </row>
    <row r="228" spans="1:45" x14ac:dyDescent="0.2">
      <c r="A228" t="s">
        <v>729</v>
      </c>
      <c r="F228">
        <v>20</v>
      </c>
      <c r="G228">
        <v>20</v>
      </c>
      <c r="H228">
        <v>20</v>
      </c>
      <c r="I228">
        <v>20</v>
      </c>
      <c r="J228">
        <v>28</v>
      </c>
      <c r="K228">
        <v>28</v>
      </c>
      <c r="L228">
        <v>28</v>
      </c>
      <c r="P228" s="1"/>
      <c r="Q228" s="1"/>
      <c r="R228" s="1"/>
      <c r="S228" s="1"/>
      <c r="T228" s="1"/>
      <c r="U228" s="1"/>
      <c r="V228" s="21">
        <v>30</v>
      </c>
      <c r="W228" s="1"/>
      <c r="X228" s="1"/>
      <c r="Z228" s="1"/>
      <c r="AA228" s="1"/>
      <c r="AB228" s="1"/>
      <c r="AE228" s="1"/>
      <c r="AF228" s="1"/>
      <c r="AH228" s="21">
        <v>6</v>
      </c>
    </row>
    <row r="229" spans="1:45" x14ac:dyDescent="0.2">
      <c r="A229" s="19" t="s">
        <v>629</v>
      </c>
      <c r="F229">
        <v>16</v>
      </c>
      <c r="G229">
        <v>16</v>
      </c>
      <c r="H229">
        <v>16</v>
      </c>
      <c r="I229">
        <v>16</v>
      </c>
      <c r="J229">
        <v>20</v>
      </c>
      <c r="K229">
        <v>20</v>
      </c>
      <c r="L229">
        <v>20</v>
      </c>
      <c r="P229" s="1"/>
      <c r="Q229" s="1"/>
      <c r="R229" s="1"/>
      <c r="S229" s="1"/>
      <c r="T229" s="1"/>
      <c r="U229" s="1"/>
      <c r="V229" s="21">
        <v>20</v>
      </c>
      <c r="W229" s="1"/>
      <c r="X229" s="1"/>
      <c r="Z229" s="1"/>
      <c r="AA229" s="1"/>
      <c r="AB229" s="1"/>
      <c r="AE229" s="1"/>
      <c r="AF229" s="1"/>
      <c r="AM229" s="53">
        <v>10</v>
      </c>
    </row>
    <row r="230" spans="1:45" x14ac:dyDescent="0.2">
      <c r="A230" t="s">
        <v>500</v>
      </c>
      <c r="P230" s="1"/>
      <c r="Q230" s="1"/>
      <c r="R230" s="1"/>
      <c r="S230" s="1"/>
      <c r="T230" s="1"/>
      <c r="U230" s="1"/>
      <c r="V230" s="21"/>
      <c r="W230" s="1"/>
      <c r="X230" s="1"/>
      <c r="Z230" s="1"/>
      <c r="AA230" s="1"/>
      <c r="AB230" s="1"/>
      <c r="AE230" s="1"/>
      <c r="AF230" s="1"/>
      <c r="AH230" s="21">
        <v>9</v>
      </c>
      <c r="AI230" s="31">
        <v>0.04</v>
      </c>
    </row>
    <row r="231" spans="1:45" x14ac:dyDescent="0.2">
      <c r="A231" t="s">
        <v>501</v>
      </c>
      <c r="P231" s="1"/>
      <c r="Q231" s="1"/>
      <c r="R231" s="1"/>
      <c r="S231" s="1"/>
      <c r="T231" s="1"/>
      <c r="U231" s="1"/>
      <c r="V231" s="21"/>
      <c r="W231" s="1"/>
      <c r="X231" s="1"/>
      <c r="Z231" s="1"/>
      <c r="AA231" s="1"/>
      <c r="AB231" s="1"/>
      <c r="AE231" s="1"/>
      <c r="AF231" s="1"/>
      <c r="AH231" s="21">
        <v>10</v>
      </c>
      <c r="AI231" s="31">
        <v>0.05</v>
      </c>
    </row>
    <row r="234" spans="1:45" x14ac:dyDescent="0.2">
      <c r="A234" t="s">
        <v>19</v>
      </c>
      <c r="B234" t="s">
        <v>26</v>
      </c>
      <c r="C234" t="s">
        <v>645</v>
      </c>
      <c r="D234" t="s">
        <v>676</v>
      </c>
      <c r="E234" t="s">
        <v>273</v>
      </c>
      <c r="F234" t="s">
        <v>3</v>
      </c>
      <c r="G234" t="s">
        <v>4</v>
      </c>
      <c r="H234" t="s">
        <v>5</v>
      </c>
      <c r="I234" t="s">
        <v>33</v>
      </c>
      <c r="J234" t="s">
        <v>120</v>
      </c>
      <c r="K234" t="s">
        <v>121</v>
      </c>
      <c r="L234" t="s">
        <v>122</v>
      </c>
      <c r="M234" t="s">
        <v>10</v>
      </c>
      <c r="N234" t="s">
        <v>9</v>
      </c>
      <c r="O234" t="s">
        <v>183</v>
      </c>
      <c r="P234" t="s">
        <v>12</v>
      </c>
      <c r="Q234" t="s">
        <v>84</v>
      </c>
      <c r="R234" t="s">
        <v>177</v>
      </c>
      <c r="S234" t="s">
        <v>265</v>
      </c>
      <c r="T234" t="s">
        <v>132</v>
      </c>
      <c r="U234" t="s">
        <v>266</v>
      </c>
      <c r="V234" t="s">
        <v>11</v>
      </c>
      <c r="W234" t="s">
        <v>78</v>
      </c>
      <c r="X234" t="s">
        <v>77</v>
      </c>
      <c r="Y234" t="s">
        <v>13</v>
      </c>
      <c r="Z234" t="s">
        <v>76</v>
      </c>
      <c r="AA234" t="s">
        <v>131</v>
      </c>
      <c r="AB234" t="s">
        <v>91</v>
      </c>
      <c r="AC234" s="21" t="s">
        <v>250</v>
      </c>
      <c r="AD234" s="21" t="s">
        <v>251</v>
      </c>
      <c r="AE234" t="s">
        <v>175</v>
      </c>
      <c r="AF234" t="s">
        <v>725</v>
      </c>
      <c r="AG234" s="21" t="s">
        <v>651</v>
      </c>
      <c r="AH234" s="21" t="s">
        <v>272</v>
      </c>
      <c r="AI234" s="31" t="s">
        <v>390</v>
      </c>
      <c r="AJ234" s="53" t="s">
        <v>392</v>
      </c>
      <c r="AK234" s="21" t="s">
        <v>315</v>
      </c>
      <c r="AL234" s="31" t="s">
        <v>274</v>
      </c>
      <c r="AM234" s="64" t="s">
        <v>595</v>
      </c>
      <c r="AN234" s="31" t="s">
        <v>275</v>
      </c>
      <c r="AO234" s="31" t="s">
        <v>515</v>
      </c>
      <c r="AP234" s="31" t="s">
        <v>516</v>
      </c>
      <c r="AQ234" s="31" t="s">
        <v>312</v>
      </c>
      <c r="AR234" s="31" t="s">
        <v>549</v>
      </c>
      <c r="AS234" s="31" t="s">
        <v>550</v>
      </c>
    </row>
    <row r="235" spans="1:45" x14ac:dyDescent="0.2">
      <c r="A235" t="s">
        <v>389</v>
      </c>
      <c r="P235" s="1"/>
      <c r="Q235" s="1"/>
      <c r="R235" s="1"/>
      <c r="S235" s="1"/>
      <c r="T235" s="1"/>
      <c r="U235" s="1"/>
      <c r="V235" s="21"/>
      <c r="W235" s="1"/>
      <c r="X235" s="1"/>
      <c r="Z235" s="1"/>
      <c r="AA235" s="1"/>
      <c r="AB235" s="1"/>
      <c r="AE235" s="1"/>
      <c r="AF235" s="1"/>
      <c r="AG235" s="21">
        <v>6</v>
      </c>
      <c r="AH235" s="21">
        <v>6</v>
      </c>
    </row>
    <row r="236" spans="1:45" x14ac:dyDescent="0.2">
      <c r="A236" t="s">
        <v>461</v>
      </c>
      <c r="F236">
        <v>1</v>
      </c>
      <c r="G236">
        <v>10</v>
      </c>
      <c r="H236">
        <v>8</v>
      </c>
      <c r="J236">
        <v>10</v>
      </c>
      <c r="K236">
        <v>13</v>
      </c>
      <c r="L236">
        <v>4</v>
      </c>
      <c r="P236" s="1"/>
      <c r="Q236" s="1"/>
      <c r="R236" s="1"/>
      <c r="S236" s="1"/>
      <c r="T236" s="1"/>
      <c r="U236" s="1"/>
      <c r="V236" s="21">
        <v>30</v>
      </c>
      <c r="W236" s="1"/>
      <c r="X236" s="1"/>
      <c r="Z236" s="1"/>
      <c r="AA236" s="1"/>
      <c r="AB236" s="1"/>
      <c r="AE236" s="1"/>
      <c r="AF236" s="1"/>
    </row>
    <row r="237" spans="1:45" x14ac:dyDescent="0.2">
      <c r="A237" t="s">
        <v>538</v>
      </c>
      <c r="F237">
        <v>1</v>
      </c>
      <c r="G237">
        <v>10</v>
      </c>
      <c r="H237">
        <v>8</v>
      </c>
      <c r="J237">
        <v>12</v>
      </c>
      <c r="K237">
        <v>13</v>
      </c>
      <c r="L237">
        <v>4</v>
      </c>
      <c r="P237" s="1"/>
      <c r="Q237" s="1"/>
      <c r="R237" s="1"/>
      <c r="S237" s="1"/>
      <c r="T237" s="1"/>
      <c r="U237" s="1"/>
      <c r="V237" s="21">
        <v>30</v>
      </c>
      <c r="W237" s="1"/>
      <c r="X237" s="1"/>
      <c r="Z237" s="1"/>
      <c r="AA237" s="1"/>
      <c r="AB237" s="1"/>
      <c r="AE237" s="1"/>
      <c r="AF237" s="1"/>
      <c r="AH237" s="21">
        <v>7</v>
      </c>
    </row>
    <row r="238" spans="1:45" x14ac:dyDescent="0.2">
      <c r="A238" t="s">
        <v>539</v>
      </c>
      <c r="F238">
        <v>1</v>
      </c>
      <c r="G238">
        <v>10</v>
      </c>
      <c r="H238">
        <v>8</v>
      </c>
      <c r="J238">
        <v>10</v>
      </c>
      <c r="K238">
        <v>15</v>
      </c>
      <c r="L238">
        <v>4</v>
      </c>
      <c r="P238" s="1"/>
      <c r="Q238" s="1"/>
      <c r="R238" s="1"/>
      <c r="S238" s="1"/>
      <c r="T238" s="1"/>
      <c r="U238" s="1"/>
      <c r="V238" s="21">
        <v>30</v>
      </c>
      <c r="W238" s="1"/>
      <c r="X238" s="1"/>
      <c r="Z238" s="1"/>
      <c r="AA238" s="1"/>
      <c r="AB238" s="1"/>
      <c r="AE238" s="1"/>
      <c r="AF238" s="1"/>
      <c r="AG238" s="21">
        <v>7</v>
      </c>
    </row>
    <row r="239" spans="1:45" x14ac:dyDescent="0.2">
      <c r="A239" t="s">
        <v>540</v>
      </c>
      <c r="F239">
        <v>1</v>
      </c>
      <c r="G239">
        <v>10</v>
      </c>
      <c r="H239">
        <v>8</v>
      </c>
      <c r="J239">
        <v>20</v>
      </c>
      <c r="K239">
        <v>23</v>
      </c>
      <c r="L239">
        <v>4</v>
      </c>
      <c r="P239" s="1"/>
      <c r="Q239" s="1"/>
      <c r="R239" s="1"/>
      <c r="S239" s="1"/>
      <c r="T239" s="1"/>
      <c r="U239" s="1"/>
      <c r="V239" s="21">
        <v>30</v>
      </c>
      <c r="W239" s="1"/>
      <c r="X239" s="1"/>
      <c r="Z239" s="1"/>
      <c r="AA239" s="1"/>
      <c r="AB239" s="1"/>
      <c r="AE239" s="1"/>
      <c r="AF239" s="1"/>
      <c r="AH239" s="21">
        <v>13</v>
      </c>
    </row>
    <row r="240" spans="1:45" x14ac:dyDescent="0.2">
      <c r="A240" t="s">
        <v>541</v>
      </c>
      <c r="F240">
        <v>1</v>
      </c>
      <c r="G240">
        <v>10</v>
      </c>
      <c r="H240">
        <v>8</v>
      </c>
      <c r="J240">
        <v>20</v>
      </c>
      <c r="K240">
        <v>23</v>
      </c>
      <c r="L240">
        <v>4</v>
      </c>
      <c r="P240" s="1"/>
      <c r="Q240" s="1"/>
      <c r="R240" s="1"/>
      <c r="S240" s="1"/>
      <c r="T240" s="1"/>
      <c r="U240" s="1"/>
      <c r="V240" s="21">
        <v>30</v>
      </c>
      <c r="W240" s="1"/>
      <c r="X240" s="1"/>
      <c r="Z240" s="1"/>
      <c r="AA240" s="1"/>
      <c r="AB240" s="1"/>
      <c r="AE240" s="1"/>
      <c r="AF240" s="1"/>
      <c r="AG240" s="21">
        <v>13</v>
      </c>
    </row>
    <row r="241" spans="1:45" x14ac:dyDescent="0.2">
      <c r="A241" t="s">
        <v>387</v>
      </c>
      <c r="F241">
        <v>-5</v>
      </c>
      <c r="G241">
        <v>-5</v>
      </c>
      <c r="H241">
        <v>-5</v>
      </c>
      <c r="I241">
        <v>-5</v>
      </c>
      <c r="J241">
        <v>5</v>
      </c>
      <c r="K241">
        <v>5</v>
      </c>
      <c r="L241">
        <v>5</v>
      </c>
      <c r="P241" s="1"/>
      <c r="Q241" s="1"/>
      <c r="R241" s="1"/>
      <c r="S241" s="1"/>
      <c r="T241" s="1"/>
      <c r="U241" s="1"/>
      <c r="V241" s="21"/>
      <c r="W241" s="1"/>
      <c r="X241" s="1"/>
      <c r="Z241" s="1"/>
      <c r="AA241" s="1"/>
      <c r="AB241" s="1"/>
      <c r="AE241" s="1"/>
      <c r="AF241" s="1"/>
      <c r="AG241" s="21">
        <v>7</v>
      </c>
    </row>
    <row r="242" spans="1:45" x14ac:dyDescent="0.2">
      <c r="A242" t="s">
        <v>388</v>
      </c>
      <c r="F242">
        <v>-6</v>
      </c>
      <c r="G242">
        <v>-6</v>
      </c>
      <c r="H242">
        <v>-6</v>
      </c>
      <c r="I242">
        <v>-6</v>
      </c>
      <c r="J242">
        <v>6</v>
      </c>
      <c r="K242">
        <v>6</v>
      </c>
      <c r="L242">
        <v>6</v>
      </c>
      <c r="P242" s="1"/>
      <c r="Q242" s="1"/>
      <c r="R242" s="1"/>
      <c r="S242" s="1"/>
      <c r="T242" s="1"/>
      <c r="U242" s="1"/>
      <c r="V242" s="21"/>
      <c r="W242" s="1"/>
      <c r="X242" s="1"/>
      <c r="Z242" s="1"/>
      <c r="AA242" s="1"/>
      <c r="AB242" s="1"/>
      <c r="AE242" s="1"/>
      <c r="AF242" s="1"/>
      <c r="AG242" s="21">
        <v>8</v>
      </c>
    </row>
    <row r="243" spans="1:45" x14ac:dyDescent="0.2">
      <c r="A243" t="s">
        <v>455</v>
      </c>
      <c r="P243" s="1"/>
      <c r="Q243" s="1"/>
      <c r="R243" s="1"/>
      <c r="S243" s="1"/>
      <c r="T243" s="1"/>
      <c r="U243" s="1"/>
      <c r="V243" s="21"/>
      <c r="W243" s="1"/>
      <c r="X243" s="1"/>
      <c r="Z243" s="1"/>
      <c r="AA243" s="1"/>
      <c r="AB243" s="1"/>
      <c r="AE243" s="1"/>
      <c r="AF243" s="1"/>
      <c r="AH243" s="21">
        <v>7</v>
      </c>
      <c r="AJ243" s="53">
        <v>5</v>
      </c>
    </row>
    <row r="244" spans="1:45" x14ac:dyDescent="0.2">
      <c r="A244" t="s">
        <v>402</v>
      </c>
      <c r="F244">
        <v>7</v>
      </c>
      <c r="G244">
        <v>7</v>
      </c>
      <c r="P244" s="1"/>
      <c r="Q244" s="1"/>
      <c r="R244" s="1"/>
      <c r="S244" s="1"/>
      <c r="T244" s="1"/>
      <c r="U244" s="1"/>
      <c r="V244" s="21">
        <v>30</v>
      </c>
      <c r="W244" s="1"/>
      <c r="X244" s="1"/>
      <c r="Z244" s="1"/>
      <c r="AA244" s="1"/>
      <c r="AB244" s="1"/>
      <c r="AE244" s="1"/>
      <c r="AF244" s="1"/>
      <c r="AH244" s="21">
        <v>6</v>
      </c>
    </row>
    <row r="245" spans="1:45" x14ac:dyDescent="0.2">
      <c r="A245" t="s">
        <v>408</v>
      </c>
      <c r="J245">
        <v>7</v>
      </c>
      <c r="P245" s="1"/>
      <c r="Q245" s="1"/>
      <c r="R245" s="1"/>
      <c r="S245" s="1"/>
      <c r="T245" s="1"/>
      <c r="U245" s="1"/>
      <c r="V245" s="21"/>
      <c r="W245" s="1"/>
      <c r="X245" s="1"/>
      <c r="Z245" s="1"/>
      <c r="AA245" s="1"/>
      <c r="AB245" s="1"/>
      <c r="AE245" s="1"/>
      <c r="AF245" s="1"/>
      <c r="AH245" s="21">
        <v>8</v>
      </c>
      <c r="AI245" s="31">
        <v>0.05</v>
      </c>
    </row>
    <row r="246" spans="1:45" x14ac:dyDescent="0.2">
      <c r="A246" t="s">
        <v>400</v>
      </c>
      <c r="M246">
        <v>4</v>
      </c>
      <c r="N246">
        <v>4</v>
      </c>
      <c r="P246" s="1"/>
      <c r="Q246" s="1"/>
      <c r="R246" s="1"/>
      <c r="S246" s="1"/>
      <c r="T246" s="1"/>
      <c r="U246" s="1"/>
      <c r="V246" s="21"/>
      <c r="W246" s="1"/>
      <c r="X246" s="1"/>
      <c r="Z246" s="1"/>
      <c r="AA246" s="1"/>
      <c r="AB246" s="1"/>
      <c r="AE246" s="1"/>
      <c r="AF246" s="1"/>
      <c r="AG246" s="21">
        <v>4</v>
      </c>
      <c r="AH246" s="21">
        <v>4</v>
      </c>
    </row>
    <row r="247" spans="1:45" x14ac:dyDescent="0.2">
      <c r="A247" s="19" t="s">
        <v>628</v>
      </c>
      <c r="F247">
        <v>5</v>
      </c>
      <c r="G247">
        <v>22</v>
      </c>
      <c r="H247">
        <v>20</v>
      </c>
      <c r="I247">
        <v>4</v>
      </c>
      <c r="J247">
        <v>15</v>
      </c>
      <c r="K247">
        <v>26</v>
      </c>
      <c r="L247">
        <v>15</v>
      </c>
      <c r="P247" s="1"/>
      <c r="Q247" s="1"/>
      <c r="R247" s="1"/>
      <c r="S247" s="1"/>
      <c r="T247" s="1"/>
      <c r="U247" s="1"/>
      <c r="V247" s="21">
        <v>30</v>
      </c>
      <c r="W247" s="1"/>
      <c r="X247" s="1"/>
      <c r="Z247" s="1"/>
      <c r="AA247" s="1"/>
      <c r="AB247" s="1"/>
      <c r="AE247" s="1"/>
      <c r="AF247" s="1"/>
      <c r="AG247" s="21">
        <v>20</v>
      </c>
    </row>
    <row r="248" spans="1:45" x14ac:dyDescent="0.2">
      <c r="A248" s="19" t="s">
        <v>716</v>
      </c>
      <c r="F248">
        <v>5</v>
      </c>
      <c r="G248">
        <v>22</v>
      </c>
      <c r="H248">
        <v>20</v>
      </c>
      <c r="I248">
        <v>4</v>
      </c>
      <c r="J248">
        <v>15</v>
      </c>
      <c r="K248">
        <v>26</v>
      </c>
      <c r="L248">
        <v>15</v>
      </c>
      <c r="P248" s="1"/>
      <c r="Q248" s="1"/>
      <c r="R248" s="1"/>
      <c r="S248" s="1"/>
      <c r="T248" s="1"/>
      <c r="U248" s="1"/>
      <c r="V248" s="21">
        <v>30</v>
      </c>
      <c r="W248" s="1"/>
      <c r="X248" s="1"/>
      <c r="Z248" s="1"/>
      <c r="AA248" s="1"/>
      <c r="AB248" s="1"/>
      <c r="AE248" s="1"/>
      <c r="AF248" s="1"/>
      <c r="AG248" s="21">
        <v>20</v>
      </c>
      <c r="AH248" s="21">
        <v>20</v>
      </c>
    </row>
    <row r="249" spans="1:45" x14ac:dyDescent="0.2">
      <c r="A249" s="19" t="s">
        <v>717</v>
      </c>
      <c r="F249">
        <v>5</v>
      </c>
      <c r="G249">
        <v>22</v>
      </c>
      <c r="H249">
        <v>20</v>
      </c>
      <c r="I249">
        <v>4</v>
      </c>
      <c r="J249">
        <v>15</v>
      </c>
      <c r="K249">
        <v>26</v>
      </c>
      <c r="L249">
        <v>15</v>
      </c>
      <c r="P249" s="1"/>
      <c r="Q249" s="1"/>
      <c r="R249" s="1"/>
      <c r="S249" s="1"/>
      <c r="T249" s="1"/>
      <c r="U249" s="1"/>
      <c r="V249" s="21">
        <v>30</v>
      </c>
      <c r="W249" s="1"/>
      <c r="X249" s="1"/>
      <c r="Z249" s="1"/>
      <c r="AA249" s="1"/>
      <c r="AB249" s="1"/>
      <c r="AE249" s="1"/>
      <c r="AF249" s="1"/>
      <c r="AG249" s="21">
        <v>20</v>
      </c>
      <c r="AH249" s="21">
        <v>29</v>
      </c>
    </row>
    <row r="250" spans="1:45" s="65" customFormat="1" x14ac:dyDescent="0.2">
      <c r="A250" s="87" t="s">
        <v>753</v>
      </c>
      <c r="F250" s="65">
        <v>3</v>
      </c>
      <c r="G250" s="65">
        <v>25</v>
      </c>
      <c r="H250" s="65">
        <v>22</v>
      </c>
      <c r="I250" s="65">
        <v>2</v>
      </c>
      <c r="J250" s="65">
        <v>17</v>
      </c>
      <c r="K250" s="65">
        <v>30</v>
      </c>
      <c r="L250" s="65">
        <v>16</v>
      </c>
      <c r="P250" s="88"/>
      <c r="Q250" s="88"/>
      <c r="R250" s="88"/>
      <c r="S250" s="88"/>
      <c r="T250" s="88"/>
      <c r="U250" s="88"/>
      <c r="V250" s="89">
        <v>30</v>
      </c>
      <c r="W250" s="88"/>
      <c r="X250" s="88"/>
      <c r="Z250" s="88"/>
      <c r="AA250" s="88"/>
      <c r="AB250" s="88"/>
      <c r="AC250" s="89"/>
      <c r="AD250" s="89"/>
      <c r="AE250" s="88"/>
      <c r="AF250" s="88"/>
      <c r="AG250" s="89"/>
      <c r="AH250" s="89">
        <v>29</v>
      </c>
      <c r="AI250" s="66"/>
      <c r="AJ250" s="90"/>
      <c r="AK250" s="89"/>
      <c r="AL250" s="66"/>
      <c r="AM250" s="90"/>
      <c r="AN250" s="66"/>
      <c r="AO250" s="66"/>
      <c r="AP250" s="66"/>
      <c r="AQ250" s="66"/>
      <c r="AR250" s="66"/>
      <c r="AS250" s="66"/>
    </row>
    <row r="251" spans="1:45" x14ac:dyDescent="0.2">
      <c r="A251" s="19" t="s">
        <v>730</v>
      </c>
      <c r="F251">
        <v>6</v>
      </c>
      <c r="G251">
        <v>28</v>
      </c>
      <c r="H251">
        <v>25</v>
      </c>
      <c r="I251">
        <v>5</v>
      </c>
      <c r="J251">
        <v>19</v>
      </c>
      <c r="K251">
        <v>33</v>
      </c>
      <c r="L251">
        <v>19</v>
      </c>
      <c r="P251" s="1"/>
      <c r="Q251" s="1"/>
      <c r="R251" s="1"/>
      <c r="S251" s="1"/>
      <c r="T251" s="1"/>
      <c r="U251" s="1"/>
      <c r="V251" s="21">
        <v>30</v>
      </c>
      <c r="W251" s="1"/>
      <c r="X251" s="1"/>
      <c r="Z251" s="1"/>
      <c r="AA251" s="1"/>
      <c r="AB251" s="1"/>
      <c r="AE251" s="1"/>
      <c r="AF251" s="1"/>
      <c r="AG251" s="21">
        <v>23</v>
      </c>
    </row>
    <row r="252" spans="1:45" x14ac:dyDescent="0.2">
      <c r="A252" t="s">
        <v>454</v>
      </c>
      <c r="P252" s="1"/>
      <c r="Q252" s="1"/>
      <c r="R252" s="1"/>
      <c r="S252" s="1"/>
      <c r="T252" s="1"/>
      <c r="U252" s="1"/>
      <c r="V252" s="21"/>
      <c r="W252" s="1"/>
      <c r="X252" s="1"/>
      <c r="Z252" s="1"/>
      <c r="AA252" s="1"/>
      <c r="AB252" s="1"/>
      <c r="AE252" s="1"/>
      <c r="AF252" s="1"/>
      <c r="AG252" s="21">
        <v>10</v>
      </c>
      <c r="AQ252" s="31">
        <v>0.02</v>
      </c>
    </row>
    <row r="253" spans="1:45" x14ac:dyDescent="0.2">
      <c r="A253" t="s">
        <v>396</v>
      </c>
      <c r="M253">
        <v>5</v>
      </c>
      <c r="N253">
        <v>5</v>
      </c>
      <c r="P253" s="1"/>
      <c r="Q253" s="1"/>
      <c r="R253" s="1"/>
      <c r="S253" s="1"/>
      <c r="T253" s="1"/>
      <c r="U253" s="1"/>
      <c r="V253" s="21"/>
      <c r="W253" s="1"/>
      <c r="X253" s="1"/>
      <c r="Z253" s="1"/>
      <c r="AA253" s="1"/>
      <c r="AB253" s="1"/>
      <c r="AE253" s="1"/>
      <c r="AF253" s="1"/>
      <c r="AG253" s="21">
        <v>5</v>
      </c>
      <c r="AH253" s="21">
        <v>5</v>
      </c>
    </row>
    <row r="254" spans="1:45" x14ac:dyDescent="0.2">
      <c r="A254" t="s">
        <v>397</v>
      </c>
      <c r="M254">
        <v>12</v>
      </c>
      <c r="N254">
        <v>12</v>
      </c>
      <c r="P254" s="1"/>
      <c r="Q254" s="1"/>
      <c r="R254" s="1"/>
      <c r="S254" s="1"/>
      <c r="T254" s="1"/>
      <c r="U254" s="1"/>
      <c r="V254" s="21"/>
      <c r="W254" s="1"/>
      <c r="X254" s="1"/>
      <c r="Z254" s="1"/>
      <c r="AA254" s="1"/>
      <c r="AB254" s="1"/>
      <c r="AE254" s="1"/>
      <c r="AF254" s="1"/>
      <c r="AG254" s="21">
        <v>11</v>
      </c>
      <c r="AH254" s="21">
        <v>11</v>
      </c>
    </row>
    <row r="255" spans="1:45" x14ac:dyDescent="0.2">
      <c r="A255" t="s">
        <v>394</v>
      </c>
      <c r="P255" s="1"/>
      <c r="Q255" s="1"/>
      <c r="R255" s="1"/>
      <c r="S255" s="1"/>
      <c r="T255" s="1"/>
      <c r="U255" s="1"/>
      <c r="V255" s="21"/>
      <c r="W255" s="1"/>
      <c r="X255" s="1"/>
      <c r="Z255" s="1"/>
      <c r="AA255" s="1"/>
      <c r="AB255" s="1"/>
      <c r="AE255" s="1"/>
      <c r="AF255" s="1"/>
      <c r="AH255" s="21">
        <v>13</v>
      </c>
    </row>
    <row r="256" spans="1:45" x14ac:dyDescent="0.2">
      <c r="A256" t="s">
        <v>453</v>
      </c>
      <c r="P256" s="1"/>
      <c r="Q256" s="1"/>
      <c r="R256" s="1"/>
      <c r="S256" s="1"/>
      <c r="T256" s="1"/>
      <c r="U256" s="1"/>
      <c r="V256" s="21"/>
      <c r="W256" s="1"/>
      <c r="X256" s="1"/>
      <c r="Z256" s="1"/>
      <c r="AA256" s="1"/>
      <c r="AB256" s="1"/>
      <c r="AE256" s="1"/>
      <c r="AF256" s="1"/>
      <c r="AH256" s="21">
        <v>8</v>
      </c>
    </row>
    <row r="257" spans="1:43" x14ac:dyDescent="0.2">
      <c r="A257" t="s">
        <v>450</v>
      </c>
      <c r="F257">
        <v>2</v>
      </c>
      <c r="G257">
        <v>8</v>
      </c>
      <c r="H257">
        <v>8</v>
      </c>
      <c r="I257">
        <v>1</v>
      </c>
      <c r="J257">
        <v>6</v>
      </c>
      <c r="K257">
        <v>15</v>
      </c>
      <c r="L257">
        <v>15</v>
      </c>
      <c r="P257" s="1"/>
      <c r="Q257" s="1"/>
      <c r="R257" s="1"/>
      <c r="S257" s="1"/>
      <c r="T257" s="1"/>
      <c r="U257" s="1"/>
      <c r="V257" s="21">
        <v>20</v>
      </c>
      <c r="W257" s="1"/>
      <c r="X257" s="1"/>
      <c r="Z257" s="1"/>
      <c r="AA257" s="1"/>
      <c r="AB257" s="1"/>
      <c r="AE257" s="1"/>
      <c r="AF257" s="1"/>
      <c r="AG257" s="21">
        <v>5</v>
      </c>
    </row>
    <row r="258" spans="1:43" x14ac:dyDescent="0.2">
      <c r="A258" s="19" t="s">
        <v>705</v>
      </c>
      <c r="F258">
        <v>4</v>
      </c>
      <c r="G258">
        <v>17</v>
      </c>
      <c r="H258">
        <v>16</v>
      </c>
      <c r="I258">
        <v>3</v>
      </c>
      <c r="J258">
        <v>12</v>
      </c>
      <c r="K258">
        <v>22</v>
      </c>
      <c r="L258">
        <v>17</v>
      </c>
      <c r="P258" s="1"/>
      <c r="Q258" s="1"/>
      <c r="R258" s="1"/>
      <c r="S258" s="1"/>
      <c r="T258" s="1"/>
      <c r="U258" s="1"/>
      <c r="V258" s="21">
        <v>30</v>
      </c>
      <c r="W258" s="1"/>
      <c r="X258" s="1"/>
      <c r="Z258" s="1"/>
      <c r="AA258" s="1"/>
      <c r="AB258" s="1"/>
      <c r="AE258" s="1"/>
      <c r="AF258" s="1"/>
      <c r="AG258" s="21">
        <v>6</v>
      </c>
    </row>
    <row r="259" spans="1:43" x14ac:dyDescent="0.2">
      <c r="A259" s="19" t="s">
        <v>710</v>
      </c>
      <c r="F259">
        <v>5</v>
      </c>
      <c r="G259">
        <v>24</v>
      </c>
      <c r="H259">
        <v>22</v>
      </c>
      <c r="I259">
        <v>4</v>
      </c>
      <c r="J259">
        <v>24</v>
      </c>
      <c r="K259">
        <v>28</v>
      </c>
      <c r="L259">
        <v>16</v>
      </c>
      <c r="P259" s="1"/>
      <c r="Q259" s="1"/>
      <c r="R259" s="1"/>
      <c r="S259" s="1"/>
      <c r="T259" s="1"/>
      <c r="U259" s="1"/>
      <c r="V259" s="21">
        <v>30</v>
      </c>
      <c r="W259" s="1"/>
      <c r="X259" s="1"/>
      <c r="Z259" s="1"/>
      <c r="AA259" s="1"/>
      <c r="AB259" s="1"/>
      <c r="AE259" s="1"/>
      <c r="AF259" s="1"/>
      <c r="AG259" s="21">
        <v>13</v>
      </c>
      <c r="AH259" s="21">
        <v>13</v>
      </c>
      <c r="AM259" s="53">
        <v>10</v>
      </c>
    </row>
    <row r="260" spans="1:43" x14ac:dyDescent="0.2">
      <c r="A260" t="s">
        <v>451</v>
      </c>
      <c r="F260">
        <v>3</v>
      </c>
      <c r="G260">
        <v>14</v>
      </c>
      <c r="H260">
        <v>13</v>
      </c>
      <c r="I260">
        <v>2</v>
      </c>
      <c r="J260">
        <v>10</v>
      </c>
      <c r="K260">
        <v>17</v>
      </c>
      <c r="L260">
        <v>10</v>
      </c>
      <c r="P260" s="1"/>
      <c r="Q260" s="1"/>
      <c r="R260" s="1"/>
      <c r="S260" s="1"/>
      <c r="T260" s="1"/>
      <c r="U260" s="1"/>
      <c r="V260" s="21">
        <v>20</v>
      </c>
      <c r="W260" s="1"/>
      <c r="X260" s="1"/>
      <c r="Z260" s="1"/>
      <c r="AA260" s="1"/>
      <c r="AB260" s="1"/>
      <c r="AE260" s="1"/>
      <c r="AF260" s="1"/>
      <c r="AG260" s="21">
        <v>8</v>
      </c>
      <c r="AH260" s="21">
        <v>13</v>
      </c>
    </row>
    <row r="261" spans="1:43" x14ac:dyDescent="0.2">
      <c r="A261" t="s">
        <v>449</v>
      </c>
      <c r="P261" s="1"/>
      <c r="Q261" s="1"/>
      <c r="R261" s="1"/>
      <c r="S261" s="1"/>
      <c r="T261" s="1"/>
      <c r="U261" s="1"/>
      <c r="V261" s="21"/>
      <c r="W261" s="1"/>
      <c r="X261" s="1"/>
      <c r="Z261" s="1"/>
      <c r="AA261" s="1"/>
      <c r="AB261" s="1"/>
      <c r="AE261" s="1"/>
      <c r="AF261" s="1"/>
      <c r="AG261" s="21">
        <v>15</v>
      </c>
      <c r="AQ261" s="31">
        <v>0.02</v>
      </c>
    </row>
    <row r="262" spans="1:43" x14ac:dyDescent="0.2">
      <c r="A262" t="s">
        <v>517</v>
      </c>
      <c r="B262">
        <v>10</v>
      </c>
      <c r="P262" s="1"/>
      <c r="Q262" s="1"/>
      <c r="R262" s="1"/>
      <c r="S262" s="1"/>
      <c r="T262" s="1"/>
      <c r="U262" s="1"/>
      <c r="V262" s="21"/>
      <c r="W262" s="1"/>
      <c r="X262" s="1"/>
      <c r="Z262" s="1"/>
      <c r="AA262" s="1"/>
      <c r="AB262" s="1"/>
      <c r="AE262" s="1"/>
      <c r="AF262" s="1"/>
      <c r="AO262" s="31">
        <v>0.05</v>
      </c>
    </row>
    <row r="263" spans="1:43" x14ac:dyDescent="0.2">
      <c r="A263" t="s">
        <v>407</v>
      </c>
      <c r="B263">
        <v>15</v>
      </c>
      <c r="P263" s="1"/>
      <c r="Q263" s="1"/>
      <c r="R263" s="1"/>
      <c r="S263" s="1"/>
      <c r="T263" s="1"/>
      <c r="U263" s="1"/>
      <c r="V263" s="21"/>
      <c r="W263" s="1"/>
      <c r="X263" s="1"/>
      <c r="Z263" s="1"/>
      <c r="AA263" s="1"/>
      <c r="AB263" s="1"/>
      <c r="AE263" s="1"/>
      <c r="AF263" s="1"/>
      <c r="AO263" s="31">
        <v>0.1</v>
      </c>
    </row>
    <row r="264" spans="1:43" x14ac:dyDescent="0.2">
      <c r="A264" s="19" t="s">
        <v>715</v>
      </c>
      <c r="B264">
        <v>17</v>
      </c>
      <c r="F264">
        <v>4</v>
      </c>
      <c r="G264">
        <v>17</v>
      </c>
      <c r="H264">
        <v>16</v>
      </c>
      <c r="I264">
        <v>3</v>
      </c>
      <c r="J264">
        <v>17</v>
      </c>
      <c r="K264">
        <v>21</v>
      </c>
      <c r="L264">
        <v>12</v>
      </c>
      <c r="O264" s="1"/>
      <c r="P264" s="1"/>
      <c r="Q264" s="1"/>
      <c r="R264" s="1"/>
      <c r="S264" s="1"/>
      <c r="T264" s="1"/>
      <c r="U264" s="1"/>
      <c r="V264" s="21">
        <v>30</v>
      </c>
      <c r="W264" s="1"/>
      <c r="X264" s="1"/>
      <c r="Y264" s="21"/>
      <c r="Z264" s="1"/>
      <c r="AA264" s="1"/>
      <c r="AB264" s="1"/>
      <c r="AE264" s="1"/>
      <c r="AF264" s="1"/>
      <c r="AG264" s="21">
        <v>8</v>
      </c>
    </row>
    <row r="265" spans="1:43" x14ac:dyDescent="0.2">
      <c r="A265" s="19" t="s">
        <v>728</v>
      </c>
      <c r="B265">
        <v>17</v>
      </c>
      <c r="F265">
        <v>6</v>
      </c>
      <c r="G265">
        <v>28</v>
      </c>
      <c r="H265">
        <v>25</v>
      </c>
      <c r="I265">
        <v>5</v>
      </c>
      <c r="J265">
        <v>27</v>
      </c>
      <c r="K265">
        <v>33</v>
      </c>
      <c r="L265">
        <v>19</v>
      </c>
      <c r="O265" s="1"/>
      <c r="P265" s="1"/>
      <c r="Q265" s="1"/>
      <c r="R265" s="1"/>
      <c r="S265" s="1"/>
      <c r="T265" s="1"/>
      <c r="U265" s="1"/>
      <c r="V265" s="21">
        <v>30</v>
      </c>
      <c r="W265" s="1"/>
      <c r="X265" s="1"/>
      <c r="Y265" s="21"/>
      <c r="Z265" s="1"/>
      <c r="AA265" s="1"/>
      <c r="AB265" s="1"/>
      <c r="AE265" s="1"/>
      <c r="AF265" s="1"/>
      <c r="AG265" s="21">
        <v>8</v>
      </c>
    </row>
    <row r="266" spans="1:43" x14ac:dyDescent="0.2">
      <c r="A266" t="s">
        <v>452</v>
      </c>
      <c r="P266" s="1"/>
      <c r="Q266" s="1"/>
      <c r="R266" s="1"/>
      <c r="S266" s="1"/>
      <c r="T266" s="1"/>
      <c r="U266" s="1"/>
      <c r="V266" s="21"/>
      <c r="W266" s="1"/>
      <c r="X266" s="1"/>
      <c r="Z266" s="1"/>
      <c r="AA266" s="1"/>
      <c r="AB266" s="1"/>
      <c r="AE266" s="1"/>
      <c r="AF266" s="1"/>
      <c r="AH266" s="21">
        <v>7</v>
      </c>
    </row>
    <row r="267" spans="1:43" x14ac:dyDescent="0.2">
      <c r="A267" t="s">
        <v>751</v>
      </c>
      <c r="F267">
        <v>4</v>
      </c>
      <c r="G267">
        <v>26</v>
      </c>
      <c r="H267">
        <v>23</v>
      </c>
      <c r="I267">
        <v>3</v>
      </c>
      <c r="J267">
        <v>17</v>
      </c>
      <c r="K267">
        <v>33</v>
      </c>
      <c r="L267">
        <v>17</v>
      </c>
      <c r="P267" s="1"/>
      <c r="Q267" s="1"/>
      <c r="R267" s="1"/>
      <c r="S267" s="1"/>
      <c r="T267" s="1"/>
      <c r="U267" s="1"/>
      <c r="V267" s="21">
        <v>30</v>
      </c>
      <c r="W267" s="1"/>
      <c r="X267" s="1"/>
      <c r="Z267" s="1"/>
      <c r="AA267" s="1"/>
      <c r="AB267" s="1"/>
      <c r="AE267" s="1"/>
      <c r="AF267" s="1"/>
      <c r="AH267" s="21">
        <v>20</v>
      </c>
    </row>
    <row r="268" spans="1:43" x14ac:dyDescent="0.2">
      <c r="A268" t="s">
        <v>393</v>
      </c>
      <c r="P268" s="1"/>
      <c r="Q268" s="1"/>
      <c r="R268" s="1"/>
      <c r="S268" s="1"/>
      <c r="T268" s="1"/>
      <c r="U268" s="1"/>
      <c r="V268" s="21"/>
      <c r="W268" s="1"/>
      <c r="X268" s="1"/>
      <c r="Z268" s="1"/>
      <c r="AA268" s="1"/>
      <c r="AB268" s="1"/>
      <c r="AE268" s="1"/>
      <c r="AF268" s="1"/>
      <c r="AH268" s="21">
        <v>10</v>
      </c>
    </row>
    <row r="269" spans="1:43" x14ac:dyDescent="0.2">
      <c r="A269" t="s">
        <v>729</v>
      </c>
      <c r="F269">
        <v>6</v>
      </c>
      <c r="G269">
        <v>26</v>
      </c>
      <c r="H269">
        <v>24</v>
      </c>
      <c r="I269">
        <v>4</v>
      </c>
      <c r="J269">
        <v>18</v>
      </c>
      <c r="K269">
        <v>32</v>
      </c>
      <c r="L269">
        <v>18</v>
      </c>
      <c r="P269" s="1"/>
      <c r="Q269" s="1"/>
      <c r="R269" s="1"/>
      <c r="S269" s="1"/>
      <c r="T269" s="1"/>
      <c r="U269" s="1"/>
      <c r="V269" s="21">
        <v>30</v>
      </c>
      <c r="W269" s="1"/>
      <c r="X269" s="1"/>
      <c r="Z269" s="1"/>
      <c r="AA269" s="1"/>
      <c r="AB269" s="1"/>
      <c r="AE269" s="1"/>
      <c r="AF269" s="1"/>
      <c r="AG269" s="21">
        <v>4</v>
      </c>
    </row>
    <row r="270" spans="1:43" x14ac:dyDescent="0.2">
      <c r="A270" t="s">
        <v>263</v>
      </c>
      <c r="F270">
        <v>6</v>
      </c>
      <c r="G270">
        <v>28</v>
      </c>
      <c r="H270">
        <v>25</v>
      </c>
      <c r="I270">
        <v>5</v>
      </c>
      <c r="J270">
        <v>19</v>
      </c>
      <c r="K270">
        <v>33</v>
      </c>
      <c r="L270">
        <v>19</v>
      </c>
      <c r="P270" s="1"/>
      <c r="Q270" s="1"/>
      <c r="R270" s="1"/>
      <c r="S270" s="1"/>
      <c r="T270" s="1"/>
      <c r="U270" s="1"/>
      <c r="V270" s="21"/>
      <c r="W270" s="1"/>
      <c r="X270" s="1"/>
      <c r="Z270" s="1"/>
      <c r="AA270" s="1"/>
      <c r="AB270" s="1"/>
      <c r="AE270" s="1"/>
      <c r="AF270" s="1"/>
      <c r="AG270" s="21">
        <v>15</v>
      </c>
      <c r="AH270" s="21">
        <v>15</v>
      </c>
    </row>
    <row r="273" spans="1:45" x14ac:dyDescent="0.2">
      <c r="A273" t="s">
        <v>42</v>
      </c>
      <c r="B273" t="s">
        <v>26</v>
      </c>
      <c r="C273" t="s">
        <v>645</v>
      </c>
      <c r="D273" t="s">
        <v>676</v>
      </c>
      <c r="E273" t="s">
        <v>273</v>
      </c>
      <c r="F273" t="s">
        <v>3</v>
      </c>
      <c r="G273" t="s">
        <v>4</v>
      </c>
      <c r="H273" t="s">
        <v>5</v>
      </c>
      <c r="I273" t="s">
        <v>33</v>
      </c>
      <c r="J273" t="s">
        <v>120</v>
      </c>
      <c r="K273" t="s">
        <v>121</v>
      </c>
      <c r="L273" t="s">
        <v>122</v>
      </c>
      <c r="M273" t="s">
        <v>10</v>
      </c>
      <c r="N273" t="s">
        <v>9</v>
      </c>
      <c r="O273" t="s">
        <v>183</v>
      </c>
      <c r="P273" t="s">
        <v>12</v>
      </c>
      <c r="Q273" t="s">
        <v>84</v>
      </c>
      <c r="R273" t="s">
        <v>177</v>
      </c>
      <c r="S273" t="s">
        <v>265</v>
      </c>
      <c r="T273" t="s">
        <v>132</v>
      </c>
      <c r="U273" t="s">
        <v>266</v>
      </c>
      <c r="V273" t="s">
        <v>11</v>
      </c>
      <c r="W273" t="s">
        <v>78</v>
      </c>
      <c r="X273" t="s">
        <v>77</v>
      </c>
      <c r="Y273" t="s">
        <v>13</v>
      </c>
      <c r="Z273" t="s">
        <v>76</v>
      </c>
      <c r="AA273" t="s">
        <v>131</v>
      </c>
      <c r="AB273" t="s">
        <v>91</v>
      </c>
      <c r="AC273" s="21" t="s">
        <v>250</v>
      </c>
      <c r="AD273" s="21" t="s">
        <v>251</v>
      </c>
      <c r="AE273" t="s">
        <v>175</v>
      </c>
      <c r="AF273" t="s">
        <v>725</v>
      </c>
      <c r="AG273" s="21" t="s">
        <v>651</v>
      </c>
      <c r="AH273" s="21" t="s">
        <v>272</v>
      </c>
      <c r="AI273" s="31" t="s">
        <v>390</v>
      </c>
      <c r="AJ273" s="53" t="s">
        <v>392</v>
      </c>
      <c r="AK273" s="21" t="s">
        <v>315</v>
      </c>
      <c r="AL273" s="31" t="s">
        <v>274</v>
      </c>
      <c r="AM273" s="64" t="s">
        <v>595</v>
      </c>
      <c r="AN273" s="31" t="s">
        <v>275</v>
      </c>
      <c r="AO273" s="31" t="s">
        <v>515</v>
      </c>
      <c r="AP273" s="31" t="s">
        <v>516</v>
      </c>
      <c r="AQ273" s="31" t="s">
        <v>312</v>
      </c>
      <c r="AR273" s="31" t="s">
        <v>549</v>
      </c>
      <c r="AS273" s="31" t="s">
        <v>550</v>
      </c>
    </row>
    <row r="274" spans="1:45" x14ac:dyDescent="0.2">
      <c r="A274" t="s">
        <v>415</v>
      </c>
      <c r="J274">
        <v>5</v>
      </c>
      <c r="P274" s="1"/>
      <c r="Q274" s="1"/>
      <c r="R274" s="1"/>
      <c r="S274" s="1"/>
      <c r="T274" s="1"/>
      <c r="U274" s="1"/>
      <c r="V274" s="21"/>
      <c r="W274" s="1"/>
      <c r="X274" s="1"/>
      <c r="Z274" s="1"/>
      <c r="AA274" s="1"/>
      <c r="AB274" s="1"/>
      <c r="AE274" s="1"/>
      <c r="AF274" s="1"/>
    </row>
    <row r="275" spans="1:45" s="65" customFormat="1" x14ac:dyDescent="0.2">
      <c r="A275" s="65" t="s">
        <v>755</v>
      </c>
      <c r="P275" s="88"/>
      <c r="Q275" s="88"/>
      <c r="R275" s="88"/>
      <c r="S275" s="88"/>
      <c r="T275" s="88"/>
      <c r="U275" s="88"/>
      <c r="V275" s="89"/>
      <c r="W275" s="88"/>
      <c r="X275" s="88"/>
      <c r="Z275" s="88"/>
      <c r="AA275" s="88"/>
      <c r="AB275" s="88"/>
      <c r="AC275" s="89"/>
      <c r="AD275" s="89"/>
      <c r="AE275" s="88"/>
      <c r="AF275" s="88"/>
      <c r="AG275" s="89"/>
      <c r="AH275" s="89">
        <v>7</v>
      </c>
      <c r="AI275" s="66"/>
      <c r="AJ275" s="90"/>
      <c r="AK275" s="89"/>
      <c r="AL275" s="66"/>
      <c r="AM275" s="90"/>
      <c r="AN275" s="66"/>
      <c r="AO275" s="66"/>
      <c r="AP275" s="66"/>
      <c r="AQ275" s="66"/>
      <c r="AR275" s="66"/>
      <c r="AS275" s="66"/>
    </row>
    <row r="276" spans="1:45" x14ac:dyDescent="0.2">
      <c r="A276" t="s">
        <v>479</v>
      </c>
      <c r="P276" s="1"/>
      <c r="Q276" s="1"/>
      <c r="R276" s="1"/>
      <c r="S276" s="1"/>
      <c r="T276" s="1"/>
      <c r="U276" s="1"/>
      <c r="V276" s="21"/>
      <c r="W276" s="1"/>
      <c r="X276" s="1"/>
      <c r="Z276" s="1"/>
      <c r="AA276" s="1"/>
      <c r="AB276" s="1"/>
      <c r="AE276" s="1"/>
      <c r="AF276" s="1"/>
      <c r="AG276" s="21">
        <v>4</v>
      </c>
    </row>
    <row r="277" spans="1:45" x14ac:dyDescent="0.2">
      <c r="A277" t="s">
        <v>426</v>
      </c>
      <c r="J277">
        <v>6</v>
      </c>
      <c r="P277" s="1"/>
      <c r="Q277" s="1"/>
      <c r="R277" s="1"/>
      <c r="S277" s="1"/>
      <c r="T277" s="1"/>
      <c r="U277" s="1"/>
      <c r="V277" s="21"/>
      <c r="W277" s="1"/>
      <c r="X277" s="1"/>
      <c r="Z277" s="1"/>
      <c r="AA277" s="1"/>
      <c r="AB277" s="1"/>
      <c r="AE277" s="1"/>
      <c r="AF277" s="1"/>
    </row>
    <row r="278" spans="1:45" x14ac:dyDescent="0.2">
      <c r="A278" t="s">
        <v>484</v>
      </c>
      <c r="J278">
        <v>6</v>
      </c>
      <c r="P278" s="1"/>
      <c r="Q278" s="1"/>
      <c r="R278" s="1"/>
      <c r="S278" s="1"/>
      <c r="T278" s="1"/>
      <c r="U278" s="1"/>
      <c r="V278" s="21"/>
      <c r="W278" s="1"/>
      <c r="X278" s="1"/>
      <c r="Z278" s="1"/>
      <c r="AA278" s="1"/>
      <c r="AB278" s="1"/>
      <c r="AE278" s="1"/>
      <c r="AF278" s="1"/>
      <c r="AH278" s="21">
        <v>1</v>
      </c>
    </row>
    <row r="279" spans="1:45" x14ac:dyDescent="0.2">
      <c r="A279" t="s">
        <v>480</v>
      </c>
      <c r="F279">
        <v>-3</v>
      </c>
      <c r="J279">
        <v>7</v>
      </c>
      <c r="P279" s="1"/>
      <c r="Q279" s="1"/>
      <c r="R279" s="1"/>
      <c r="S279" s="1"/>
      <c r="T279" s="1"/>
      <c r="U279" s="1"/>
      <c r="V279" s="21"/>
      <c r="W279" s="1"/>
      <c r="X279" s="1"/>
      <c r="Z279" s="1"/>
      <c r="AA279" s="1"/>
      <c r="AB279" s="1"/>
      <c r="AE279" s="1"/>
      <c r="AF279" s="1"/>
    </row>
    <row r="280" spans="1:45" x14ac:dyDescent="0.2">
      <c r="A280" t="s">
        <v>481</v>
      </c>
      <c r="B280">
        <v>4</v>
      </c>
      <c r="J280">
        <v>3</v>
      </c>
      <c r="P280" s="1"/>
      <c r="Q280" s="1"/>
      <c r="R280" s="1"/>
      <c r="S280" s="1"/>
      <c r="T280" s="1"/>
      <c r="U280" s="1"/>
      <c r="V280" s="21"/>
      <c r="W280" s="1"/>
      <c r="X280" s="1"/>
      <c r="Z280" s="1"/>
      <c r="AA280" s="1"/>
      <c r="AB280" s="1"/>
      <c r="AE280" s="1"/>
      <c r="AF280" s="1"/>
    </row>
    <row r="281" spans="1:45" x14ac:dyDescent="0.2">
      <c r="A281" t="s">
        <v>475</v>
      </c>
      <c r="P281" s="1"/>
      <c r="Q281" s="1"/>
      <c r="R281" s="1"/>
      <c r="S281" s="1"/>
      <c r="T281" s="1"/>
      <c r="U281" s="1"/>
      <c r="V281" s="21"/>
      <c r="W281" s="1"/>
      <c r="X281" s="1"/>
      <c r="Z281" s="1"/>
      <c r="AA281" s="1"/>
      <c r="AB281" s="1"/>
      <c r="AE281" s="1"/>
      <c r="AF281" s="1"/>
      <c r="AI281" s="31">
        <v>0.05</v>
      </c>
    </row>
    <row r="282" spans="1:45" x14ac:dyDescent="0.2">
      <c r="A282" t="s">
        <v>476</v>
      </c>
      <c r="P282" s="1"/>
      <c r="Q282" s="1"/>
      <c r="R282" s="1"/>
      <c r="S282" s="1"/>
      <c r="T282" s="1"/>
      <c r="U282" s="1"/>
      <c r="V282" s="21"/>
      <c r="W282" s="1"/>
      <c r="X282" s="1"/>
      <c r="Z282" s="1"/>
      <c r="AA282" s="1"/>
      <c r="AB282" s="1"/>
      <c r="AE282" s="1"/>
      <c r="AF282" s="1"/>
      <c r="AG282" s="21">
        <v>5</v>
      </c>
    </row>
    <row r="283" spans="1:45" x14ac:dyDescent="0.2">
      <c r="A283" t="s">
        <v>477</v>
      </c>
      <c r="P283" s="1"/>
      <c r="Q283" s="1"/>
      <c r="R283" s="1"/>
      <c r="S283" s="1"/>
      <c r="T283" s="1"/>
      <c r="U283" s="1"/>
      <c r="V283" s="21"/>
      <c r="W283" s="1"/>
      <c r="X283" s="1"/>
      <c r="Z283" s="1"/>
      <c r="AA283" s="1"/>
      <c r="AB283" s="1"/>
      <c r="AE283" s="1"/>
      <c r="AF283" s="1"/>
      <c r="AG283" s="21">
        <v>5</v>
      </c>
      <c r="AH283" s="21">
        <v>5</v>
      </c>
    </row>
    <row r="284" spans="1:45" x14ac:dyDescent="0.2">
      <c r="A284" t="s">
        <v>473</v>
      </c>
      <c r="P284" s="1"/>
      <c r="Q284" s="1"/>
      <c r="R284" s="1"/>
      <c r="S284" s="1"/>
      <c r="T284" s="1"/>
      <c r="U284" s="1"/>
      <c r="V284" s="21"/>
      <c r="W284" s="1"/>
      <c r="X284" s="1"/>
      <c r="Z284" s="1"/>
      <c r="AA284" s="1"/>
      <c r="AB284" s="1"/>
      <c r="AE284" s="1"/>
      <c r="AF284" s="1"/>
      <c r="AG284" s="21">
        <v>4</v>
      </c>
    </row>
    <row r="285" spans="1:45" x14ac:dyDescent="0.2">
      <c r="A285" t="s">
        <v>519</v>
      </c>
      <c r="P285" s="1"/>
      <c r="Q285" s="1"/>
      <c r="R285" s="1"/>
      <c r="S285" s="1"/>
      <c r="T285" s="1"/>
      <c r="U285" s="1"/>
      <c r="V285" s="21"/>
      <c r="W285" s="1"/>
      <c r="X285" s="1"/>
      <c r="Z285" s="1"/>
      <c r="AA285" s="1"/>
      <c r="AB285" s="1"/>
      <c r="AE285" s="1"/>
      <c r="AF285" s="1"/>
      <c r="AO285" s="31">
        <v>0.05</v>
      </c>
    </row>
    <row r="286" spans="1:45" x14ac:dyDescent="0.2">
      <c r="A286" t="s">
        <v>485</v>
      </c>
      <c r="J286">
        <v>3</v>
      </c>
      <c r="K286">
        <v>3</v>
      </c>
      <c r="L286">
        <v>3</v>
      </c>
      <c r="P286" s="1"/>
      <c r="Q286" s="1"/>
      <c r="R286" s="1"/>
      <c r="S286" s="1"/>
      <c r="T286" s="1"/>
      <c r="U286" s="1"/>
      <c r="V286" s="21"/>
      <c r="W286" s="1"/>
      <c r="X286" s="1"/>
      <c r="Z286" s="1"/>
      <c r="AA286" s="1"/>
      <c r="AB286" s="1"/>
      <c r="AE286" s="1"/>
      <c r="AF286" s="1"/>
      <c r="AG286" s="21">
        <v>3</v>
      </c>
    </row>
    <row r="287" spans="1:45" x14ac:dyDescent="0.2">
      <c r="A287" t="s">
        <v>564</v>
      </c>
      <c r="P287" s="1"/>
      <c r="Q287" s="1"/>
      <c r="R287" s="1"/>
      <c r="S287" s="1"/>
      <c r="T287" s="1"/>
      <c r="U287" s="1"/>
      <c r="V287" s="21"/>
      <c r="W287" s="1"/>
      <c r="X287" s="1"/>
      <c r="Z287" s="1"/>
      <c r="AA287" s="1"/>
      <c r="AB287" s="1"/>
      <c r="AE287" s="1"/>
      <c r="AF287" s="1"/>
      <c r="AQ287" s="31">
        <v>0.02</v>
      </c>
    </row>
    <row r="288" spans="1:45" x14ac:dyDescent="0.2">
      <c r="A288" t="s">
        <v>474</v>
      </c>
      <c r="P288" s="1"/>
      <c r="Q288" s="1"/>
      <c r="R288" s="1"/>
      <c r="S288" s="1"/>
      <c r="T288" s="1"/>
      <c r="U288" s="1"/>
      <c r="V288" s="21"/>
      <c r="W288" s="1"/>
      <c r="X288" s="1"/>
      <c r="Z288" s="1"/>
      <c r="AA288" s="1"/>
      <c r="AB288" s="1"/>
      <c r="AE288" s="1"/>
      <c r="AF288" s="1"/>
      <c r="AG288" s="21">
        <v>8</v>
      </c>
    </row>
    <row r="289" spans="1:45" x14ac:dyDescent="0.2">
      <c r="A289" t="s">
        <v>756</v>
      </c>
      <c r="J289">
        <v>8</v>
      </c>
      <c r="P289" s="1"/>
      <c r="Q289" s="1"/>
      <c r="R289" s="1"/>
      <c r="S289" s="1"/>
      <c r="T289" s="1"/>
      <c r="U289" s="1"/>
      <c r="V289" s="21"/>
      <c r="W289" s="1"/>
      <c r="X289" s="1"/>
      <c r="Z289" s="1"/>
      <c r="AA289" s="1"/>
      <c r="AB289" s="1"/>
      <c r="AE289" s="1"/>
      <c r="AF289" s="1"/>
    </row>
    <row r="290" spans="1:45" s="65" customFormat="1" x14ac:dyDescent="0.2">
      <c r="A290" s="87" t="s">
        <v>739</v>
      </c>
      <c r="J290" s="65">
        <v>9</v>
      </c>
      <c r="P290" s="88"/>
      <c r="Q290" s="88"/>
      <c r="R290" s="88"/>
      <c r="S290" s="88"/>
      <c r="T290" s="88"/>
      <c r="U290" s="88"/>
      <c r="V290" s="89"/>
      <c r="W290" s="88"/>
      <c r="X290" s="88"/>
      <c r="Z290" s="88"/>
      <c r="AA290" s="88"/>
      <c r="AB290" s="88"/>
      <c r="AC290" s="89"/>
      <c r="AD290" s="89"/>
      <c r="AE290" s="88"/>
      <c r="AF290" s="88"/>
      <c r="AG290" s="89"/>
      <c r="AH290" s="89">
        <v>3</v>
      </c>
      <c r="AI290" s="66"/>
      <c r="AJ290" s="90"/>
      <c r="AK290" s="89"/>
      <c r="AL290" s="66"/>
      <c r="AM290" s="90"/>
      <c r="AN290" s="66"/>
      <c r="AO290" s="66"/>
      <c r="AP290" s="66"/>
      <c r="AQ290" s="66"/>
      <c r="AR290" s="66"/>
      <c r="AS290" s="66"/>
    </row>
    <row r="291" spans="1:45" x14ac:dyDescent="0.2">
      <c r="A291" t="s">
        <v>478</v>
      </c>
      <c r="J291">
        <v>5</v>
      </c>
      <c r="P291" s="1"/>
      <c r="Q291" s="1"/>
      <c r="R291" s="1"/>
      <c r="S291" s="1"/>
      <c r="T291" s="1"/>
      <c r="U291" s="1"/>
      <c r="V291" s="21"/>
      <c r="W291" s="1"/>
      <c r="X291" s="1"/>
      <c r="Z291" s="1"/>
      <c r="AA291" s="1"/>
      <c r="AB291" s="1"/>
      <c r="AE291" s="1"/>
      <c r="AF291" s="1"/>
      <c r="AH291" s="21">
        <v>3</v>
      </c>
    </row>
    <row r="292" spans="1:45" x14ac:dyDescent="0.2">
      <c r="A292" t="s">
        <v>535</v>
      </c>
      <c r="P292" s="1"/>
      <c r="Q292" s="1"/>
      <c r="R292" s="1"/>
      <c r="S292" s="1"/>
      <c r="T292" s="1"/>
      <c r="U292" s="1"/>
      <c r="V292" s="21"/>
      <c r="W292" s="1"/>
      <c r="X292" s="1"/>
      <c r="Z292" s="1"/>
      <c r="AA292" s="1"/>
      <c r="AB292" s="1"/>
      <c r="AE292" s="1"/>
      <c r="AF292" s="1"/>
      <c r="AH292" s="21">
        <v>10</v>
      </c>
    </row>
    <row r="293" spans="1:45" x14ac:dyDescent="0.2">
      <c r="A293" t="s">
        <v>482</v>
      </c>
      <c r="F293">
        <v>5</v>
      </c>
      <c r="H293">
        <v>5</v>
      </c>
      <c r="J293">
        <v>5</v>
      </c>
      <c r="P293" s="1"/>
      <c r="Q293" s="1"/>
      <c r="R293" s="1"/>
      <c r="S293" s="1"/>
      <c r="T293" s="1"/>
      <c r="U293" s="1"/>
      <c r="V293" s="21"/>
      <c r="W293" s="1"/>
      <c r="X293" s="1"/>
      <c r="Z293" s="1"/>
      <c r="AA293" s="1"/>
      <c r="AB293" s="1"/>
      <c r="AE293" s="1"/>
      <c r="AF293" s="1"/>
    </row>
    <row r="294" spans="1:45" x14ac:dyDescent="0.2">
      <c r="A294" t="s">
        <v>534</v>
      </c>
      <c r="P294" s="1"/>
      <c r="Q294" s="1"/>
      <c r="R294" s="1"/>
      <c r="S294" s="1"/>
      <c r="T294" s="1"/>
      <c r="U294" s="1"/>
      <c r="V294" s="21"/>
      <c r="W294" s="1"/>
      <c r="X294" s="1"/>
      <c r="Z294" s="1"/>
      <c r="AA294" s="1"/>
      <c r="AB294" s="1"/>
      <c r="AE294" s="1"/>
      <c r="AF294" s="1"/>
      <c r="AG294" s="21">
        <v>2</v>
      </c>
      <c r="AH294" s="21">
        <v>4</v>
      </c>
    </row>
    <row r="295" spans="1:45" x14ac:dyDescent="0.2">
      <c r="A295" s="19" t="s">
        <v>629</v>
      </c>
      <c r="F295">
        <v>3</v>
      </c>
      <c r="G295">
        <v>14</v>
      </c>
      <c r="H295">
        <v>13</v>
      </c>
      <c r="I295">
        <v>2</v>
      </c>
      <c r="J295">
        <v>10</v>
      </c>
      <c r="K295">
        <v>17</v>
      </c>
      <c r="L295">
        <v>10</v>
      </c>
      <c r="P295" s="1"/>
      <c r="Q295" s="1"/>
      <c r="R295" s="1"/>
      <c r="S295" s="1"/>
      <c r="T295" s="1"/>
      <c r="U295" s="1"/>
      <c r="V295" s="21">
        <v>30</v>
      </c>
      <c r="W295" s="1"/>
      <c r="X295" s="1"/>
      <c r="Z295" s="1"/>
      <c r="AA295" s="1"/>
      <c r="AB295" s="1"/>
      <c r="AE295" s="1"/>
      <c r="AF295" s="1"/>
    </row>
    <row r="296" spans="1:45" x14ac:dyDescent="0.2">
      <c r="A296" t="s">
        <v>483</v>
      </c>
      <c r="P296" s="1"/>
      <c r="Q296" s="1"/>
      <c r="R296" s="1"/>
      <c r="S296" s="1"/>
      <c r="T296" s="1"/>
      <c r="U296" s="1"/>
      <c r="V296" s="21"/>
      <c r="W296" s="1"/>
      <c r="X296" s="1"/>
      <c r="Z296" s="1"/>
      <c r="AA296" s="1"/>
      <c r="AB296" s="1"/>
      <c r="AE296" s="1"/>
      <c r="AF296" s="1"/>
      <c r="AN296" s="31">
        <v>0.03</v>
      </c>
    </row>
    <row r="299" spans="1:45" x14ac:dyDescent="0.2">
      <c r="A299" t="s">
        <v>20</v>
      </c>
      <c r="B299" t="s">
        <v>26</v>
      </c>
      <c r="C299" t="s">
        <v>645</v>
      </c>
      <c r="D299" t="s">
        <v>676</v>
      </c>
      <c r="E299" t="s">
        <v>273</v>
      </c>
      <c r="F299" t="s">
        <v>3</v>
      </c>
      <c r="G299" t="s">
        <v>4</v>
      </c>
      <c r="H299" t="s">
        <v>5</v>
      </c>
      <c r="I299" t="s">
        <v>33</v>
      </c>
      <c r="J299" t="s">
        <v>120</v>
      </c>
      <c r="K299" t="s">
        <v>121</v>
      </c>
      <c r="L299" t="s">
        <v>122</v>
      </c>
      <c r="M299" t="s">
        <v>10</v>
      </c>
      <c r="N299" t="s">
        <v>9</v>
      </c>
      <c r="O299" t="s">
        <v>183</v>
      </c>
      <c r="P299" t="s">
        <v>12</v>
      </c>
      <c r="Q299" t="s">
        <v>84</v>
      </c>
      <c r="R299" t="s">
        <v>177</v>
      </c>
      <c r="S299" t="s">
        <v>265</v>
      </c>
      <c r="T299" t="s">
        <v>132</v>
      </c>
      <c r="U299" t="s">
        <v>266</v>
      </c>
      <c r="V299" t="s">
        <v>11</v>
      </c>
      <c r="W299" t="s">
        <v>78</v>
      </c>
      <c r="X299" t="s">
        <v>77</v>
      </c>
      <c r="Y299" t="s">
        <v>13</v>
      </c>
      <c r="Z299" t="s">
        <v>76</v>
      </c>
      <c r="AA299" t="s">
        <v>131</v>
      </c>
      <c r="AB299" t="s">
        <v>91</v>
      </c>
      <c r="AC299" s="21" t="s">
        <v>250</v>
      </c>
      <c r="AD299" s="21" t="s">
        <v>251</v>
      </c>
      <c r="AE299" t="s">
        <v>175</v>
      </c>
      <c r="AF299" t="s">
        <v>725</v>
      </c>
      <c r="AG299" s="21" t="s">
        <v>651</v>
      </c>
      <c r="AH299" s="21" t="s">
        <v>272</v>
      </c>
      <c r="AI299" s="31" t="s">
        <v>390</v>
      </c>
      <c r="AJ299" s="53" t="s">
        <v>392</v>
      </c>
      <c r="AK299" s="21" t="s">
        <v>315</v>
      </c>
      <c r="AL299" s="31" t="s">
        <v>274</v>
      </c>
      <c r="AM299" s="64" t="s">
        <v>595</v>
      </c>
      <c r="AN299" s="31" t="s">
        <v>275</v>
      </c>
      <c r="AO299" s="31" t="s">
        <v>515</v>
      </c>
      <c r="AP299" s="31" t="s">
        <v>516</v>
      </c>
      <c r="AQ299" s="31" t="s">
        <v>312</v>
      </c>
      <c r="AR299" s="31" t="s">
        <v>549</v>
      </c>
      <c r="AS299" s="31" t="s">
        <v>550</v>
      </c>
    </row>
    <row r="300" spans="1:45" x14ac:dyDescent="0.2">
      <c r="A300" s="19" t="s">
        <v>599</v>
      </c>
      <c r="P300" s="1"/>
      <c r="Q300" s="1"/>
      <c r="R300" s="1"/>
      <c r="S300" s="1"/>
      <c r="T300" s="1"/>
      <c r="U300" s="1"/>
      <c r="V300" s="21"/>
      <c r="W300" s="1"/>
      <c r="X300" s="1"/>
      <c r="Z300" s="1"/>
      <c r="AA300" s="1"/>
      <c r="AB300" s="1"/>
      <c r="AE300" s="1"/>
      <c r="AF300" s="1"/>
      <c r="AG300" s="21">
        <v>10</v>
      </c>
      <c r="AM300" s="53">
        <v>10</v>
      </c>
    </row>
    <row r="301" spans="1:45" s="65" customFormat="1" x14ac:dyDescent="0.2">
      <c r="A301" s="65" t="s">
        <v>748</v>
      </c>
      <c r="P301" s="88"/>
      <c r="Q301" s="88"/>
      <c r="R301" s="88"/>
      <c r="S301" s="88"/>
      <c r="T301" s="88"/>
      <c r="U301" s="88"/>
      <c r="V301" s="89"/>
      <c r="W301" s="88"/>
      <c r="X301" s="88"/>
      <c r="Z301" s="88"/>
      <c r="AA301" s="88"/>
      <c r="AB301" s="88"/>
      <c r="AC301" s="89"/>
      <c r="AD301" s="89"/>
      <c r="AE301" s="88"/>
      <c r="AF301" s="88"/>
      <c r="AG301" s="89"/>
      <c r="AH301" s="89">
        <v>12</v>
      </c>
      <c r="AI301" s="66"/>
      <c r="AJ301" s="90"/>
      <c r="AK301" s="89"/>
      <c r="AL301" s="66"/>
      <c r="AM301" s="90"/>
      <c r="AN301" s="66"/>
      <c r="AO301" s="66"/>
      <c r="AP301" s="66"/>
      <c r="AQ301" s="66"/>
      <c r="AR301" s="66"/>
      <c r="AS301" s="66"/>
    </row>
    <row r="302" spans="1:45" s="65" customFormat="1" x14ac:dyDescent="0.2">
      <c r="A302" s="87" t="s">
        <v>744</v>
      </c>
      <c r="B302" s="65">
        <v>9</v>
      </c>
      <c r="C302" s="65">
        <v>5</v>
      </c>
      <c r="P302" s="88"/>
      <c r="Q302" s="88"/>
      <c r="R302" s="88"/>
      <c r="S302" s="88"/>
      <c r="T302" s="88"/>
      <c r="U302" s="88"/>
      <c r="V302" s="89"/>
      <c r="W302" s="88"/>
      <c r="X302" s="88"/>
      <c r="Z302" s="88"/>
      <c r="AA302" s="88"/>
      <c r="AB302" s="88"/>
      <c r="AC302" s="89"/>
      <c r="AD302" s="89"/>
      <c r="AE302" s="88"/>
      <c r="AF302" s="88"/>
      <c r="AG302" s="89">
        <v>10</v>
      </c>
      <c r="AH302" s="89">
        <v>4</v>
      </c>
      <c r="AI302" s="66"/>
      <c r="AJ302" s="90"/>
      <c r="AK302" s="89"/>
      <c r="AL302" s="66"/>
      <c r="AM302" s="90">
        <v>10</v>
      </c>
      <c r="AN302" s="66"/>
      <c r="AO302" s="66"/>
      <c r="AP302" s="66"/>
      <c r="AQ302" s="66"/>
      <c r="AR302" s="66"/>
      <c r="AS302" s="66"/>
    </row>
    <row r="303" spans="1:45" x14ac:dyDescent="0.2">
      <c r="A303" t="s">
        <v>417</v>
      </c>
      <c r="B303">
        <v>7</v>
      </c>
      <c r="J303">
        <v>7</v>
      </c>
      <c r="P303" s="1"/>
      <c r="Q303" s="1"/>
      <c r="R303" s="1"/>
      <c r="S303" s="1"/>
      <c r="T303" s="1"/>
      <c r="U303" s="1"/>
      <c r="V303" s="21"/>
      <c r="W303" s="1"/>
      <c r="X303" s="1"/>
      <c r="Z303" s="1"/>
      <c r="AA303" s="1"/>
      <c r="AB303" s="1"/>
      <c r="AE303" s="1"/>
      <c r="AF303" s="1"/>
    </row>
    <row r="304" spans="1:45" x14ac:dyDescent="0.2">
      <c r="A304" t="s">
        <v>431</v>
      </c>
      <c r="J304">
        <v>6</v>
      </c>
      <c r="K304">
        <v>6</v>
      </c>
      <c r="L304">
        <v>6</v>
      </c>
      <c r="P304" s="1"/>
      <c r="Q304" s="1"/>
      <c r="R304" s="1"/>
      <c r="S304" s="1"/>
      <c r="T304" s="1"/>
      <c r="U304" s="1"/>
      <c r="V304" s="21"/>
      <c r="W304" s="1"/>
      <c r="X304" s="1"/>
      <c r="Z304" s="1"/>
      <c r="AA304" s="1"/>
      <c r="AB304" s="1"/>
      <c r="AE304" s="1"/>
      <c r="AF304" s="1"/>
      <c r="AG304" s="21">
        <v>2</v>
      </c>
      <c r="AP304" s="31">
        <v>0.03</v>
      </c>
    </row>
    <row r="305" spans="1:43" x14ac:dyDescent="0.2">
      <c r="A305" t="s">
        <v>423</v>
      </c>
      <c r="P305" s="1"/>
      <c r="Q305" s="1"/>
      <c r="R305" s="1"/>
      <c r="S305" s="1"/>
      <c r="T305" s="1"/>
      <c r="U305" s="1"/>
      <c r="V305" s="21"/>
      <c r="W305" s="1"/>
      <c r="X305" s="1"/>
      <c r="Z305" s="1"/>
      <c r="AA305" s="1"/>
      <c r="AB305" s="1"/>
      <c r="AE305" s="1"/>
      <c r="AF305" s="1"/>
      <c r="AG305" s="21">
        <v>3</v>
      </c>
      <c r="AH305" s="21">
        <v>3</v>
      </c>
    </row>
    <row r="306" spans="1:43" x14ac:dyDescent="0.2">
      <c r="A306" t="s">
        <v>459</v>
      </c>
      <c r="J306">
        <v>6</v>
      </c>
      <c r="K306">
        <v>6</v>
      </c>
      <c r="P306" s="1"/>
      <c r="Q306" s="1"/>
      <c r="R306" s="1"/>
      <c r="S306" s="1"/>
      <c r="T306" s="1"/>
      <c r="U306" s="1"/>
      <c r="V306" s="21"/>
      <c r="W306" s="1"/>
      <c r="X306" s="1"/>
      <c r="Z306" s="1"/>
      <c r="AA306" s="1"/>
      <c r="AB306" s="1"/>
      <c r="AE306" s="1"/>
      <c r="AF306" s="1"/>
      <c r="AG306" s="21">
        <v>4</v>
      </c>
      <c r="AH306" s="21">
        <v>4</v>
      </c>
    </row>
    <row r="307" spans="1:43" x14ac:dyDescent="0.2">
      <c r="A307" t="s">
        <v>434</v>
      </c>
      <c r="P307" s="1"/>
      <c r="Q307" s="1"/>
      <c r="R307" s="1"/>
      <c r="S307" s="1"/>
      <c r="T307" s="1"/>
      <c r="U307" s="1"/>
      <c r="V307" s="21"/>
      <c r="W307" s="1"/>
      <c r="X307" s="1"/>
      <c r="Z307" s="1"/>
      <c r="AA307" s="1"/>
      <c r="AB307" s="1"/>
      <c r="AE307" s="1"/>
      <c r="AF307" s="1"/>
      <c r="AG307" s="21">
        <v>10</v>
      </c>
    </row>
    <row r="308" spans="1:43" x14ac:dyDescent="0.2">
      <c r="A308" t="s">
        <v>435</v>
      </c>
      <c r="P308" s="1"/>
      <c r="Q308" s="1"/>
      <c r="R308" s="1"/>
      <c r="S308" s="1"/>
      <c r="T308" s="1"/>
      <c r="U308" s="1"/>
      <c r="V308" s="21"/>
      <c r="W308" s="1"/>
      <c r="X308" s="1"/>
      <c r="Z308" s="1"/>
      <c r="AA308" s="1"/>
      <c r="AB308" s="1"/>
      <c r="AE308" s="1"/>
      <c r="AF308" s="1"/>
      <c r="AG308" s="21">
        <v>11</v>
      </c>
    </row>
    <row r="309" spans="1:43" x14ac:dyDescent="0.2">
      <c r="A309" t="s">
        <v>439</v>
      </c>
      <c r="J309">
        <v>6</v>
      </c>
      <c r="P309" s="1"/>
      <c r="Q309" s="1"/>
      <c r="R309" s="1"/>
      <c r="S309" s="1"/>
      <c r="T309" s="1"/>
      <c r="U309" s="1"/>
      <c r="V309" s="21"/>
      <c r="W309" s="1"/>
      <c r="X309" s="1"/>
      <c r="Z309" s="1"/>
      <c r="AA309" s="1"/>
      <c r="AB309" s="1"/>
      <c r="AE309" s="1"/>
      <c r="AF309" s="1"/>
    </row>
    <row r="310" spans="1:43" x14ac:dyDescent="0.2">
      <c r="A310" t="s">
        <v>433</v>
      </c>
      <c r="J310">
        <v>8</v>
      </c>
      <c r="K310">
        <v>8</v>
      </c>
      <c r="L310">
        <v>8</v>
      </c>
      <c r="P310" s="1"/>
      <c r="Q310" s="1"/>
      <c r="R310" s="1"/>
      <c r="S310" s="1"/>
      <c r="T310" s="1"/>
      <c r="U310" s="1"/>
      <c r="V310" s="21"/>
      <c r="W310" s="1"/>
      <c r="X310" s="1"/>
      <c r="Z310" s="1"/>
      <c r="AA310" s="1"/>
      <c r="AB310" s="1"/>
      <c r="AE310" s="1"/>
      <c r="AF310" s="1"/>
      <c r="AG310" s="21">
        <v>3</v>
      </c>
    </row>
    <row r="311" spans="1:43" x14ac:dyDescent="0.2">
      <c r="A311" t="s">
        <v>436</v>
      </c>
      <c r="J311">
        <v>4</v>
      </c>
      <c r="P311" s="1"/>
      <c r="Q311" s="1"/>
      <c r="R311" s="1"/>
      <c r="S311" s="1"/>
      <c r="T311" s="1"/>
      <c r="U311" s="1"/>
      <c r="V311" s="21"/>
      <c r="W311" s="1"/>
      <c r="X311" s="1"/>
      <c r="Z311" s="1"/>
      <c r="AA311" s="1"/>
      <c r="AB311" s="1"/>
      <c r="AE311" s="1"/>
      <c r="AF311" s="1"/>
      <c r="AH311" s="21">
        <v>4</v>
      </c>
    </row>
    <row r="312" spans="1:43" x14ac:dyDescent="0.2">
      <c r="A312" s="19" t="s">
        <v>711</v>
      </c>
      <c r="P312" s="1"/>
      <c r="Q312" s="1"/>
      <c r="R312" s="1"/>
      <c r="S312" s="1"/>
      <c r="T312" s="1"/>
      <c r="U312" s="1"/>
      <c r="V312" s="21"/>
      <c r="W312" s="1"/>
      <c r="X312" s="1"/>
      <c r="Z312" s="1"/>
      <c r="AA312" s="1"/>
      <c r="AB312" s="1"/>
      <c r="AE312" s="1"/>
      <c r="AF312" s="1"/>
      <c r="AH312" s="21">
        <v>18</v>
      </c>
    </row>
    <row r="313" spans="1:43" x14ac:dyDescent="0.2">
      <c r="A313" t="s">
        <v>438</v>
      </c>
      <c r="P313" s="1"/>
      <c r="Q313" s="1"/>
      <c r="R313" s="1"/>
      <c r="S313" s="1"/>
      <c r="T313" s="1"/>
      <c r="U313" s="1"/>
      <c r="V313" s="21"/>
      <c r="W313" s="1"/>
      <c r="X313" s="1"/>
      <c r="Z313" s="1"/>
      <c r="AA313" s="1"/>
      <c r="AB313" s="1"/>
      <c r="AE313" s="1"/>
      <c r="AF313" s="1"/>
      <c r="AH313" s="21">
        <v>5</v>
      </c>
    </row>
    <row r="314" spans="1:43" x14ac:dyDescent="0.2">
      <c r="A314" t="s">
        <v>429</v>
      </c>
      <c r="K314">
        <v>5</v>
      </c>
      <c r="L314">
        <v>5</v>
      </c>
      <c r="P314" s="1"/>
      <c r="Q314" s="1"/>
      <c r="R314" s="1"/>
      <c r="S314" s="1"/>
      <c r="T314" s="1"/>
      <c r="U314" s="1"/>
      <c r="V314" s="21"/>
      <c r="W314" s="1"/>
      <c r="X314" s="1"/>
      <c r="Z314" s="1"/>
      <c r="AA314" s="1"/>
      <c r="AB314" s="1"/>
      <c r="AE314" s="1"/>
      <c r="AF314" s="1"/>
      <c r="AQ314" s="31">
        <v>0.03</v>
      </c>
    </row>
    <row r="315" spans="1:43" x14ac:dyDescent="0.2">
      <c r="A315" t="s">
        <v>430</v>
      </c>
      <c r="K315">
        <v>6</v>
      </c>
      <c r="L315">
        <v>6</v>
      </c>
      <c r="P315" s="1"/>
      <c r="Q315" s="1"/>
      <c r="R315" s="1"/>
      <c r="S315" s="1"/>
      <c r="T315" s="1"/>
      <c r="U315" s="1"/>
      <c r="V315" s="21"/>
      <c r="W315" s="1"/>
      <c r="X315" s="1"/>
      <c r="Z315" s="1"/>
      <c r="AA315" s="1"/>
      <c r="AB315" s="1"/>
      <c r="AE315" s="1"/>
      <c r="AF315" s="1"/>
      <c r="AQ315" s="31">
        <v>0.04</v>
      </c>
    </row>
    <row r="316" spans="1:43" x14ac:dyDescent="0.2">
      <c r="A316" t="s">
        <v>432</v>
      </c>
      <c r="J316">
        <v>7</v>
      </c>
      <c r="P316" s="1"/>
      <c r="Q316" s="1"/>
      <c r="R316" s="1"/>
      <c r="S316" s="1"/>
      <c r="T316" s="1"/>
      <c r="U316" s="1"/>
      <c r="V316" s="21"/>
      <c r="W316" s="1"/>
      <c r="X316" s="1"/>
      <c r="Z316" s="1"/>
      <c r="AA316" s="1"/>
      <c r="AB316" s="1"/>
      <c r="AE316" s="1"/>
      <c r="AF316" s="1"/>
      <c r="AG316" s="21">
        <v>3</v>
      </c>
      <c r="AH316" s="21">
        <v>3</v>
      </c>
    </row>
    <row r="317" spans="1:43" x14ac:dyDescent="0.2">
      <c r="A317" s="19" t="s">
        <v>695</v>
      </c>
      <c r="J317">
        <v>8</v>
      </c>
      <c r="P317" s="1"/>
      <c r="Q317" s="1"/>
      <c r="R317" s="1"/>
      <c r="S317" s="1"/>
      <c r="T317" s="1"/>
      <c r="U317" s="1"/>
      <c r="V317" s="21"/>
      <c r="W317" s="1"/>
      <c r="X317" s="1"/>
      <c r="Z317" s="1"/>
      <c r="AA317" s="1"/>
      <c r="AB317" s="1"/>
      <c r="AE317" s="1"/>
      <c r="AF317" s="1"/>
      <c r="AH317" s="21">
        <v>10</v>
      </c>
    </row>
    <row r="318" spans="1:43" x14ac:dyDescent="0.2">
      <c r="A318" t="s">
        <v>90</v>
      </c>
      <c r="P318" s="1"/>
      <c r="Q318" s="1"/>
      <c r="R318" s="1"/>
      <c r="S318" s="1"/>
      <c r="T318" s="1"/>
      <c r="U318" s="1"/>
      <c r="V318" s="21"/>
      <c r="W318" s="1"/>
      <c r="X318" s="1"/>
      <c r="Z318" s="1"/>
      <c r="AA318" s="1"/>
      <c r="AB318" s="1"/>
      <c r="AE318" s="1"/>
      <c r="AF318" s="1"/>
      <c r="AN318" s="31">
        <v>0.05</v>
      </c>
    </row>
    <row r="319" spans="1:43" x14ac:dyDescent="0.2">
      <c r="V319" s="21"/>
      <c r="W319" s="1"/>
      <c r="X319" s="1"/>
      <c r="Z319" s="1"/>
      <c r="AA319" s="1"/>
      <c r="AB319" s="1"/>
      <c r="AE319" s="1"/>
      <c r="AF319" s="1"/>
    </row>
    <row r="321" spans="1:45" x14ac:dyDescent="0.2">
      <c r="A321" t="s">
        <v>21</v>
      </c>
      <c r="B321" t="s">
        <v>26</v>
      </c>
      <c r="C321" t="s">
        <v>645</v>
      </c>
      <c r="D321" t="s">
        <v>676</v>
      </c>
      <c r="E321" t="s">
        <v>273</v>
      </c>
      <c r="F321" t="s">
        <v>3</v>
      </c>
      <c r="G321" t="s">
        <v>4</v>
      </c>
      <c r="H321" t="s">
        <v>5</v>
      </c>
      <c r="I321" t="s">
        <v>33</v>
      </c>
      <c r="J321" t="s">
        <v>120</v>
      </c>
      <c r="K321" t="s">
        <v>121</v>
      </c>
      <c r="L321" t="s">
        <v>122</v>
      </c>
      <c r="M321" t="s">
        <v>10</v>
      </c>
      <c r="N321" t="s">
        <v>9</v>
      </c>
      <c r="O321" t="s">
        <v>183</v>
      </c>
      <c r="P321" t="s">
        <v>12</v>
      </c>
      <c r="Q321" t="s">
        <v>84</v>
      </c>
      <c r="R321" t="s">
        <v>177</v>
      </c>
      <c r="S321" t="s">
        <v>265</v>
      </c>
      <c r="T321" t="s">
        <v>132</v>
      </c>
      <c r="U321" t="s">
        <v>266</v>
      </c>
      <c r="V321" t="s">
        <v>11</v>
      </c>
      <c r="W321" t="s">
        <v>78</v>
      </c>
      <c r="X321" t="s">
        <v>77</v>
      </c>
      <c r="Y321" t="s">
        <v>13</v>
      </c>
      <c r="Z321" t="s">
        <v>76</v>
      </c>
      <c r="AA321" t="s">
        <v>131</v>
      </c>
      <c r="AB321" t="s">
        <v>91</v>
      </c>
      <c r="AC321" s="21" t="s">
        <v>250</v>
      </c>
      <c r="AD321" s="21" t="s">
        <v>251</v>
      </c>
      <c r="AE321" t="s">
        <v>175</v>
      </c>
      <c r="AF321" t="s">
        <v>725</v>
      </c>
      <c r="AG321" s="21" t="s">
        <v>651</v>
      </c>
      <c r="AH321" s="21" t="s">
        <v>272</v>
      </c>
      <c r="AI321" s="31" t="s">
        <v>390</v>
      </c>
      <c r="AJ321" s="53" t="s">
        <v>392</v>
      </c>
      <c r="AK321" s="21" t="s">
        <v>315</v>
      </c>
      <c r="AL321" s="31" t="s">
        <v>274</v>
      </c>
      <c r="AM321" s="64" t="s">
        <v>595</v>
      </c>
      <c r="AN321" s="31" t="s">
        <v>275</v>
      </c>
      <c r="AO321" s="31" t="s">
        <v>515</v>
      </c>
      <c r="AP321" s="31" t="s">
        <v>516</v>
      </c>
      <c r="AQ321" s="31" t="s">
        <v>312</v>
      </c>
      <c r="AR321" s="31" t="s">
        <v>549</v>
      </c>
      <c r="AS321" s="31" t="s">
        <v>550</v>
      </c>
    </row>
    <row r="322" spans="1:45" x14ac:dyDescent="0.2">
      <c r="A322" t="s">
        <v>441</v>
      </c>
      <c r="P322" s="1"/>
      <c r="Q322" s="1"/>
      <c r="R322" s="1"/>
      <c r="S322" s="1"/>
      <c r="T322" s="1"/>
      <c r="U322" s="1"/>
      <c r="V322" s="21"/>
      <c r="W322" s="1"/>
      <c r="X322" s="1"/>
      <c r="Z322" s="1"/>
      <c r="AA322" s="1"/>
      <c r="AB322" s="1"/>
      <c r="AE322" s="1"/>
      <c r="AF322" s="1"/>
      <c r="AG322" s="21">
        <v>3</v>
      </c>
      <c r="AH322" s="21">
        <v>3</v>
      </c>
      <c r="AI322" s="31">
        <v>0.05</v>
      </c>
    </row>
    <row r="323" spans="1:45" s="65" customFormat="1" x14ac:dyDescent="0.2">
      <c r="A323" s="65" t="s">
        <v>749</v>
      </c>
      <c r="J323" s="65">
        <v>11</v>
      </c>
      <c r="P323" s="88"/>
      <c r="Q323" s="88"/>
      <c r="R323" s="88"/>
      <c r="S323" s="88"/>
      <c r="T323" s="88"/>
      <c r="U323" s="88"/>
      <c r="V323" s="89"/>
      <c r="W323" s="88"/>
      <c r="X323" s="88"/>
      <c r="Z323" s="88"/>
      <c r="AA323" s="88"/>
      <c r="AB323" s="88"/>
      <c r="AC323" s="89"/>
      <c r="AD323" s="89"/>
      <c r="AE323" s="88"/>
      <c r="AF323" s="88"/>
      <c r="AG323" s="89"/>
      <c r="AH323" s="89"/>
      <c r="AI323" s="66"/>
      <c r="AJ323" s="90"/>
      <c r="AK323" s="89"/>
      <c r="AL323" s="66"/>
      <c r="AM323" s="90"/>
      <c r="AN323" s="66"/>
      <c r="AO323" s="66"/>
      <c r="AP323" s="66"/>
      <c r="AQ323" s="66"/>
      <c r="AR323" s="66"/>
      <c r="AS323" s="66"/>
    </row>
    <row r="324" spans="1:45" x14ac:dyDescent="0.2">
      <c r="A324" t="s">
        <v>448</v>
      </c>
      <c r="J324">
        <v>7</v>
      </c>
      <c r="P324" s="1"/>
      <c r="Q324" s="1"/>
      <c r="R324" s="1"/>
      <c r="S324" s="1"/>
      <c r="T324" s="1"/>
      <c r="U324" s="1"/>
      <c r="V324" s="21"/>
      <c r="W324" s="1"/>
      <c r="X324" s="1"/>
      <c r="Z324" s="1"/>
      <c r="AA324" s="1"/>
      <c r="AB324" s="1"/>
      <c r="AE324" s="1"/>
      <c r="AF324" s="1"/>
    </row>
    <row r="325" spans="1:45" x14ac:dyDescent="0.2">
      <c r="A325" t="s">
        <v>445</v>
      </c>
      <c r="K325">
        <v>4</v>
      </c>
      <c r="L325">
        <v>4</v>
      </c>
      <c r="P325" s="1"/>
      <c r="Q325" s="1"/>
      <c r="R325" s="1"/>
      <c r="S325" s="1"/>
      <c r="T325" s="1"/>
      <c r="U325" s="1"/>
      <c r="V325" s="21"/>
      <c r="W325" s="1"/>
      <c r="X325" s="1"/>
      <c r="Z325" s="1"/>
      <c r="AA325" s="1"/>
      <c r="AB325" s="1"/>
      <c r="AE325" s="1"/>
      <c r="AF325" s="1"/>
      <c r="AG325" s="21">
        <v>4</v>
      </c>
    </row>
    <row r="326" spans="1:45" x14ac:dyDescent="0.2">
      <c r="A326" t="s">
        <v>437</v>
      </c>
      <c r="P326" s="1"/>
      <c r="Q326" s="1"/>
      <c r="R326" s="1"/>
      <c r="S326" s="1"/>
      <c r="T326" s="1"/>
      <c r="U326" s="1"/>
      <c r="V326" s="21"/>
      <c r="W326" s="1"/>
      <c r="X326" s="1"/>
      <c r="Z326" s="1"/>
      <c r="AA326" s="1"/>
      <c r="AB326" s="1"/>
      <c r="AE326" s="1"/>
      <c r="AF326" s="1"/>
      <c r="AN326" s="31">
        <v>0.1</v>
      </c>
    </row>
    <row r="327" spans="1:45" x14ac:dyDescent="0.2">
      <c r="A327" t="s">
        <v>440</v>
      </c>
      <c r="P327" s="1"/>
      <c r="Q327" s="1"/>
      <c r="R327" s="1"/>
      <c r="S327" s="1"/>
      <c r="T327" s="1"/>
      <c r="U327" s="1"/>
      <c r="V327" s="21"/>
      <c r="W327" s="1"/>
      <c r="X327" s="1"/>
      <c r="Z327" s="1"/>
      <c r="AA327" s="1"/>
      <c r="AB327" s="1"/>
      <c r="AE327" s="1"/>
      <c r="AF327" s="1"/>
      <c r="AG327" s="21">
        <v>-10</v>
      </c>
      <c r="AH327" s="21">
        <v>7</v>
      </c>
      <c r="AI327" s="31">
        <v>0.1</v>
      </c>
    </row>
    <row r="328" spans="1:45" x14ac:dyDescent="0.2">
      <c r="A328" t="s">
        <v>443</v>
      </c>
      <c r="B328">
        <v>5</v>
      </c>
      <c r="P328" s="1"/>
      <c r="Q328" s="1"/>
      <c r="R328" s="1"/>
      <c r="S328" s="1"/>
      <c r="T328" s="1"/>
      <c r="U328" s="1"/>
      <c r="V328" s="21"/>
      <c r="W328" s="1"/>
      <c r="X328" s="1"/>
      <c r="Z328" s="1"/>
      <c r="AA328" s="1"/>
      <c r="AB328" s="1"/>
      <c r="AE328" s="1"/>
      <c r="AF328" s="1"/>
    </row>
    <row r="329" spans="1:45" x14ac:dyDescent="0.2">
      <c r="A329" t="s">
        <v>444</v>
      </c>
      <c r="P329" s="1"/>
      <c r="Q329" s="1"/>
      <c r="R329" s="1"/>
      <c r="S329" s="1"/>
      <c r="T329" s="1"/>
      <c r="U329" s="1"/>
      <c r="V329" s="21"/>
      <c r="W329" s="1"/>
      <c r="X329" s="1"/>
      <c r="Z329" s="1"/>
      <c r="AA329" s="1"/>
      <c r="AB329" s="1"/>
      <c r="AE329" s="1"/>
      <c r="AF329" s="1"/>
      <c r="AH329" s="21">
        <v>4</v>
      </c>
    </row>
    <row r="330" spans="1:45" x14ac:dyDescent="0.2">
      <c r="A330" s="19" t="s">
        <v>639</v>
      </c>
      <c r="P330" s="1"/>
      <c r="Q330" s="1"/>
      <c r="R330" s="1"/>
      <c r="S330" s="1"/>
      <c r="T330" s="1"/>
      <c r="U330" s="1"/>
      <c r="V330" s="21"/>
      <c r="W330" s="1"/>
      <c r="X330" s="1"/>
      <c r="Z330" s="1"/>
      <c r="AA330" s="1"/>
      <c r="AB330" s="1"/>
      <c r="AE330" s="1"/>
      <c r="AF330" s="1"/>
      <c r="AH330" s="21">
        <v>6</v>
      </c>
    </row>
    <row r="331" spans="1:45" x14ac:dyDescent="0.2">
      <c r="A331" s="19" t="s">
        <v>712</v>
      </c>
      <c r="K331">
        <v>4</v>
      </c>
      <c r="P331" s="1"/>
      <c r="Q331" s="1"/>
      <c r="R331" s="1"/>
      <c r="S331" s="1"/>
      <c r="T331" s="1"/>
      <c r="U331" s="1"/>
      <c r="V331" s="21"/>
      <c r="W331" s="1"/>
      <c r="X331" s="1"/>
      <c r="Z331" s="1"/>
      <c r="AA331" s="1"/>
      <c r="AB331" s="1"/>
      <c r="AE331" s="1"/>
      <c r="AF331" s="1"/>
      <c r="AG331" s="21">
        <v>8</v>
      </c>
      <c r="AH331" s="21">
        <v>-10</v>
      </c>
    </row>
    <row r="332" spans="1:45" x14ac:dyDescent="0.2">
      <c r="A332" t="s">
        <v>446</v>
      </c>
      <c r="J332">
        <v>5</v>
      </c>
      <c r="P332" s="1"/>
      <c r="Q332" s="1"/>
      <c r="R332" s="1"/>
      <c r="S332" s="1"/>
      <c r="T332" s="1"/>
      <c r="U332" s="1"/>
      <c r="V332" s="21"/>
      <c r="W332" s="1"/>
      <c r="X332" s="1"/>
      <c r="Z332" s="1"/>
      <c r="AA332" s="1"/>
      <c r="AB332" s="1"/>
      <c r="AE332" s="1"/>
      <c r="AF332" s="1"/>
    </row>
    <row r="333" spans="1:45" x14ac:dyDescent="0.2">
      <c r="A333" t="s">
        <v>447</v>
      </c>
      <c r="J333">
        <v>6</v>
      </c>
      <c r="P333" s="1"/>
      <c r="Q333" s="1"/>
      <c r="R333" s="1"/>
      <c r="S333" s="1"/>
      <c r="T333" s="1"/>
      <c r="U333" s="1"/>
      <c r="V333" s="21"/>
      <c r="W333" s="1"/>
      <c r="X333" s="1"/>
      <c r="Z333" s="1"/>
      <c r="AA333" s="1"/>
      <c r="AB333" s="1"/>
      <c r="AE333" s="1"/>
      <c r="AF333" s="1"/>
    </row>
    <row r="334" spans="1:45" x14ac:dyDescent="0.2">
      <c r="A334" t="s">
        <v>438</v>
      </c>
      <c r="P334" s="1"/>
      <c r="Q334" s="1"/>
      <c r="R334" s="1"/>
      <c r="S334" s="1"/>
      <c r="T334" s="1"/>
      <c r="U334" s="1"/>
      <c r="V334" s="21"/>
      <c r="W334" s="1"/>
      <c r="X334" s="1"/>
      <c r="Z334" s="1"/>
      <c r="AA334" s="1"/>
      <c r="AB334" s="1"/>
      <c r="AE334" s="1"/>
      <c r="AF334" s="1"/>
      <c r="AH334" s="21">
        <v>3</v>
      </c>
    </row>
    <row r="335" spans="1:45" x14ac:dyDescent="0.2">
      <c r="A335" t="s">
        <v>731</v>
      </c>
      <c r="P335" s="1"/>
      <c r="Q335" s="1"/>
      <c r="R335" s="1"/>
      <c r="S335" s="1"/>
      <c r="T335" s="1"/>
      <c r="U335" s="1"/>
      <c r="V335" s="21"/>
      <c r="W335" s="1"/>
      <c r="X335" s="1"/>
      <c r="Z335" s="1"/>
      <c r="AA335" s="1"/>
      <c r="AB335" s="1"/>
      <c r="AE335" s="1"/>
      <c r="AF335" s="1"/>
      <c r="AM335" s="53">
        <v>15</v>
      </c>
      <c r="AP335" s="31">
        <v>0.03</v>
      </c>
    </row>
    <row r="336" spans="1:45" s="65" customFormat="1" x14ac:dyDescent="0.2">
      <c r="A336" s="65" t="s">
        <v>743</v>
      </c>
      <c r="J336" s="65">
        <v>6</v>
      </c>
      <c r="P336" s="88"/>
      <c r="Q336" s="88"/>
      <c r="R336" s="88"/>
      <c r="S336" s="88"/>
      <c r="T336" s="88"/>
      <c r="U336" s="88"/>
      <c r="V336" s="89"/>
      <c r="W336" s="88"/>
      <c r="X336" s="88"/>
      <c r="Z336" s="88"/>
      <c r="AA336" s="88"/>
      <c r="AB336" s="88"/>
      <c r="AC336" s="89"/>
      <c r="AD336" s="89"/>
      <c r="AE336" s="88"/>
      <c r="AF336" s="88"/>
      <c r="AG336" s="89">
        <v>2</v>
      </c>
      <c r="AH336" s="89">
        <v>5</v>
      </c>
      <c r="AI336" s="66"/>
      <c r="AJ336" s="90"/>
      <c r="AK336" s="89"/>
      <c r="AL336" s="66"/>
      <c r="AM336" s="90"/>
      <c r="AN336" s="66"/>
      <c r="AO336" s="66"/>
      <c r="AP336" s="66"/>
      <c r="AQ336" s="66"/>
      <c r="AR336" s="66"/>
      <c r="AS336" s="66"/>
    </row>
    <row r="337" spans="1:45" x14ac:dyDescent="0.2">
      <c r="A337" t="s">
        <v>235</v>
      </c>
      <c r="F337">
        <v>8</v>
      </c>
      <c r="G337">
        <v>8</v>
      </c>
      <c r="H337">
        <v>-5</v>
      </c>
      <c r="I337">
        <v>-5</v>
      </c>
      <c r="J337">
        <v>8</v>
      </c>
      <c r="K337">
        <v>-5</v>
      </c>
      <c r="P337" s="1"/>
      <c r="Q337" s="1"/>
      <c r="R337" s="1"/>
      <c r="S337" s="1"/>
      <c r="T337" s="1"/>
      <c r="U337" s="1"/>
      <c r="V337" s="21"/>
      <c r="W337" s="1"/>
      <c r="X337" s="1"/>
      <c r="Z337" s="1"/>
      <c r="AA337" s="1"/>
      <c r="AB337" s="1"/>
      <c r="AE337" s="1"/>
      <c r="AF337" s="1"/>
    </row>
    <row r="338" spans="1:45" x14ac:dyDescent="0.2">
      <c r="A338" t="s">
        <v>442</v>
      </c>
      <c r="P338" s="1"/>
      <c r="Q338" s="1"/>
      <c r="R338" s="1"/>
      <c r="S338" s="1"/>
      <c r="T338" s="1"/>
      <c r="U338" s="1"/>
      <c r="V338" s="21">
        <v>30</v>
      </c>
      <c r="W338" s="1"/>
      <c r="X338" s="1"/>
      <c r="Z338" s="1"/>
      <c r="AA338" s="1"/>
      <c r="AB338" s="1"/>
      <c r="AE338" s="1"/>
      <c r="AF338" s="1"/>
      <c r="AQ338" s="31">
        <v>0.03</v>
      </c>
    </row>
    <row r="341" spans="1:45" x14ac:dyDescent="0.2">
      <c r="A341" t="s">
        <v>22</v>
      </c>
      <c r="B341" t="s">
        <v>26</v>
      </c>
      <c r="C341" t="s">
        <v>645</v>
      </c>
      <c r="D341" t="s">
        <v>676</v>
      </c>
      <c r="E341" t="s">
        <v>273</v>
      </c>
      <c r="F341" t="s">
        <v>3</v>
      </c>
      <c r="G341" t="s">
        <v>4</v>
      </c>
      <c r="H341" t="s">
        <v>5</v>
      </c>
      <c r="I341" t="s">
        <v>33</v>
      </c>
      <c r="J341" t="s">
        <v>120</v>
      </c>
      <c r="K341" t="s">
        <v>121</v>
      </c>
      <c r="L341" t="s">
        <v>122</v>
      </c>
      <c r="M341" t="s">
        <v>10</v>
      </c>
      <c r="N341" t="s">
        <v>9</v>
      </c>
      <c r="O341" t="s">
        <v>183</v>
      </c>
      <c r="P341" t="s">
        <v>12</v>
      </c>
      <c r="Q341" t="s">
        <v>84</v>
      </c>
      <c r="R341" t="s">
        <v>177</v>
      </c>
      <c r="S341" t="s">
        <v>265</v>
      </c>
      <c r="T341" t="s">
        <v>132</v>
      </c>
      <c r="U341" t="s">
        <v>266</v>
      </c>
      <c r="V341" t="s">
        <v>11</v>
      </c>
      <c r="W341" t="s">
        <v>78</v>
      </c>
      <c r="X341" t="s">
        <v>77</v>
      </c>
      <c r="Y341" t="s">
        <v>13</v>
      </c>
      <c r="Z341" t="s">
        <v>76</v>
      </c>
      <c r="AA341" t="s">
        <v>131</v>
      </c>
      <c r="AB341" t="s">
        <v>91</v>
      </c>
      <c r="AC341" s="21" t="s">
        <v>250</v>
      </c>
      <c r="AD341" s="21" t="s">
        <v>251</v>
      </c>
      <c r="AE341" t="s">
        <v>175</v>
      </c>
      <c r="AF341" t="s">
        <v>725</v>
      </c>
      <c r="AG341" s="21" t="s">
        <v>651</v>
      </c>
      <c r="AH341" s="21" t="s">
        <v>272</v>
      </c>
      <c r="AI341" s="31" t="s">
        <v>390</v>
      </c>
      <c r="AJ341" s="53" t="s">
        <v>392</v>
      </c>
      <c r="AK341" s="21" t="s">
        <v>315</v>
      </c>
      <c r="AL341" s="31" t="s">
        <v>274</v>
      </c>
      <c r="AM341" s="64" t="s">
        <v>595</v>
      </c>
      <c r="AN341" s="31" t="s">
        <v>275</v>
      </c>
      <c r="AO341" s="31" t="s">
        <v>515</v>
      </c>
      <c r="AP341" s="31" t="s">
        <v>516</v>
      </c>
      <c r="AQ341" s="31" t="s">
        <v>312</v>
      </c>
      <c r="AR341" s="31" t="s">
        <v>549</v>
      </c>
      <c r="AS341" s="31" t="s">
        <v>550</v>
      </c>
    </row>
    <row r="342" spans="1:45" x14ac:dyDescent="0.2">
      <c r="A342" t="s">
        <v>467</v>
      </c>
      <c r="B342">
        <v>8</v>
      </c>
      <c r="J342">
        <v>13</v>
      </c>
      <c r="P342" s="1"/>
      <c r="Q342" s="1"/>
      <c r="R342" s="1"/>
      <c r="S342" s="1"/>
      <c r="T342" s="1"/>
      <c r="U342" s="1"/>
      <c r="V342" s="21"/>
      <c r="W342" s="1"/>
      <c r="X342" s="1"/>
      <c r="Y342" s="21"/>
      <c r="Z342" s="1"/>
      <c r="AA342" s="1"/>
      <c r="AB342" s="1"/>
      <c r="AE342" s="1"/>
      <c r="AF342" s="1"/>
      <c r="AH342" s="21">
        <v>6</v>
      </c>
    </row>
    <row r="343" spans="1:45" x14ac:dyDescent="0.2">
      <c r="A343" t="s">
        <v>384</v>
      </c>
      <c r="B343">
        <v>13</v>
      </c>
      <c r="J343">
        <v>3</v>
      </c>
      <c r="P343" s="1"/>
      <c r="Q343" s="1"/>
      <c r="R343" s="1"/>
      <c r="S343" s="1"/>
      <c r="T343" s="1"/>
      <c r="U343" s="1"/>
      <c r="V343" s="21"/>
      <c r="W343" s="1"/>
      <c r="X343" s="1"/>
      <c r="Y343" s="21"/>
      <c r="Z343" s="1"/>
      <c r="AA343" s="1"/>
      <c r="AB343" s="1"/>
      <c r="AE343" s="1"/>
      <c r="AF343" s="1"/>
    </row>
    <row r="344" spans="1:45" x14ac:dyDescent="0.2">
      <c r="A344" t="s">
        <v>461</v>
      </c>
      <c r="F344">
        <v>5</v>
      </c>
      <c r="H344">
        <v>8</v>
      </c>
      <c r="J344">
        <v>11</v>
      </c>
      <c r="K344">
        <v>4</v>
      </c>
      <c r="L344">
        <v>1</v>
      </c>
      <c r="P344" s="1"/>
      <c r="Q344" s="1"/>
      <c r="R344" s="1"/>
      <c r="S344" s="1"/>
      <c r="T344" s="1"/>
      <c r="U344" s="1"/>
      <c r="V344" s="21">
        <v>40</v>
      </c>
      <c r="W344" s="1"/>
      <c r="X344" s="1"/>
      <c r="Y344" s="21"/>
      <c r="Z344" s="1"/>
      <c r="AA344" s="1"/>
      <c r="AB344" s="1"/>
      <c r="AE344" s="1"/>
      <c r="AF344" s="1"/>
      <c r="AG344" s="21">
        <v>10</v>
      </c>
    </row>
    <row r="345" spans="1:45" x14ac:dyDescent="0.2">
      <c r="A345" t="s">
        <v>538</v>
      </c>
      <c r="F345">
        <v>5</v>
      </c>
      <c r="H345">
        <v>8</v>
      </c>
      <c r="J345">
        <v>13</v>
      </c>
      <c r="K345">
        <v>4</v>
      </c>
      <c r="L345">
        <v>1</v>
      </c>
      <c r="P345" s="1"/>
      <c r="Q345" s="1"/>
      <c r="R345" s="1"/>
      <c r="S345" s="1"/>
      <c r="T345" s="1"/>
      <c r="U345" s="1"/>
      <c r="V345" s="21">
        <v>40</v>
      </c>
      <c r="W345" s="1"/>
      <c r="X345" s="1"/>
      <c r="Y345" s="21"/>
      <c r="Z345" s="1"/>
      <c r="AA345" s="1"/>
      <c r="AB345" s="1"/>
      <c r="AE345" s="1"/>
      <c r="AF345" s="1"/>
      <c r="AG345" s="21">
        <v>10</v>
      </c>
      <c r="AH345" s="21">
        <v>7</v>
      </c>
    </row>
    <row r="346" spans="1:45" x14ac:dyDescent="0.2">
      <c r="A346" t="s">
        <v>539</v>
      </c>
      <c r="F346">
        <v>5</v>
      </c>
      <c r="H346">
        <v>8</v>
      </c>
      <c r="J346">
        <v>11</v>
      </c>
      <c r="K346">
        <v>6</v>
      </c>
      <c r="L346">
        <v>1</v>
      </c>
      <c r="P346" s="1"/>
      <c r="Q346" s="1"/>
      <c r="R346" s="1"/>
      <c r="S346" s="1"/>
      <c r="T346" s="1"/>
      <c r="U346" s="1"/>
      <c r="V346" s="21">
        <v>40</v>
      </c>
      <c r="W346" s="1"/>
      <c r="X346" s="1"/>
      <c r="Y346" s="21"/>
      <c r="Z346" s="1"/>
      <c r="AA346" s="1"/>
      <c r="AB346" s="1"/>
      <c r="AE346" s="1"/>
      <c r="AF346" s="1"/>
      <c r="AG346" s="21">
        <v>17</v>
      </c>
    </row>
    <row r="347" spans="1:45" x14ac:dyDescent="0.2">
      <c r="A347" t="s">
        <v>540</v>
      </c>
      <c r="F347">
        <v>5</v>
      </c>
      <c r="H347">
        <v>8</v>
      </c>
      <c r="J347">
        <v>21</v>
      </c>
      <c r="K347">
        <v>14</v>
      </c>
      <c r="L347">
        <v>1</v>
      </c>
      <c r="P347" s="1"/>
      <c r="Q347" s="1"/>
      <c r="R347" s="1"/>
      <c r="S347" s="1"/>
      <c r="T347" s="1"/>
      <c r="U347" s="1"/>
      <c r="V347" s="21">
        <v>40</v>
      </c>
      <c r="W347" s="1"/>
      <c r="X347" s="1"/>
      <c r="Y347" s="21"/>
      <c r="Z347" s="1"/>
      <c r="AA347" s="1"/>
      <c r="AB347" s="1"/>
      <c r="AE347" s="1"/>
      <c r="AF347" s="1"/>
      <c r="AG347" s="21">
        <v>10</v>
      </c>
      <c r="AH347" s="21">
        <v>13</v>
      </c>
    </row>
    <row r="348" spans="1:45" x14ac:dyDescent="0.2">
      <c r="A348" t="s">
        <v>541</v>
      </c>
      <c r="F348">
        <v>5</v>
      </c>
      <c r="H348">
        <v>8</v>
      </c>
      <c r="J348">
        <v>21</v>
      </c>
      <c r="K348">
        <v>14</v>
      </c>
      <c r="L348">
        <v>1</v>
      </c>
      <c r="P348" s="1"/>
      <c r="Q348" s="1"/>
      <c r="R348" s="1"/>
      <c r="S348" s="1"/>
      <c r="T348" s="1"/>
      <c r="U348" s="1"/>
      <c r="V348" s="21">
        <v>40</v>
      </c>
      <c r="W348" s="1"/>
      <c r="X348" s="1"/>
      <c r="Y348" s="21"/>
      <c r="Z348" s="1"/>
      <c r="AA348" s="1"/>
      <c r="AB348" s="1"/>
      <c r="AE348" s="1"/>
      <c r="AF348" s="1"/>
      <c r="AG348" s="21">
        <v>23</v>
      </c>
    </row>
    <row r="349" spans="1:45" x14ac:dyDescent="0.2">
      <c r="A349" t="s">
        <v>387</v>
      </c>
      <c r="F349">
        <v>-8</v>
      </c>
      <c r="G349">
        <v>-8</v>
      </c>
      <c r="H349">
        <v>-8</v>
      </c>
      <c r="I349">
        <v>-8</v>
      </c>
      <c r="J349">
        <v>8</v>
      </c>
      <c r="K349">
        <v>8</v>
      </c>
      <c r="L349">
        <v>8</v>
      </c>
      <c r="P349" s="1"/>
      <c r="Q349" s="1"/>
      <c r="R349" s="1"/>
      <c r="S349" s="1"/>
      <c r="T349" s="1"/>
      <c r="U349" s="1"/>
      <c r="V349" s="21"/>
      <c r="W349" s="1"/>
      <c r="X349" s="1"/>
      <c r="Y349" s="21"/>
      <c r="Z349" s="1"/>
      <c r="AA349" s="1"/>
      <c r="AB349" s="1"/>
      <c r="AE349" s="1"/>
      <c r="AF349" s="1"/>
      <c r="AO349" s="31">
        <v>0.1</v>
      </c>
    </row>
    <row r="350" spans="1:45" x14ac:dyDescent="0.2">
      <c r="A350" t="s">
        <v>388</v>
      </c>
      <c r="F350">
        <v>-9</v>
      </c>
      <c r="G350">
        <v>-9</v>
      </c>
      <c r="H350">
        <v>-9</v>
      </c>
      <c r="I350">
        <v>-9</v>
      </c>
      <c r="J350">
        <v>9</v>
      </c>
      <c r="K350">
        <v>9</v>
      </c>
      <c r="L350">
        <v>9</v>
      </c>
      <c r="P350" s="1"/>
      <c r="Q350" s="1"/>
      <c r="R350" s="1"/>
      <c r="S350" s="1"/>
      <c r="T350" s="1"/>
      <c r="U350" s="1"/>
      <c r="V350" s="21"/>
      <c r="W350" s="1"/>
      <c r="X350" s="1"/>
      <c r="Y350" s="21"/>
      <c r="Z350" s="1"/>
      <c r="AA350" s="1"/>
      <c r="AB350" s="1"/>
      <c r="AE350" s="1"/>
      <c r="AF350" s="1"/>
      <c r="AO350" s="31">
        <v>0.1</v>
      </c>
    </row>
    <row r="351" spans="1:45" x14ac:dyDescent="0.2">
      <c r="A351" t="s">
        <v>471</v>
      </c>
      <c r="B351">
        <v>5</v>
      </c>
      <c r="J351">
        <v>10</v>
      </c>
      <c r="P351" s="1"/>
      <c r="Q351" s="1"/>
      <c r="R351" s="1"/>
      <c r="S351" s="1"/>
      <c r="T351" s="1"/>
      <c r="U351" s="1"/>
      <c r="V351" s="21"/>
      <c r="W351" s="1"/>
      <c r="X351" s="1"/>
      <c r="Y351" s="21"/>
      <c r="Z351" s="1"/>
      <c r="AA351" s="1"/>
      <c r="AB351" s="1"/>
      <c r="AE351" s="1"/>
      <c r="AF351" s="1"/>
      <c r="AI351" s="31">
        <v>0.03</v>
      </c>
    </row>
    <row r="352" spans="1:45" x14ac:dyDescent="0.2">
      <c r="A352" t="s">
        <v>408</v>
      </c>
      <c r="P352" s="1"/>
      <c r="Q352" s="1"/>
      <c r="R352" s="1"/>
      <c r="S352" s="1"/>
      <c r="T352" s="1"/>
      <c r="U352" s="1"/>
      <c r="V352" s="21"/>
      <c r="W352" s="1"/>
      <c r="X352" s="1"/>
      <c r="Y352" s="21"/>
      <c r="Z352" s="1"/>
      <c r="AA352" s="1"/>
      <c r="AB352" s="1"/>
      <c r="AE352" s="1"/>
      <c r="AF352" s="1"/>
      <c r="AG352" s="21">
        <v>7</v>
      </c>
      <c r="AH352" s="21">
        <v>7</v>
      </c>
    </row>
    <row r="353" spans="1:43" x14ac:dyDescent="0.2">
      <c r="A353" s="19" t="s">
        <v>628</v>
      </c>
      <c r="F353">
        <v>20</v>
      </c>
      <c r="H353">
        <v>10</v>
      </c>
      <c r="I353">
        <v>14</v>
      </c>
      <c r="J353">
        <v>27</v>
      </c>
      <c r="K353">
        <v>19</v>
      </c>
      <c r="L353">
        <v>15</v>
      </c>
      <c r="P353" s="1"/>
      <c r="Q353" s="1"/>
      <c r="R353" s="1"/>
      <c r="S353" s="1"/>
      <c r="T353" s="1"/>
      <c r="U353" s="1"/>
      <c r="V353" s="21">
        <v>40</v>
      </c>
      <c r="W353" s="1"/>
      <c r="X353" s="1"/>
      <c r="Y353" s="21"/>
      <c r="Z353" s="1"/>
      <c r="AA353" s="1"/>
      <c r="AB353" s="1"/>
      <c r="AE353" s="1"/>
      <c r="AF353" s="1"/>
      <c r="AH353" s="21">
        <v>25</v>
      </c>
      <c r="AM353" s="53">
        <v>10</v>
      </c>
    </row>
    <row r="354" spans="1:43" x14ac:dyDescent="0.2">
      <c r="A354" s="19" t="s">
        <v>716</v>
      </c>
      <c r="F354">
        <v>20</v>
      </c>
      <c r="H354">
        <v>10</v>
      </c>
      <c r="I354">
        <v>14</v>
      </c>
      <c r="J354">
        <v>27</v>
      </c>
      <c r="K354">
        <v>19</v>
      </c>
      <c r="L354">
        <v>15</v>
      </c>
      <c r="P354" s="1"/>
      <c r="Q354" s="1"/>
      <c r="R354" s="1"/>
      <c r="S354" s="1"/>
      <c r="T354" s="1"/>
      <c r="U354" s="1"/>
      <c r="V354" s="21">
        <v>40</v>
      </c>
      <c r="W354" s="1"/>
      <c r="X354" s="1"/>
      <c r="Y354" s="21"/>
      <c r="Z354" s="1"/>
      <c r="AA354" s="1"/>
      <c r="AB354" s="1"/>
      <c r="AE354" s="1"/>
      <c r="AF354" s="1"/>
      <c r="AH354" s="21">
        <v>53</v>
      </c>
      <c r="AM354" s="53">
        <v>10</v>
      </c>
    </row>
    <row r="355" spans="1:43" x14ac:dyDescent="0.2">
      <c r="A355" s="19" t="s">
        <v>717</v>
      </c>
      <c r="F355">
        <v>20</v>
      </c>
      <c r="H355">
        <v>10</v>
      </c>
      <c r="I355">
        <v>14</v>
      </c>
      <c r="J355">
        <v>27</v>
      </c>
      <c r="K355">
        <v>19</v>
      </c>
      <c r="L355">
        <v>15</v>
      </c>
      <c r="P355" s="1"/>
      <c r="Q355" s="1"/>
      <c r="R355" s="1"/>
      <c r="S355" s="1"/>
      <c r="T355" s="1"/>
      <c r="U355" s="1"/>
      <c r="V355" s="21">
        <v>40</v>
      </c>
      <c r="W355" s="1"/>
      <c r="X355" s="1"/>
      <c r="Y355" s="21"/>
      <c r="Z355" s="1"/>
      <c r="AA355" s="1"/>
      <c r="AB355" s="1"/>
      <c r="AE355" s="1"/>
      <c r="AF355" s="1"/>
      <c r="AH355" s="21">
        <v>54</v>
      </c>
      <c r="AM355" s="53">
        <v>10</v>
      </c>
    </row>
    <row r="356" spans="1:43" x14ac:dyDescent="0.2">
      <c r="A356" t="s">
        <v>466</v>
      </c>
      <c r="P356" s="1"/>
      <c r="Q356" s="1"/>
      <c r="R356" s="1"/>
      <c r="S356" s="1"/>
      <c r="T356" s="1"/>
      <c r="U356" s="1"/>
      <c r="V356" s="21"/>
      <c r="W356" s="1"/>
      <c r="X356" s="1"/>
      <c r="Y356" s="21"/>
      <c r="Z356" s="1"/>
      <c r="AA356" s="1"/>
      <c r="AB356" s="1"/>
      <c r="AE356" s="1"/>
      <c r="AF356" s="1"/>
      <c r="AH356" s="21">
        <v>6</v>
      </c>
    </row>
    <row r="357" spans="1:43" x14ac:dyDescent="0.2">
      <c r="A357" t="s">
        <v>454</v>
      </c>
      <c r="J357">
        <v>8</v>
      </c>
      <c r="K357">
        <v>8</v>
      </c>
      <c r="P357" s="1"/>
      <c r="Q357" s="1"/>
      <c r="R357" s="1"/>
      <c r="S357" s="1"/>
      <c r="T357" s="1"/>
      <c r="U357" s="1"/>
      <c r="V357" s="21"/>
      <c r="W357" s="1"/>
      <c r="X357" s="1"/>
      <c r="Y357" s="21"/>
      <c r="Z357" s="1"/>
      <c r="AA357" s="1"/>
      <c r="AB357" s="1"/>
      <c r="AE357" s="1"/>
      <c r="AF357" s="1"/>
    </row>
    <row r="358" spans="1:43" x14ac:dyDescent="0.2">
      <c r="A358" t="s">
        <v>396</v>
      </c>
      <c r="F358">
        <v>3</v>
      </c>
      <c r="J358">
        <v>10</v>
      </c>
      <c r="K358">
        <v>10</v>
      </c>
      <c r="P358" s="1"/>
      <c r="Q358" s="1"/>
      <c r="R358" s="1"/>
      <c r="S358" s="1"/>
      <c r="T358" s="1"/>
      <c r="U358" s="1"/>
      <c r="V358" s="21"/>
      <c r="W358" s="1"/>
      <c r="X358" s="1"/>
      <c r="Y358" s="21"/>
      <c r="Z358" s="1"/>
      <c r="AA358" s="1"/>
      <c r="AB358" s="1"/>
      <c r="AE358" s="1"/>
      <c r="AF358" s="1"/>
    </row>
    <row r="359" spans="1:43" x14ac:dyDescent="0.2">
      <c r="A359" t="s">
        <v>397</v>
      </c>
      <c r="F359">
        <v>10</v>
      </c>
      <c r="J359">
        <v>10</v>
      </c>
      <c r="K359">
        <v>10</v>
      </c>
      <c r="P359" s="1"/>
      <c r="Q359" s="1"/>
      <c r="R359" s="1"/>
      <c r="S359" s="1"/>
      <c r="T359" s="1"/>
      <c r="U359" s="1"/>
      <c r="V359" s="21"/>
      <c r="W359" s="1"/>
      <c r="X359" s="1"/>
      <c r="Y359" s="21"/>
      <c r="Z359" s="1"/>
      <c r="AA359" s="1"/>
      <c r="AB359" s="1"/>
      <c r="AE359" s="1"/>
      <c r="AF359" s="1"/>
      <c r="AG359" s="21">
        <v>8</v>
      </c>
    </row>
    <row r="360" spans="1:43" x14ac:dyDescent="0.2">
      <c r="A360" t="s">
        <v>394</v>
      </c>
      <c r="K360">
        <v>14</v>
      </c>
      <c r="P360" s="1"/>
      <c r="Q360" s="1"/>
      <c r="R360" s="1"/>
      <c r="S360" s="1"/>
      <c r="T360" s="1"/>
      <c r="U360" s="1"/>
      <c r="V360" s="21"/>
      <c r="W360" s="1"/>
      <c r="X360" s="1"/>
      <c r="Y360" s="21"/>
      <c r="Z360" s="1"/>
      <c r="AA360" s="1"/>
      <c r="AB360" s="1"/>
      <c r="AE360" s="1"/>
      <c r="AF360" s="1"/>
    </row>
    <row r="361" spans="1:43" x14ac:dyDescent="0.2">
      <c r="A361" t="s">
        <v>470</v>
      </c>
      <c r="J361">
        <v>8</v>
      </c>
      <c r="P361" s="1"/>
      <c r="Q361" s="1"/>
      <c r="R361" s="1"/>
      <c r="S361" s="1"/>
      <c r="T361" s="1"/>
      <c r="U361" s="1"/>
      <c r="V361" s="21"/>
      <c r="W361" s="1"/>
      <c r="X361" s="1"/>
      <c r="Y361" s="21"/>
      <c r="Z361" s="1"/>
      <c r="AA361" s="1"/>
      <c r="AB361" s="1"/>
      <c r="AE361" s="1"/>
      <c r="AF361" s="1"/>
    </row>
    <row r="362" spans="1:43" x14ac:dyDescent="0.2">
      <c r="A362" t="s">
        <v>453</v>
      </c>
      <c r="J362">
        <v>9</v>
      </c>
      <c r="K362">
        <v>9</v>
      </c>
      <c r="L362">
        <v>9</v>
      </c>
      <c r="P362" s="1"/>
      <c r="Q362" s="1"/>
      <c r="R362" s="1"/>
      <c r="S362" s="1"/>
      <c r="T362" s="1"/>
      <c r="U362" s="1"/>
      <c r="V362" s="21"/>
      <c r="W362" s="1"/>
      <c r="X362" s="1"/>
      <c r="Y362" s="21"/>
      <c r="Z362" s="1"/>
      <c r="AA362" s="1"/>
      <c r="AB362" s="1"/>
      <c r="AE362" s="1"/>
      <c r="AF362" s="1"/>
      <c r="AG362" s="21">
        <v>6</v>
      </c>
    </row>
    <row r="363" spans="1:43" x14ac:dyDescent="0.2">
      <c r="A363" t="s">
        <v>450</v>
      </c>
      <c r="F363">
        <v>8</v>
      </c>
      <c r="H363">
        <v>4</v>
      </c>
      <c r="I363">
        <v>5</v>
      </c>
      <c r="J363">
        <v>16</v>
      </c>
      <c r="K363">
        <v>7</v>
      </c>
      <c r="L363">
        <v>6</v>
      </c>
      <c r="P363" s="1"/>
      <c r="Q363" s="1"/>
      <c r="R363" s="1"/>
      <c r="S363" s="1"/>
      <c r="T363" s="1"/>
      <c r="U363" s="1"/>
      <c r="V363" s="21">
        <v>-2</v>
      </c>
      <c r="W363" s="1"/>
      <c r="X363" s="1"/>
      <c r="Y363" s="21"/>
      <c r="Z363" s="1"/>
      <c r="AA363" s="1"/>
      <c r="AB363" s="1"/>
      <c r="AE363" s="1"/>
      <c r="AF363" s="1"/>
      <c r="AG363" s="21">
        <v>6</v>
      </c>
      <c r="AQ363" s="31">
        <v>0.05</v>
      </c>
    </row>
    <row r="364" spans="1:43" x14ac:dyDescent="0.2">
      <c r="A364" s="19" t="s">
        <v>705</v>
      </c>
      <c r="F364">
        <v>16</v>
      </c>
      <c r="H364">
        <v>18</v>
      </c>
      <c r="I364">
        <v>11</v>
      </c>
      <c r="J364">
        <v>21</v>
      </c>
      <c r="K364">
        <v>15</v>
      </c>
      <c r="L364">
        <v>12</v>
      </c>
      <c r="P364" s="1"/>
      <c r="Q364" s="1"/>
      <c r="R364" s="1"/>
      <c r="S364" s="1"/>
      <c r="T364" s="1"/>
      <c r="U364" s="1"/>
      <c r="V364" s="21">
        <v>12</v>
      </c>
      <c r="W364" s="1"/>
      <c r="X364" s="1"/>
      <c r="Y364" s="21"/>
      <c r="Z364" s="1"/>
      <c r="AA364" s="1"/>
      <c r="AB364" s="1"/>
      <c r="AE364" s="1"/>
      <c r="AF364" s="1"/>
      <c r="AG364" s="21">
        <v>7</v>
      </c>
      <c r="AQ364" s="31">
        <v>0.05</v>
      </c>
    </row>
    <row r="365" spans="1:43" x14ac:dyDescent="0.2">
      <c r="A365" t="s">
        <v>404</v>
      </c>
      <c r="F365">
        <v>10</v>
      </c>
      <c r="J365">
        <v>13</v>
      </c>
      <c r="K365">
        <v>13</v>
      </c>
      <c r="M365">
        <v>10</v>
      </c>
      <c r="P365" s="1"/>
      <c r="Q365" s="1"/>
      <c r="R365" s="1"/>
      <c r="S365" s="1"/>
      <c r="T365" s="1"/>
      <c r="U365" s="1"/>
      <c r="V365" s="21">
        <v>30</v>
      </c>
      <c r="W365" s="1"/>
      <c r="X365" s="1"/>
      <c r="Y365" s="21"/>
      <c r="Z365" s="1"/>
      <c r="AA365" s="1"/>
      <c r="AB365" s="1"/>
      <c r="AE365" s="1"/>
      <c r="AF365" s="1"/>
    </row>
    <row r="366" spans="1:43" x14ac:dyDescent="0.2">
      <c r="A366" t="s">
        <v>407</v>
      </c>
      <c r="J366">
        <v>5</v>
      </c>
      <c r="P366" s="1"/>
      <c r="Q366" s="1"/>
      <c r="R366" s="1"/>
      <c r="S366" s="1"/>
      <c r="T366" s="1"/>
      <c r="U366" s="1"/>
      <c r="V366" s="21"/>
      <c r="W366" s="1"/>
      <c r="X366" s="1"/>
      <c r="Y366" s="21"/>
      <c r="Z366" s="1"/>
      <c r="AA366" s="1"/>
      <c r="AB366" s="1"/>
      <c r="AE366" s="1"/>
      <c r="AF366" s="1"/>
      <c r="AH366" s="21">
        <v>5</v>
      </c>
    </row>
    <row r="367" spans="1:43" x14ac:dyDescent="0.2">
      <c r="A367" s="19" t="s">
        <v>715</v>
      </c>
      <c r="C367">
        <v>17</v>
      </c>
      <c r="F367">
        <v>16</v>
      </c>
      <c r="H367">
        <v>8</v>
      </c>
      <c r="I367">
        <v>11</v>
      </c>
      <c r="J367">
        <v>21</v>
      </c>
      <c r="K367">
        <v>15</v>
      </c>
      <c r="L367">
        <v>12</v>
      </c>
      <c r="O367" s="1"/>
      <c r="P367" s="1"/>
      <c r="Q367" s="1"/>
      <c r="R367" s="1"/>
      <c r="S367" s="1"/>
      <c r="T367" s="1"/>
      <c r="U367" s="1"/>
      <c r="V367" s="21">
        <v>40</v>
      </c>
      <c r="W367" s="1"/>
      <c r="X367" s="1"/>
      <c r="Y367" s="21"/>
      <c r="Z367" s="1"/>
      <c r="AA367" s="1"/>
      <c r="AB367" s="1"/>
      <c r="AE367" s="1"/>
      <c r="AF367" s="1"/>
      <c r="AH367" s="21">
        <v>15</v>
      </c>
    </row>
    <row r="368" spans="1:43" x14ac:dyDescent="0.2">
      <c r="A368" s="19" t="s">
        <v>728</v>
      </c>
      <c r="C368">
        <v>17</v>
      </c>
      <c r="F368">
        <v>25</v>
      </c>
      <c r="H368">
        <v>12</v>
      </c>
      <c r="I368">
        <v>17</v>
      </c>
      <c r="J368">
        <v>34</v>
      </c>
      <c r="K368">
        <v>24</v>
      </c>
      <c r="L368">
        <v>19</v>
      </c>
      <c r="O368" s="1"/>
      <c r="P368" s="1"/>
      <c r="Q368" s="1"/>
      <c r="R368" s="1"/>
      <c r="S368" s="1"/>
      <c r="T368" s="1"/>
      <c r="U368" s="1"/>
      <c r="V368" s="21">
        <v>51</v>
      </c>
      <c r="W368" s="1"/>
      <c r="X368" s="1"/>
      <c r="Y368" s="21"/>
      <c r="Z368" s="1"/>
      <c r="AA368" s="1"/>
      <c r="AB368" s="1"/>
      <c r="AE368" s="1"/>
      <c r="AF368" s="1"/>
      <c r="AH368" s="21">
        <v>20</v>
      </c>
    </row>
    <row r="369" spans="1:45" x14ac:dyDescent="0.2">
      <c r="A369" t="s">
        <v>452</v>
      </c>
      <c r="J369">
        <v>8</v>
      </c>
      <c r="K369">
        <v>8</v>
      </c>
      <c r="L369">
        <v>8</v>
      </c>
      <c r="P369" s="1"/>
      <c r="Q369" s="1"/>
      <c r="R369" s="1"/>
      <c r="S369" s="1"/>
      <c r="T369" s="1"/>
      <c r="U369" s="1"/>
      <c r="V369" s="21"/>
      <c r="W369" s="1"/>
      <c r="X369" s="1"/>
      <c r="Y369" s="21"/>
      <c r="Z369" s="1"/>
      <c r="AA369" s="1"/>
      <c r="AB369" s="1"/>
      <c r="AE369" s="1"/>
      <c r="AF369" s="1"/>
      <c r="AG369" s="21">
        <v>5</v>
      </c>
    </row>
    <row r="370" spans="1:45" x14ac:dyDescent="0.2">
      <c r="A370" t="s">
        <v>385</v>
      </c>
      <c r="B370">
        <v>16</v>
      </c>
      <c r="J370">
        <v>6</v>
      </c>
      <c r="P370" s="1"/>
      <c r="Q370" s="1"/>
      <c r="R370" s="1"/>
      <c r="S370" s="1"/>
      <c r="T370" s="1"/>
      <c r="U370" s="1"/>
      <c r="V370" s="21"/>
      <c r="W370" s="1"/>
      <c r="X370" s="1"/>
      <c r="Y370" s="21"/>
      <c r="Z370" s="1"/>
      <c r="AA370" s="1"/>
      <c r="AB370" s="1"/>
      <c r="AE370" s="1"/>
      <c r="AF370" s="1"/>
    </row>
    <row r="371" spans="1:45" x14ac:dyDescent="0.2">
      <c r="A371" t="s">
        <v>468</v>
      </c>
      <c r="J371">
        <v>7</v>
      </c>
      <c r="K371">
        <v>7</v>
      </c>
      <c r="P371" s="1"/>
      <c r="Q371" s="1"/>
      <c r="R371" s="1"/>
      <c r="S371" s="1"/>
      <c r="T371" s="1"/>
      <c r="U371" s="1"/>
      <c r="V371" s="21"/>
      <c r="W371" s="1"/>
      <c r="X371" s="1"/>
      <c r="Y371" s="21"/>
      <c r="Z371" s="1"/>
      <c r="AA371" s="1"/>
      <c r="AB371" s="1"/>
      <c r="AE371" s="1"/>
      <c r="AF371" s="1"/>
      <c r="AG371" s="21">
        <v>5</v>
      </c>
    </row>
    <row r="372" spans="1:45" x14ac:dyDescent="0.2">
      <c r="A372" t="s">
        <v>469</v>
      </c>
      <c r="J372">
        <v>8</v>
      </c>
      <c r="K372">
        <v>8</v>
      </c>
      <c r="P372" s="1"/>
      <c r="Q372" s="1"/>
      <c r="R372" s="1"/>
      <c r="S372" s="1"/>
      <c r="T372" s="1"/>
      <c r="U372" s="1"/>
      <c r="V372" s="21"/>
      <c r="W372" s="1"/>
      <c r="X372" s="1"/>
      <c r="Y372" s="21"/>
      <c r="Z372" s="1"/>
      <c r="AA372" s="1"/>
      <c r="AB372" s="1"/>
      <c r="AE372" s="1"/>
      <c r="AF372" s="1"/>
      <c r="AG372" s="21">
        <v>7</v>
      </c>
      <c r="AI372" s="31">
        <v>0.01</v>
      </c>
    </row>
    <row r="373" spans="1:45" x14ac:dyDescent="0.2">
      <c r="A373" t="s">
        <v>398</v>
      </c>
      <c r="J373">
        <v>5</v>
      </c>
      <c r="L373">
        <v>5</v>
      </c>
      <c r="P373" s="1"/>
      <c r="Q373" s="1"/>
      <c r="R373" s="1"/>
      <c r="S373" s="1"/>
      <c r="T373" s="1"/>
      <c r="U373" s="1"/>
      <c r="V373" s="21"/>
      <c r="W373" s="1"/>
      <c r="X373" s="1"/>
      <c r="Y373" s="21"/>
      <c r="Z373" s="1"/>
      <c r="AA373" s="1"/>
      <c r="AB373" s="1"/>
      <c r="AE373" s="1"/>
      <c r="AF373" s="1"/>
      <c r="AG373" s="21">
        <v>3</v>
      </c>
      <c r="AH373" s="21">
        <v>3</v>
      </c>
    </row>
    <row r="374" spans="1:45" x14ac:dyDescent="0.2">
      <c r="A374" t="s">
        <v>733</v>
      </c>
      <c r="F374">
        <v>25</v>
      </c>
      <c r="H374">
        <v>12</v>
      </c>
      <c r="I374">
        <v>17</v>
      </c>
      <c r="J374">
        <v>34</v>
      </c>
      <c r="K374">
        <v>24</v>
      </c>
      <c r="L374">
        <v>19</v>
      </c>
      <c r="P374" s="1"/>
      <c r="Q374" s="1"/>
      <c r="R374" s="1"/>
      <c r="S374" s="1"/>
      <c r="T374" s="1"/>
      <c r="U374" s="1"/>
      <c r="V374" s="21">
        <v>51</v>
      </c>
      <c r="W374" s="1"/>
      <c r="X374" s="1"/>
      <c r="Y374" s="21"/>
      <c r="Z374" s="1"/>
      <c r="AA374" s="1"/>
      <c r="AB374" s="1"/>
      <c r="AE374" s="1"/>
      <c r="AF374" s="1"/>
      <c r="AM374" s="53">
        <v>16</v>
      </c>
      <c r="AP374" s="31">
        <v>0.04</v>
      </c>
    </row>
    <row r="375" spans="1:45" x14ac:dyDescent="0.2">
      <c r="A375" t="s">
        <v>729</v>
      </c>
      <c r="F375">
        <v>24</v>
      </c>
      <c r="H375">
        <v>12</v>
      </c>
      <c r="I375">
        <v>16</v>
      </c>
      <c r="J375">
        <v>32</v>
      </c>
      <c r="K375">
        <v>22</v>
      </c>
      <c r="L375">
        <v>19</v>
      </c>
      <c r="P375" s="1"/>
      <c r="Q375" s="1"/>
      <c r="R375" s="1"/>
      <c r="S375" s="1"/>
      <c r="T375" s="1"/>
      <c r="U375" s="1"/>
      <c r="V375" s="21">
        <v>51</v>
      </c>
      <c r="W375" s="1"/>
      <c r="X375" s="1"/>
      <c r="Y375" s="21"/>
      <c r="Z375" s="1"/>
      <c r="AA375" s="1"/>
      <c r="AB375" s="1"/>
      <c r="AE375" s="1"/>
      <c r="AF375" s="1"/>
      <c r="AH375" s="21">
        <v>5</v>
      </c>
    </row>
    <row r="376" spans="1:45" x14ac:dyDescent="0.2">
      <c r="A376" s="19" t="s">
        <v>629</v>
      </c>
      <c r="F376">
        <v>13</v>
      </c>
      <c r="H376">
        <v>6</v>
      </c>
      <c r="I376">
        <v>9</v>
      </c>
      <c r="J376">
        <v>18</v>
      </c>
      <c r="K376">
        <v>12</v>
      </c>
      <c r="L376">
        <v>10</v>
      </c>
      <c r="P376" s="1"/>
      <c r="Q376" s="1"/>
      <c r="R376" s="1"/>
      <c r="S376" s="1"/>
      <c r="T376" s="1"/>
      <c r="U376" s="1"/>
      <c r="V376" s="21">
        <v>30</v>
      </c>
      <c r="W376" s="1"/>
      <c r="X376" s="1"/>
      <c r="Y376" s="21"/>
      <c r="Z376" s="1"/>
      <c r="AA376" s="1"/>
      <c r="AB376" s="1"/>
      <c r="AE376" s="1"/>
      <c r="AF376" s="1"/>
    </row>
    <row r="377" spans="1:45" x14ac:dyDescent="0.2">
      <c r="A377" t="s">
        <v>472</v>
      </c>
      <c r="F377">
        <v>-4</v>
      </c>
      <c r="G377">
        <v>-4</v>
      </c>
      <c r="P377" s="1"/>
      <c r="Q377" s="1"/>
      <c r="R377" s="1"/>
      <c r="S377" s="1"/>
      <c r="T377" s="1"/>
      <c r="U377" s="1"/>
      <c r="V377" s="21"/>
      <c r="W377" s="1"/>
      <c r="X377" s="1"/>
      <c r="Y377" s="21"/>
      <c r="Z377" s="1"/>
      <c r="AA377" s="1"/>
      <c r="AB377" s="1"/>
      <c r="AE377" s="1"/>
      <c r="AF377" s="1"/>
      <c r="AH377" s="21">
        <v>4</v>
      </c>
    </row>
    <row r="378" spans="1:45" x14ac:dyDescent="0.2">
      <c r="W378" s="1"/>
      <c r="X378" s="1"/>
      <c r="Z378" s="1"/>
      <c r="AA378" s="1"/>
      <c r="AB378" s="1"/>
      <c r="AE378" s="1"/>
      <c r="AF378" s="1"/>
    </row>
    <row r="380" spans="1:45" x14ac:dyDescent="0.2">
      <c r="A380" t="s">
        <v>23</v>
      </c>
      <c r="B380" t="s">
        <v>26</v>
      </c>
      <c r="C380" t="s">
        <v>645</v>
      </c>
      <c r="D380" t="s">
        <v>676</v>
      </c>
      <c r="E380" t="s">
        <v>273</v>
      </c>
      <c r="F380" t="s">
        <v>3</v>
      </c>
      <c r="G380" t="s">
        <v>4</v>
      </c>
      <c r="H380" t="s">
        <v>5</v>
      </c>
      <c r="I380" t="s">
        <v>33</v>
      </c>
      <c r="J380" t="s">
        <v>120</v>
      </c>
      <c r="K380" t="s">
        <v>121</v>
      </c>
      <c r="L380" t="s">
        <v>122</v>
      </c>
      <c r="M380" t="s">
        <v>10</v>
      </c>
      <c r="N380" t="s">
        <v>9</v>
      </c>
      <c r="O380" t="s">
        <v>183</v>
      </c>
      <c r="P380" t="s">
        <v>12</v>
      </c>
      <c r="Q380" t="s">
        <v>84</v>
      </c>
      <c r="R380" t="s">
        <v>177</v>
      </c>
      <c r="S380" t="s">
        <v>265</v>
      </c>
      <c r="T380" t="s">
        <v>132</v>
      </c>
      <c r="U380" t="s">
        <v>266</v>
      </c>
      <c r="V380" t="s">
        <v>11</v>
      </c>
      <c r="W380" t="s">
        <v>78</v>
      </c>
      <c r="X380" t="s">
        <v>77</v>
      </c>
      <c r="Y380" t="s">
        <v>13</v>
      </c>
      <c r="Z380" t="s">
        <v>76</v>
      </c>
      <c r="AA380" t="s">
        <v>131</v>
      </c>
      <c r="AB380" t="s">
        <v>91</v>
      </c>
      <c r="AC380" s="21" t="s">
        <v>250</v>
      </c>
      <c r="AD380" s="21" t="s">
        <v>251</v>
      </c>
      <c r="AE380" t="s">
        <v>175</v>
      </c>
      <c r="AF380" t="s">
        <v>725</v>
      </c>
      <c r="AG380" s="21" t="s">
        <v>651</v>
      </c>
      <c r="AH380" s="21" t="s">
        <v>272</v>
      </c>
      <c r="AI380" s="31" t="s">
        <v>390</v>
      </c>
      <c r="AJ380" s="53" t="s">
        <v>392</v>
      </c>
      <c r="AK380" s="21" t="s">
        <v>315</v>
      </c>
      <c r="AL380" s="31" t="s">
        <v>274</v>
      </c>
      <c r="AM380" s="64" t="s">
        <v>595</v>
      </c>
      <c r="AN380" s="31" t="s">
        <v>275</v>
      </c>
      <c r="AO380" s="31" t="s">
        <v>515</v>
      </c>
      <c r="AP380" s="31" t="s">
        <v>516</v>
      </c>
      <c r="AQ380" s="31" t="s">
        <v>312</v>
      </c>
      <c r="AR380" s="31" t="s">
        <v>549</v>
      </c>
      <c r="AS380" s="31" t="s">
        <v>550</v>
      </c>
    </row>
    <row r="381" spans="1:45" x14ac:dyDescent="0.2">
      <c r="A381" t="s">
        <v>389</v>
      </c>
      <c r="B381">
        <v>8</v>
      </c>
      <c r="V381">
        <v>30</v>
      </c>
      <c r="AG381" s="21">
        <v>3</v>
      </c>
      <c r="AP381" s="31">
        <v>0.04</v>
      </c>
    </row>
    <row r="382" spans="1:45" x14ac:dyDescent="0.2">
      <c r="A382" t="s">
        <v>415</v>
      </c>
      <c r="J382">
        <v>12</v>
      </c>
      <c r="AG382" s="21">
        <v>-4</v>
      </c>
      <c r="AP382" s="31">
        <v>0.04</v>
      </c>
    </row>
    <row r="383" spans="1:45" x14ac:dyDescent="0.2">
      <c r="A383" t="s">
        <v>464</v>
      </c>
      <c r="B383">
        <v>3</v>
      </c>
      <c r="J383">
        <v>8</v>
      </c>
      <c r="AQ383" s="31">
        <v>0.03</v>
      </c>
    </row>
    <row r="384" spans="1:45" x14ac:dyDescent="0.2">
      <c r="A384" t="s">
        <v>461</v>
      </c>
      <c r="G384">
        <v>1</v>
      </c>
      <c r="I384">
        <v>12</v>
      </c>
      <c r="J384">
        <v>2</v>
      </c>
      <c r="K384">
        <v>3</v>
      </c>
      <c r="L384">
        <v>13</v>
      </c>
      <c r="V384">
        <v>30</v>
      </c>
      <c r="AG384" s="21">
        <v>7</v>
      </c>
    </row>
    <row r="385" spans="1:45" x14ac:dyDescent="0.2">
      <c r="A385" t="s">
        <v>538</v>
      </c>
      <c r="G385">
        <v>1</v>
      </c>
      <c r="I385">
        <v>12</v>
      </c>
      <c r="J385">
        <v>4</v>
      </c>
      <c r="K385">
        <v>3</v>
      </c>
      <c r="L385">
        <v>13</v>
      </c>
      <c r="AG385" s="21">
        <v>7</v>
      </c>
      <c r="AH385" s="21">
        <v>7</v>
      </c>
    </row>
    <row r="386" spans="1:45" x14ac:dyDescent="0.2">
      <c r="A386" t="s">
        <v>539</v>
      </c>
      <c r="G386">
        <v>1</v>
      </c>
      <c r="I386">
        <v>12</v>
      </c>
      <c r="J386">
        <v>2</v>
      </c>
      <c r="K386">
        <v>5</v>
      </c>
      <c r="L386">
        <v>13</v>
      </c>
      <c r="AG386" s="21">
        <v>14</v>
      </c>
    </row>
    <row r="387" spans="1:45" x14ac:dyDescent="0.2">
      <c r="A387" t="s">
        <v>540</v>
      </c>
      <c r="G387">
        <v>1</v>
      </c>
      <c r="I387">
        <v>12</v>
      </c>
      <c r="J387">
        <v>12</v>
      </c>
      <c r="K387">
        <v>13</v>
      </c>
      <c r="L387">
        <v>13</v>
      </c>
      <c r="AG387" s="21">
        <v>7</v>
      </c>
      <c r="AH387" s="21">
        <v>13</v>
      </c>
    </row>
    <row r="388" spans="1:45" x14ac:dyDescent="0.2">
      <c r="A388" t="s">
        <v>541</v>
      </c>
      <c r="G388">
        <v>1</v>
      </c>
      <c r="I388">
        <v>12</v>
      </c>
      <c r="J388">
        <v>12</v>
      </c>
      <c r="K388">
        <v>13</v>
      </c>
      <c r="L388">
        <v>13</v>
      </c>
      <c r="AG388" s="21">
        <v>20</v>
      </c>
    </row>
    <row r="389" spans="1:45" x14ac:dyDescent="0.2">
      <c r="A389" t="s">
        <v>387</v>
      </c>
      <c r="F389">
        <v>-6</v>
      </c>
      <c r="G389">
        <v>-6</v>
      </c>
      <c r="H389">
        <v>-6</v>
      </c>
      <c r="I389">
        <v>-6</v>
      </c>
      <c r="J389">
        <v>6</v>
      </c>
      <c r="K389">
        <v>6</v>
      </c>
      <c r="L389">
        <v>6</v>
      </c>
      <c r="AQ389" s="31">
        <v>0.04</v>
      </c>
    </row>
    <row r="390" spans="1:45" x14ac:dyDescent="0.2">
      <c r="A390" t="s">
        <v>388</v>
      </c>
      <c r="F390">
        <v>-7</v>
      </c>
      <c r="G390">
        <v>-7</v>
      </c>
      <c r="H390">
        <v>-7</v>
      </c>
      <c r="I390">
        <v>-7</v>
      </c>
      <c r="J390">
        <v>7</v>
      </c>
      <c r="K390">
        <v>7</v>
      </c>
      <c r="L390">
        <v>7</v>
      </c>
      <c r="AQ390" s="31">
        <v>0.05</v>
      </c>
    </row>
    <row r="391" spans="1:45" x14ac:dyDescent="0.2">
      <c r="A391" t="s">
        <v>402</v>
      </c>
      <c r="F391">
        <v>7</v>
      </c>
      <c r="J391">
        <v>7</v>
      </c>
      <c r="K391">
        <v>7</v>
      </c>
    </row>
    <row r="392" spans="1:45" x14ac:dyDescent="0.2">
      <c r="A392" s="19" t="s">
        <v>627</v>
      </c>
      <c r="F392">
        <v>6</v>
      </c>
      <c r="G392">
        <v>7</v>
      </c>
      <c r="H392">
        <v>6</v>
      </c>
      <c r="I392">
        <v>21</v>
      </c>
      <c r="J392">
        <v>11</v>
      </c>
      <c r="K392">
        <v>12</v>
      </c>
      <c r="L392">
        <v>21</v>
      </c>
      <c r="V392">
        <v>30</v>
      </c>
    </row>
    <row r="393" spans="1:45" x14ac:dyDescent="0.2">
      <c r="A393" t="s">
        <v>408</v>
      </c>
      <c r="J393">
        <v>10</v>
      </c>
    </row>
    <row r="394" spans="1:45" x14ac:dyDescent="0.2">
      <c r="A394" t="s">
        <v>400</v>
      </c>
      <c r="G394">
        <v>4</v>
      </c>
      <c r="J394">
        <v>4</v>
      </c>
      <c r="K394">
        <v>4</v>
      </c>
      <c r="L394">
        <v>4</v>
      </c>
      <c r="AG394" s="21">
        <v>2</v>
      </c>
    </row>
    <row r="395" spans="1:45" x14ac:dyDescent="0.2">
      <c r="A395" s="19" t="s">
        <v>628</v>
      </c>
      <c r="F395">
        <v>8</v>
      </c>
      <c r="G395">
        <v>9</v>
      </c>
      <c r="H395">
        <v>8</v>
      </c>
      <c r="I395">
        <v>26</v>
      </c>
      <c r="J395">
        <v>14</v>
      </c>
      <c r="K395">
        <v>15</v>
      </c>
      <c r="L395">
        <v>27</v>
      </c>
      <c r="V395">
        <v>33</v>
      </c>
    </row>
    <row r="396" spans="1:45" x14ac:dyDescent="0.2">
      <c r="A396" s="19" t="s">
        <v>716</v>
      </c>
      <c r="F396">
        <v>8</v>
      </c>
      <c r="G396">
        <v>9</v>
      </c>
      <c r="H396">
        <v>8</v>
      </c>
      <c r="I396">
        <v>26</v>
      </c>
      <c r="J396">
        <v>14</v>
      </c>
      <c r="K396">
        <v>15</v>
      </c>
      <c r="L396">
        <v>27</v>
      </c>
      <c r="V396">
        <v>33</v>
      </c>
      <c r="AH396" s="21">
        <v>17</v>
      </c>
    </row>
    <row r="397" spans="1:45" x14ac:dyDescent="0.2">
      <c r="A397" s="19" t="s">
        <v>717</v>
      </c>
      <c r="F397">
        <v>8</v>
      </c>
      <c r="G397">
        <v>9</v>
      </c>
      <c r="H397">
        <v>8</v>
      </c>
      <c r="I397">
        <v>26</v>
      </c>
      <c r="J397">
        <v>14</v>
      </c>
      <c r="K397">
        <v>15</v>
      </c>
      <c r="L397">
        <v>27</v>
      </c>
      <c r="V397">
        <v>33</v>
      </c>
      <c r="AH397" s="21">
        <v>29</v>
      </c>
    </row>
    <row r="398" spans="1:45" s="93" customFormat="1" x14ac:dyDescent="0.2">
      <c r="A398" s="92" t="s">
        <v>754</v>
      </c>
      <c r="F398" s="93">
        <v>8</v>
      </c>
      <c r="G398" s="93">
        <v>9</v>
      </c>
      <c r="H398" s="93">
        <v>8</v>
      </c>
      <c r="I398" s="93">
        <v>31</v>
      </c>
      <c r="J398" s="93">
        <v>20</v>
      </c>
      <c r="K398" s="93">
        <v>17</v>
      </c>
      <c r="L398" s="93">
        <v>32</v>
      </c>
      <c r="V398" s="93">
        <v>30</v>
      </c>
      <c r="AC398" s="94"/>
      <c r="AD398" s="94"/>
      <c r="AG398" s="94">
        <v>7</v>
      </c>
      <c r="AH398" s="94">
        <v>21</v>
      </c>
      <c r="AI398" s="95"/>
      <c r="AJ398" s="96"/>
      <c r="AK398" s="94"/>
      <c r="AL398" s="95"/>
      <c r="AM398" s="96"/>
      <c r="AN398" s="95"/>
      <c r="AO398" s="95"/>
      <c r="AP398" s="95"/>
      <c r="AQ398" s="95"/>
      <c r="AR398" s="95"/>
      <c r="AS398" s="95"/>
    </row>
    <row r="399" spans="1:45" s="65" customFormat="1" x14ac:dyDescent="0.2">
      <c r="A399" s="87" t="s">
        <v>757</v>
      </c>
      <c r="F399" s="65">
        <v>6</v>
      </c>
      <c r="G399" s="65">
        <v>6</v>
      </c>
      <c r="H399" s="65">
        <v>6</v>
      </c>
      <c r="I399" s="65">
        <v>26</v>
      </c>
      <c r="J399" s="65">
        <v>24</v>
      </c>
      <c r="K399" s="65">
        <v>23</v>
      </c>
      <c r="L399" s="65">
        <v>35</v>
      </c>
      <c r="V399" s="65">
        <v>30</v>
      </c>
      <c r="AC399" s="89"/>
      <c r="AD399" s="89"/>
      <c r="AG399" s="89"/>
      <c r="AH399" s="89">
        <v>15</v>
      </c>
      <c r="AI399" s="66"/>
      <c r="AJ399" s="91" t="s">
        <v>742</v>
      </c>
      <c r="AK399" s="89"/>
      <c r="AL399" s="66"/>
      <c r="AM399" s="90">
        <v>14</v>
      </c>
      <c r="AN399" s="66"/>
      <c r="AO399" s="66"/>
      <c r="AP399" s="66">
        <v>0.04</v>
      </c>
      <c r="AQ399" s="66">
        <v>0.05</v>
      </c>
      <c r="AR399" s="66"/>
      <c r="AS399" s="66"/>
    </row>
    <row r="400" spans="1:45" s="98" customFormat="1" x14ac:dyDescent="0.2">
      <c r="A400" s="97" t="s">
        <v>758</v>
      </c>
      <c r="F400" s="98">
        <v>6</v>
      </c>
      <c r="G400" s="98">
        <v>6</v>
      </c>
      <c r="H400" s="98">
        <v>6</v>
      </c>
      <c r="I400" s="98">
        <v>26</v>
      </c>
      <c r="J400" s="98">
        <v>24</v>
      </c>
      <c r="K400" s="98">
        <v>23</v>
      </c>
      <c r="L400" s="98">
        <v>35</v>
      </c>
      <c r="V400" s="98">
        <v>30</v>
      </c>
      <c r="AC400" s="99"/>
      <c r="AD400" s="99"/>
      <c r="AG400" s="99"/>
      <c r="AH400" s="99">
        <v>27</v>
      </c>
      <c r="AI400" s="100"/>
      <c r="AJ400" s="101" t="s">
        <v>742</v>
      </c>
      <c r="AK400" s="99"/>
      <c r="AL400" s="100"/>
      <c r="AM400" s="102"/>
      <c r="AN400" s="100"/>
      <c r="AO400" s="100">
        <v>0.1</v>
      </c>
      <c r="AP400" s="100">
        <v>0.04</v>
      </c>
      <c r="AQ400" s="100">
        <v>0.05</v>
      </c>
      <c r="AR400" s="100"/>
      <c r="AS400" s="100"/>
    </row>
    <row r="401" spans="1:44" x14ac:dyDescent="0.2">
      <c r="A401" t="s">
        <v>458</v>
      </c>
      <c r="B401">
        <v>10</v>
      </c>
      <c r="J401">
        <v>5</v>
      </c>
      <c r="AG401" s="21">
        <v>5</v>
      </c>
      <c r="AH401" s="21">
        <v>5</v>
      </c>
    </row>
    <row r="402" spans="1:44" x14ac:dyDescent="0.2">
      <c r="A402" t="s">
        <v>454</v>
      </c>
      <c r="K402">
        <v>9</v>
      </c>
      <c r="L402">
        <v>9</v>
      </c>
      <c r="AH402" s="21">
        <v>5</v>
      </c>
    </row>
    <row r="403" spans="1:44" x14ac:dyDescent="0.2">
      <c r="A403" t="s">
        <v>734</v>
      </c>
      <c r="F403">
        <v>10</v>
      </c>
      <c r="G403">
        <v>11</v>
      </c>
      <c r="H403">
        <v>10</v>
      </c>
      <c r="I403">
        <v>33</v>
      </c>
      <c r="J403">
        <v>19</v>
      </c>
      <c r="K403">
        <v>19</v>
      </c>
      <c r="L403">
        <v>34</v>
      </c>
      <c r="V403">
        <v>30</v>
      </c>
      <c r="AH403" s="21">
        <v>18</v>
      </c>
    </row>
    <row r="404" spans="1:44" x14ac:dyDescent="0.2">
      <c r="A404" t="s">
        <v>462</v>
      </c>
      <c r="AH404" s="21">
        <v>4</v>
      </c>
      <c r="AO404" s="31">
        <v>0.04</v>
      </c>
    </row>
    <row r="405" spans="1:44" x14ac:dyDescent="0.2">
      <c r="A405" t="s">
        <v>396</v>
      </c>
      <c r="F405">
        <v>3</v>
      </c>
      <c r="J405">
        <v>3</v>
      </c>
      <c r="K405">
        <v>10</v>
      </c>
    </row>
    <row r="406" spans="1:44" x14ac:dyDescent="0.2">
      <c r="A406" t="s">
        <v>397</v>
      </c>
      <c r="F406">
        <v>9</v>
      </c>
      <c r="J406">
        <v>9</v>
      </c>
      <c r="K406">
        <v>9</v>
      </c>
      <c r="AH406" s="21">
        <v>9</v>
      </c>
    </row>
    <row r="407" spans="1:44" x14ac:dyDescent="0.2">
      <c r="A407" t="s">
        <v>394</v>
      </c>
      <c r="K407">
        <v>8</v>
      </c>
      <c r="L407">
        <v>8</v>
      </c>
      <c r="AG407" s="21">
        <v>7</v>
      </c>
      <c r="AH407" s="21">
        <v>7</v>
      </c>
    </row>
    <row r="408" spans="1:44" x14ac:dyDescent="0.2">
      <c r="A408" t="s">
        <v>460</v>
      </c>
      <c r="B408">
        <v>12</v>
      </c>
      <c r="AH408" s="21">
        <v>5</v>
      </c>
    </row>
    <row r="409" spans="1:44" x14ac:dyDescent="0.2">
      <c r="A409" t="s">
        <v>453</v>
      </c>
      <c r="AH409" s="21">
        <v>5</v>
      </c>
    </row>
    <row r="410" spans="1:44" x14ac:dyDescent="0.2">
      <c r="A410" t="s">
        <v>450</v>
      </c>
      <c r="F410">
        <v>3</v>
      </c>
      <c r="G410">
        <v>3</v>
      </c>
      <c r="H410">
        <v>3</v>
      </c>
      <c r="I410">
        <v>10</v>
      </c>
      <c r="J410">
        <v>5</v>
      </c>
      <c r="K410">
        <v>14</v>
      </c>
      <c r="L410">
        <v>10</v>
      </c>
      <c r="AG410" s="21">
        <v>8</v>
      </c>
    </row>
    <row r="411" spans="1:44" x14ac:dyDescent="0.2">
      <c r="A411" s="19" t="s">
        <v>705</v>
      </c>
      <c r="F411">
        <v>6</v>
      </c>
      <c r="G411">
        <v>7</v>
      </c>
      <c r="H411">
        <v>6</v>
      </c>
      <c r="I411">
        <v>21</v>
      </c>
      <c r="J411">
        <v>11</v>
      </c>
      <c r="K411">
        <v>18</v>
      </c>
      <c r="L411">
        <v>21</v>
      </c>
      <c r="V411">
        <v>10</v>
      </c>
      <c r="AG411" s="21">
        <v>10</v>
      </c>
    </row>
    <row r="412" spans="1:44" x14ac:dyDescent="0.2">
      <c r="A412" t="s">
        <v>404</v>
      </c>
      <c r="B412">
        <v>10</v>
      </c>
    </row>
    <row r="413" spans="1:44" x14ac:dyDescent="0.2">
      <c r="A413" t="s">
        <v>407</v>
      </c>
      <c r="B413">
        <v>7</v>
      </c>
      <c r="J413">
        <v>5</v>
      </c>
    </row>
    <row r="414" spans="1:44" x14ac:dyDescent="0.2">
      <c r="A414" s="19" t="s">
        <v>715</v>
      </c>
      <c r="F414">
        <v>6</v>
      </c>
      <c r="G414">
        <v>7</v>
      </c>
      <c r="H414">
        <v>6</v>
      </c>
      <c r="I414">
        <v>21</v>
      </c>
      <c r="J414">
        <v>16</v>
      </c>
      <c r="K414">
        <v>12</v>
      </c>
      <c r="L414">
        <v>21</v>
      </c>
      <c r="O414" s="1"/>
      <c r="P414" s="1"/>
      <c r="Q414" s="1"/>
      <c r="R414" s="1"/>
      <c r="S414" s="1"/>
      <c r="T414" s="1"/>
      <c r="U414" s="1"/>
      <c r="V414" s="21">
        <v>30</v>
      </c>
      <c r="W414" s="1"/>
      <c r="X414" s="1"/>
      <c r="Y414" s="21"/>
      <c r="Z414" s="1"/>
      <c r="AA414" s="1"/>
      <c r="AB414" s="1"/>
      <c r="AE414" s="1"/>
      <c r="AF414" s="1"/>
      <c r="AG414" s="21">
        <v>13</v>
      </c>
      <c r="AH414" s="21">
        <v>13</v>
      </c>
      <c r="AR414" s="31">
        <v>0.04</v>
      </c>
    </row>
    <row r="415" spans="1:44" x14ac:dyDescent="0.2">
      <c r="A415" s="19" t="s">
        <v>728</v>
      </c>
      <c r="F415">
        <v>10</v>
      </c>
      <c r="G415">
        <v>11</v>
      </c>
      <c r="H415">
        <v>10</v>
      </c>
      <c r="I415">
        <v>33</v>
      </c>
      <c r="J415">
        <v>22</v>
      </c>
      <c r="K415">
        <v>19</v>
      </c>
      <c r="L415">
        <v>34</v>
      </c>
      <c r="O415" s="1"/>
      <c r="P415" s="1"/>
      <c r="Q415" s="1"/>
      <c r="R415" s="1"/>
      <c r="S415" s="1"/>
      <c r="T415" s="1"/>
      <c r="U415" s="1"/>
      <c r="V415" s="21">
        <v>30</v>
      </c>
      <c r="W415" s="1"/>
      <c r="X415" s="1"/>
      <c r="Y415" s="21"/>
      <c r="Z415" s="1"/>
      <c r="AA415" s="1"/>
      <c r="AB415" s="1"/>
      <c r="AE415" s="1"/>
      <c r="AF415" s="1"/>
      <c r="AG415" s="21">
        <v>16</v>
      </c>
      <c r="AH415" s="21">
        <v>16</v>
      </c>
      <c r="AR415" s="31">
        <v>0.04</v>
      </c>
    </row>
    <row r="416" spans="1:44" x14ac:dyDescent="0.2">
      <c r="A416" t="s">
        <v>452</v>
      </c>
      <c r="AH416" s="21">
        <v>4</v>
      </c>
    </row>
    <row r="417" spans="1:39" x14ac:dyDescent="0.2">
      <c r="A417" t="s">
        <v>393</v>
      </c>
      <c r="K417">
        <v>6</v>
      </c>
      <c r="L417">
        <v>6</v>
      </c>
      <c r="AG417" s="21">
        <v>5</v>
      </c>
      <c r="AH417" s="21">
        <v>5</v>
      </c>
    </row>
    <row r="418" spans="1:39" x14ac:dyDescent="0.2">
      <c r="A418" t="s">
        <v>463</v>
      </c>
      <c r="H418">
        <v>-6</v>
      </c>
      <c r="I418">
        <v>-6</v>
      </c>
      <c r="P418" s="1"/>
      <c r="Q418" s="1"/>
      <c r="R418" s="1"/>
      <c r="S418" s="1"/>
      <c r="T418" s="1"/>
      <c r="U418" s="1"/>
      <c r="V418" s="21"/>
      <c r="W418" s="1"/>
      <c r="X418" s="1"/>
      <c r="Z418" s="1"/>
      <c r="AA418" s="1"/>
      <c r="AB418" s="1"/>
      <c r="AE418" s="1"/>
      <c r="AF418" s="1"/>
      <c r="AH418" s="21">
        <v>4</v>
      </c>
    </row>
    <row r="419" spans="1:39" x14ac:dyDescent="0.2">
      <c r="A419" s="19" t="s">
        <v>601</v>
      </c>
      <c r="F419">
        <v>8</v>
      </c>
      <c r="G419">
        <v>9</v>
      </c>
      <c r="H419">
        <v>8</v>
      </c>
      <c r="I419">
        <v>28</v>
      </c>
      <c r="J419">
        <v>23</v>
      </c>
      <c r="K419">
        <v>16</v>
      </c>
      <c r="L419">
        <v>29</v>
      </c>
      <c r="P419" s="1"/>
      <c r="Q419" s="1"/>
      <c r="R419" s="1"/>
      <c r="S419" s="1"/>
      <c r="T419" s="1"/>
      <c r="U419" s="1"/>
      <c r="V419" s="21"/>
      <c r="W419" s="1"/>
      <c r="X419" s="1"/>
      <c r="Z419" s="1"/>
      <c r="AA419" s="1"/>
      <c r="AB419" s="1"/>
      <c r="AE419" s="1"/>
      <c r="AF419" s="1"/>
    </row>
    <row r="420" spans="1:39" x14ac:dyDescent="0.2">
      <c r="A420" s="19" t="s">
        <v>735</v>
      </c>
      <c r="F420">
        <v>10</v>
      </c>
      <c r="G420">
        <v>11</v>
      </c>
      <c r="H420">
        <v>10</v>
      </c>
      <c r="I420">
        <v>33</v>
      </c>
      <c r="J420">
        <v>22</v>
      </c>
      <c r="K420">
        <v>19</v>
      </c>
      <c r="L420">
        <v>34</v>
      </c>
      <c r="P420" s="1"/>
      <c r="Q420" s="1"/>
      <c r="R420" s="1"/>
      <c r="S420" s="1"/>
      <c r="T420" s="1"/>
      <c r="U420" s="1"/>
      <c r="V420" s="21">
        <v>30</v>
      </c>
      <c r="W420" s="1"/>
      <c r="X420" s="1"/>
      <c r="Z420" s="1"/>
      <c r="AA420" s="1"/>
      <c r="AB420" s="1"/>
      <c r="AE420" s="1"/>
      <c r="AF420" s="1"/>
      <c r="AH420" s="21">
        <v>20</v>
      </c>
      <c r="AM420" s="53">
        <v>10</v>
      </c>
    </row>
    <row r="421" spans="1:39" x14ac:dyDescent="0.2">
      <c r="A421" s="19" t="s">
        <v>729</v>
      </c>
      <c r="F421">
        <v>9</v>
      </c>
      <c r="G421">
        <v>10</v>
      </c>
      <c r="H421">
        <v>9</v>
      </c>
      <c r="I421">
        <v>31</v>
      </c>
      <c r="J421">
        <v>17</v>
      </c>
      <c r="K421">
        <v>18</v>
      </c>
      <c r="L421">
        <v>32</v>
      </c>
      <c r="P421" s="1"/>
      <c r="Q421" s="1"/>
      <c r="R421" s="1"/>
      <c r="S421" s="1"/>
      <c r="T421" s="1"/>
      <c r="U421" s="1"/>
      <c r="V421" s="21">
        <v>30</v>
      </c>
      <c r="W421" s="1"/>
      <c r="X421" s="1"/>
      <c r="Z421" s="1"/>
      <c r="AA421" s="1"/>
      <c r="AB421" s="1"/>
      <c r="AE421" s="1"/>
      <c r="AG421" s="21">
        <v>4</v>
      </c>
    </row>
    <row r="422" spans="1:39" x14ac:dyDescent="0.2">
      <c r="A422" s="19" t="s">
        <v>629</v>
      </c>
      <c r="F422">
        <v>5</v>
      </c>
      <c r="G422">
        <v>6</v>
      </c>
      <c r="H422">
        <v>5</v>
      </c>
      <c r="I422">
        <v>17</v>
      </c>
      <c r="J422">
        <v>9</v>
      </c>
      <c r="K422">
        <v>10</v>
      </c>
      <c r="L422">
        <v>18</v>
      </c>
      <c r="P422" s="1"/>
      <c r="Q422" s="1"/>
      <c r="R422" s="1"/>
      <c r="S422" s="1"/>
      <c r="T422" s="1"/>
      <c r="U422" s="1"/>
      <c r="V422" s="21">
        <v>30</v>
      </c>
      <c r="W422" s="1"/>
      <c r="X422" s="1"/>
      <c r="Z422" s="1"/>
      <c r="AA422" s="1"/>
      <c r="AB422" s="1"/>
      <c r="AE422" s="1"/>
      <c r="AF422" s="1"/>
      <c r="AH422" s="21">
        <v>10</v>
      </c>
    </row>
    <row r="423" spans="1:39" x14ac:dyDescent="0.2">
      <c r="A423" t="s">
        <v>457</v>
      </c>
      <c r="J423">
        <v>7</v>
      </c>
      <c r="K423">
        <v>7</v>
      </c>
      <c r="AG423" s="21">
        <v>8</v>
      </c>
    </row>
    <row r="424" spans="1:39" x14ac:dyDescent="0.2">
      <c r="W424" s="1"/>
      <c r="X424" s="1"/>
      <c r="Z424" s="1"/>
      <c r="AA424" s="1"/>
      <c r="AB424" s="1"/>
      <c r="AE424" s="1"/>
      <c r="AF424" s="1"/>
    </row>
    <row r="429" spans="1:39" x14ac:dyDescent="0.2">
      <c r="W429" s="1"/>
      <c r="X429" s="1"/>
      <c r="Z429" s="1"/>
      <c r="AA429" s="1"/>
      <c r="AB429" s="1"/>
      <c r="AE429" s="1"/>
      <c r="AF429" s="1"/>
    </row>
  </sheetData>
  <sortState ref="A50:AZ52">
    <sortCondition ref="A50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>
    <tabColor indexed="46"/>
  </sheetPr>
  <dimension ref="A1:Y129"/>
  <sheetViews>
    <sheetView topLeftCell="A40" workbookViewId="0">
      <selection activeCell="E10" sqref="E10"/>
    </sheetView>
  </sheetViews>
  <sheetFormatPr defaultRowHeight="12.75" x14ac:dyDescent="0.2"/>
  <cols>
    <col min="2" max="3" width="5.7109375" customWidth="1"/>
    <col min="4" max="10" width="6.7109375" customWidth="1"/>
    <col min="11" max="11" width="9.85546875" customWidth="1"/>
    <col min="12" max="12" width="11.42578125" customWidth="1"/>
    <col min="13" max="13" width="11.140625" customWidth="1"/>
    <col min="15" max="16" width="5.7109375" customWidth="1"/>
    <col min="17" max="23" width="6.7109375" customWidth="1"/>
    <col min="24" max="24" width="10.140625" customWidth="1"/>
    <col min="25" max="25" width="11.5703125" customWidth="1"/>
  </cols>
  <sheetData>
    <row r="1" spans="1:25" x14ac:dyDescent="0.2">
      <c r="A1" s="62" t="s">
        <v>296</v>
      </c>
      <c r="N1" s="39" t="s">
        <v>295</v>
      </c>
    </row>
    <row r="3" spans="1:25" x14ac:dyDescent="0.2">
      <c r="A3" t="s">
        <v>278</v>
      </c>
      <c r="B3" t="s">
        <v>283</v>
      </c>
      <c r="C3" t="s">
        <v>580</v>
      </c>
      <c r="D3" t="s">
        <v>585</v>
      </c>
      <c r="E3" t="s">
        <v>581</v>
      </c>
      <c r="F3" t="s">
        <v>584</v>
      </c>
      <c r="G3" t="s">
        <v>582</v>
      </c>
      <c r="H3" t="s">
        <v>583</v>
      </c>
      <c r="I3" t="s">
        <v>339</v>
      </c>
      <c r="J3" t="s">
        <v>297</v>
      </c>
      <c r="K3" t="s">
        <v>302</v>
      </c>
      <c r="L3" t="s">
        <v>303</v>
      </c>
      <c r="N3" t="s">
        <v>278</v>
      </c>
      <c r="O3" t="s">
        <v>283</v>
      </c>
      <c r="P3" t="s">
        <v>580</v>
      </c>
      <c r="Q3" t="s">
        <v>585</v>
      </c>
      <c r="R3" t="s">
        <v>581</v>
      </c>
      <c r="S3" t="s">
        <v>584</v>
      </c>
      <c r="T3" t="s">
        <v>582</v>
      </c>
      <c r="U3" t="s">
        <v>583</v>
      </c>
      <c r="V3" t="s">
        <v>339</v>
      </c>
      <c r="W3" t="s">
        <v>297</v>
      </c>
      <c r="X3" t="s">
        <v>302</v>
      </c>
      <c r="Y3" t="s">
        <v>303</v>
      </c>
    </row>
    <row r="4" spans="1:25" x14ac:dyDescent="0.2">
      <c r="A4" t="s">
        <v>279</v>
      </c>
      <c r="B4">
        <v>10</v>
      </c>
      <c r="C4">
        <v>50</v>
      </c>
      <c r="D4">
        <v>2</v>
      </c>
      <c r="E4">
        <v>100</v>
      </c>
      <c r="F4">
        <v>1</v>
      </c>
      <c r="G4">
        <v>200</v>
      </c>
      <c r="H4">
        <v>0</v>
      </c>
      <c r="I4">
        <v>1</v>
      </c>
      <c r="J4">
        <v>4</v>
      </c>
      <c r="K4">
        <v>0.5</v>
      </c>
      <c r="L4">
        <v>2</v>
      </c>
      <c r="N4" t="s">
        <v>279</v>
      </c>
      <c r="O4">
        <v>10</v>
      </c>
      <c r="P4">
        <v>16</v>
      </c>
      <c r="Q4">
        <v>1</v>
      </c>
      <c r="R4">
        <f>P4+P4*2</f>
        <v>48</v>
      </c>
      <c r="S4">
        <v>0.5</v>
      </c>
      <c r="T4">
        <f>R4</f>
        <v>48</v>
      </c>
      <c r="U4">
        <v>0</v>
      </c>
      <c r="V4">
        <v>1</v>
      </c>
      <c r="W4">
        <v>9</v>
      </c>
      <c r="X4">
        <v>1.5</v>
      </c>
      <c r="Y4">
        <v>6.5</v>
      </c>
    </row>
    <row r="5" spans="1:25" x14ac:dyDescent="0.2">
      <c r="A5" t="s">
        <v>280</v>
      </c>
      <c r="B5">
        <v>100</v>
      </c>
      <c r="C5">
        <v>50</v>
      </c>
      <c r="D5">
        <v>3</v>
      </c>
      <c r="E5">
        <v>100</v>
      </c>
      <c r="F5">
        <v>2</v>
      </c>
      <c r="G5">
        <v>200</v>
      </c>
      <c r="H5">
        <v>1</v>
      </c>
      <c r="I5">
        <v>1</v>
      </c>
      <c r="J5">
        <v>36</v>
      </c>
      <c r="K5">
        <v>1.5</v>
      </c>
      <c r="L5">
        <v>6</v>
      </c>
      <c r="N5" t="s">
        <v>280</v>
      </c>
      <c r="O5">
        <v>78</v>
      </c>
      <c r="P5">
        <v>95</v>
      </c>
      <c r="Q5">
        <v>1</v>
      </c>
      <c r="R5">
        <f t="shared" ref="R5:R17" si="0">P5+P5*2</f>
        <v>285</v>
      </c>
      <c r="S5">
        <v>0.5</v>
      </c>
      <c r="T5">
        <f t="shared" ref="T5:T17" si="1">R5</f>
        <v>285</v>
      </c>
      <c r="U5">
        <v>0</v>
      </c>
      <c r="V5">
        <v>1</v>
      </c>
      <c r="W5">
        <v>43</v>
      </c>
      <c r="X5">
        <v>3.25</v>
      </c>
      <c r="Y5">
        <v>14.5</v>
      </c>
    </row>
    <row r="6" spans="1:25" x14ac:dyDescent="0.2">
      <c r="A6" t="s">
        <v>281</v>
      </c>
      <c r="B6">
        <v>200</v>
      </c>
      <c r="C6">
        <v>50</v>
      </c>
      <c r="D6">
        <v>4</v>
      </c>
      <c r="E6">
        <v>100</v>
      </c>
      <c r="F6">
        <v>3</v>
      </c>
      <c r="G6">
        <v>200</v>
      </c>
      <c r="H6">
        <v>2</v>
      </c>
      <c r="I6">
        <v>1</v>
      </c>
      <c r="J6">
        <v>64</v>
      </c>
      <c r="K6">
        <v>3</v>
      </c>
      <c r="L6">
        <v>15</v>
      </c>
      <c r="N6" t="s">
        <v>281</v>
      </c>
      <c r="O6">
        <v>210</v>
      </c>
      <c r="P6">
        <v>100</v>
      </c>
      <c r="Q6">
        <v>1.5</v>
      </c>
      <c r="R6">
        <f t="shared" si="0"/>
        <v>300</v>
      </c>
      <c r="S6">
        <v>0.75</v>
      </c>
      <c r="T6">
        <f t="shared" si="1"/>
        <v>300</v>
      </c>
      <c r="U6">
        <v>0</v>
      </c>
      <c r="V6">
        <v>1</v>
      </c>
      <c r="W6">
        <v>92</v>
      </c>
      <c r="X6">
        <v>5.25</v>
      </c>
      <c r="Y6">
        <v>22.5</v>
      </c>
    </row>
    <row r="7" spans="1:25" x14ac:dyDescent="0.2">
      <c r="A7" t="s">
        <v>282</v>
      </c>
      <c r="B7">
        <v>400</v>
      </c>
      <c r="C7">
        <v>50</v>
      </c>
      <c r="D7">
        <v>5</v>
      </c>
      <c r="E7">
        <v>100</v>
      </c>
      <c r="F7">
        <v>4</v>
      </c>
      <c r="G7">
        <v>200</v>
      </c>
      <c r="H7">
        <v>3</v>
      </c>
      <c r="I7">
        <v>1</v>
      </c>
      <c r="J7">
        <v>112</v>
      </c>
      <c r="K7">
        <v>6</v>
      </c>
      <c r="L7">
        <v>30</v>
      </c>
      <c r="N7" t="s">
        <v>282</v>
      </c>
      <c r="O7">
        <v>381</v>
      </c>
      <c r="P7">
        <v>100</v>
      </c>
      <c r="Q7">
        <v>2</v>
      </c>
      <c r="R7">
        <f t="shared" si="0"/>
        <v>300</v>
      </c>
      <c r="S7">
        <v>1</v>
      </c>
      <c r="T7">
        <f t="shared" si="1"/>
        <v>300</v>
      </c>
      <c r="U7">
        <v>0</v>
      </c>
      <c r="V7">
        <v>1</v>
      </c>
      <c r="W7">
        <v>138</v>
      </c>
      <c r="X7">
        <v>7</v>
      </c>
      <c r="Y7">
        <v>30.75</v>
      </c>
    </row>
    <row r="8" spans="1:25" x14ac:dyDescent="0.2">
      <c r="A8" t="s">
        <v>283</v>
      </c>
      <c r="B8">
        <v>650</v>
      </c>
      <c r="C8">
        <v>50</v>
      </c>
      <c r="D8">
        <v>6</v>
      </c>
      <c r="E8">
        <v>100</v>
      </c>
      <c r="F8">
        <v>5</v>
      </c>
      <c r="G8">
        <v>200</v>
      </c>
      <c r="H8">
        <v>4</v>
      </c>
      <c r="I8">
        <v>1</v>
      </c>
      <c r="J8">
        <v>156</v>
      </c>
      <c r="K8">
        <v>10</v>
      </c>
      <c r="L8">
        <v>45</v>
      </c>
      <c r="N8" t="s">
        <v>283</v>
      </c>
      <c r="O8">
        <v>626</v>
      </c>
      <c r="P8">
        <v>100</v>
      </c>
      <c r="Q8">
        <v>2.2999000000000001</v>
      </c>
      <c r="R8">
        <f t="shared" si="0"/>
        <v>300</v>
      </c>
      <c r="S8">
        <v>1.1499999999999999</v>
      </c>
      <c r="T8">
        <f t="shared" si="1"/>
        <v>300</v>
      </c>
      <c r="U8">
        <v>0</v>
      </c>
      <c r="V8">
        <v>1</v>
      </c>
      <c r="W8">
        <v>222</v>
      </c>
      <c r="X8">
        <v>8.75</v>
      </c>
      <c r="Y8">
        <v>39</v>
      </c>
    </row>
    <row r="9" spans="1:25" x14ac:dyDescent="0.2">
      <c r="A9" t="s">
        <v>284</v>
      </c>
      <c r="B9">
        <v>60</v>
      </c>
      <c r="C9">
        <v>50</v>
      </c>
      <c r="D9">
        <v>3</v>
      </c>
      <c r="E9">
        <v>100</v>
      </c>
      <c r="F9">
        <v>2</v>
      </c>
      <c r="G9">
        <v>200</v>
      </c>
      <c r="H9">
        <v>1</v>
      </c>
      <c r="I9">
        <v>10</v>
      </c>
      <c r="J9">
        <v>24</v>
      </c>
      <c r="K9">
        <v>2</v>
      </c>
      <c r="L9">
        <v>5</v>
      </c>
      <c r="N9" t="s">
        <v>284</v>
      </c>
      <c r="O9">
        <v>56</v>
      </c>
      <c r="P9">
        <v>35</v>
      </c>
      <c r="Q9">
        <v>1</v>
      </c>
      <c r="R9">
        <f t="shared" si="0"/>
        <v>105</v>
      </c>
      <c r="S9">
        <v>0.5</v>
      </c>
      <c r="T9">
        <f t="shared" si="1"/>
        <v>105</v>
      </c>
      <c r="U9">
        <v>0</v>
      </c>
      <c r="V9">
        <v>10</v>
      </c>
      <c r="W9">
        <v>37</v>
      </c>
      <c r="X9">
        <v>2.5</v>
      </c>
      <c r="Y9">
        <v>11</v>
      </c>
    </row>
    <row r="10" spans="1:25" x14ac:dyDescent="0.2">
      <c r="A10" t="s">
        <v>285</v>
      </c>
      <c r="B10">
        <v>250</v>
      </c>
      <c r="C10">
        <v>50</v>
      </c>
      <c r="D10">
        <v>4</v>
      </c>
      <c r="E10">
        <v>100</v>
      </c>
      <c r="F10">
        <v>3</v>
      </c>
      <c r="G10">
        <v>200</v>
      </c>
      <c r="H10">
        <v>2</v>
      </c>
      <c r="I10">
        <v>10</v>
      </c>
      <c r="J10">
        <v>93</v>
      </c>
      <c r="K10">
        <v>4</v>
      </c>
      <c r="L10">
        <v>10</v>
      </c>
      <c r="N10" t="s">
        <v>285</v>
      </c>
      <c r="O10">
        <v>201</v>
      </c>
      <c r="P10">
        <v>99</v>
      </c>
      <c r="Q10">
        <v>1</v>
      </c>
      <c r="R10">
        <f t="shared" si="0"/>
        <v>297</v>
      </c>
      <c r="S10">
        <v>0.5</v>
      </c>
      <c r="T10">
        <f t="shared" si="1"/>
        <v>297</v>
      </c>
      <c r="U10">
        <v>0</v>
      </c>
      <c r="V10">
        <v>10</v>
      </c>
      <c r="W10">
        <v>109</v>
      </c>
      <c r="X10">
        <v>4.25</v>
      </c>
      <c r="Y10">
        <v>19</v>
      </c>
    </row>
    <row r="11" spans="1:25" x14ac:dyDescent="0.2">
      <c r="A11" t="s">
        <v>286</v>
      </c>
      <c r="B11">
        <v>500</v>
      </c>
      <c r="C11">
        <v>50</v>
      </c>
      <c r="D11">
        <v>5</v>
      </c>
      <c r="E11">
        <v>100</v>
      </c>
      <c r="F11">
        <v>4</v>
      </c>
      <c r="G11">
        <v>200</v>
      </c>
      <c r="H11">
        <v>3</v>
      </c>
      <c r="I11">
        <v>10</v>
      </c>
      <c r="J11">
        <v>175</v>
      </c>
      <c r="K11">
        <v>7</v>
      </c>
      <c r="L11">
        <v>25</v>
      </c>
      <c r="N11" t="s">
        <v>286</v>
      </c>
      <c r="O11">
        <v>434</v>
      </c>
      <c r="P11">
        <v>67</v>
      </c>
      <c r="Q11">
        <v>1</v>
      </c>
      <c r="R11">
        <f t="shared" si="0"/>
        <v>201</v>
      </c>
      <c r="S11">
        <v>0.75</v>
      </c>
      <c r="T11">
        <f t="shared" si="1"/>
        <v>201</v>
      </c>
      <c r="U11">
        <v>0</v>
      </c>
      <c r="V11">
        <v>10</v>
      </c>
      <c r="W11">
        <v>211</v>
      </c>
      <c r="X11">
        <v>6.25</v>
      </c>
      <c r="Y11">
        <v>27.25</v>
      </c>
    </row>
    <row r="12" spans="1:25" x14ac:dyDescent="0.2">
      <c r="A12" t="s">
        <v>287</v>
      </c>
      <c r="B12">
        <v>750</v>
      </c>
      <c r="C12">
        <v>50</v>
      </c>
      <c r="D12">
        <v>6</v>
      </c>
      <c r="E12">
        <v>100</v>
      </c>
      <c r="F12">
        <v>5</v>
      </c>
      <c r="G12">
        <v>200</v>
      </c>
      <c r="H12">
        <v>4</v>
      </c>
      <c r="I12">
        <v>10</v>
      </c>
      <c r="J12">
        <v>298</v>
      </c>
      <c r="K12">
        <v>7</v>
      </c>
      <c r="L12">
        <v>45</v>
      </c>
      <c r="N12" t="s">
        <v>287</v>
      </c>
      <c r="O12">
        <v>719</v>
      </c>
      <c r="P12">
        <v>100</v>
      </c>
      <c r="Q12">
        <v>2.2799999999999998</v>
      </c>
      <c r="R12">
        <f t="shared" si="0"/>
        <v>300</v>
      </c>
      <c r="S12">
        <v>1.1499999999999999</v>
      </c>
      <c r="T12">
        <f t="shared" si="1"/>
        <v>300</v>
      </c>
      <c r="U12">
        <v>0</v>
      </c>
      <c r="V12">
        <v>10</v>
      </c>
      <c r="W12">
        <v>299</v>
      </c>
      <c r="X12">
        <v>7</v>
      </c>
      <c r="Y12">
        <v>45</v>
      </c>
    </row>
    <row r="13" spans="1:25" x14ac:dyDescent="0.2">
      <c r="A13" t="s">
        <v>617</v>
      </c>
      <c r="B13">
        <v>0</v>
      </c>
      <c r="C13">
        <v>75</v>
      </c>
      <c r="D13">
        <v>1.1000000000000001</v>
      </c>
      <c r="E13">
        <v>85</v>
      </c>
      <c r="F13">
        <v>0.75</v>
      </c>
      <c r="G13">
        <v>200</v>
      </c>
      <c r="H13">
        <v>0.5</v>
      </c>
      <c r="I13">
        <v>1</v>
      </c>
      <c r="J13">
        <v>26</v>
      </c>
      <c r="K13">
        <v>3.75</v>
      </c>
      <c r="L13">
        <v>45</v>
      </c>
      <c r="N13" t="s">
        <v>617</v>
      </c>
      <c r="O13">
        <v>25</v>
      </c>
      <c r="P13">
        <v>75</v>
      </c>
      <c r="Q13">
        <v>1</v>
      </c>
      <c r="R13">
        <v>100</v>
      </c>
      <c r="S13">
        <v>0.75</v>
      </c>
      <c r="T13">
        <v>200</v>
      </c>
      <c r="U13">
        <v>0.5</v>
      </c>
      <c r="V13">
        <v>1</v>
      </c>
      <c r="W13">
        <v>26</v>
      </c>
      <c r="X13">
        <v>3.75</v>
      </c>
      <c r="Y13">
        <v>45</v>
      </c>
    </row>
    <row r="14" spans="1:25" x14ac:dyDescent="0.2">
      <c r="A14" t="s">
        <v>289</v>
      </c>
      <c r="B14">
        <v>150</v>
      </c>
      <c r="C14">
        <v>50</v>
      </c>
      <c r="D14">
        <v>3</v>
      </c>
      <c r="E14">
        <v>100</v>
      </c>
      <c r="F14">
        <v>2</v>
      </c>
      <c r="G14">
        <v>200</v>
      </c>
      <c r="H14">
        <v>1</v>
      </c>
      <c r="I14">
        <v>10</v>
      </c>
      <c r="J14">
        <v>57</v>
      </c>
      <c r="K14">
        <v>1.5</v>
      </c>
      <c r="L14">
        <v>5</v>
      </c>
      <c r="N14" t="s">
        <v>289</v>
      </c>
      <c r="O14">
        <v>128</v>
      </c>
      <c r="P14">
        <v>58</v>
      </c>
      <c r="Q14">
        <v>1</v>
      </c>
      <c r="R14">
        <f t="shared" si="0"/>
        <v>174</v>
      </c>
      <c r="S14">
        <v>0.75</v>
      </c>
      <c r="T14">
        <f t="shared" si="1"/>
        <v>174</v>
      </c>
      <c r="U14">
        <v>0</v>
      </c>
      <c r="V14">
        <v>10</v>
      </c>
      <c r="W14">
        <v>73</v>
      </c>
      <c r="X14">
        <v>3.25</v>
      </c>
      <c r="Y14">
        <v>15</v>
      </c>
    </row>
    <row r="15" spans="1:25" x14ac:dyDescent="0.2">
      <c r="A15" t="s">
        <v>298</v>
      </c>
      <c r="B15">
        <v>350</v>
      </c>
      <c r="C15">
        <v>50</v>
      </c>
      <c r="D15">
        <v>4</v>
      </c>
      <c r="E15">
        <v>100</v>
      </c>
      <c r="F15">
        <v>3</v>
      </c>
      <c r="G15">
        <v>200</v>
      </c>
      <c r="H15">
        <v>2</v>
      </c>
      <c r="I15">
        <v>10</v>
      </c>
      <c r="J15">
        <v>150</v>
      </c>
      <c r="K15">
        <v>3</v>
      </c>
      <c r="L15">
        <v>15</v>
      </c>
      <c r="N15" t="s">
        <v>298</v>
      </c>
      <c r="O15">
        <v>317</v>
      </c>
      <c r="P15">
        <v>100</v>
      </c>
      <c r="Q15">
        <v>1</v>
      </c>
      <c r="R15">
        <f t="shared" si="0"/>
        <v>300</v>
      </c>
      <c r="S15">
        <v>0.75</v>
      </c>
      <c r="T15">
        <f t="shared" si="1"/>
        <v>300</v>
      </c>
      <c r="U15">
        <v>0</v>
      </c>
      <c r="V15">
        <v>10</v>
      </c>
      <c r="W15">
        <v>160</v>
      </c>
      <c r="X15">
        <v>5.25</v>
      </c>
      <c r="Y15">
        <v>23</v>
      </c>
    </row>
    <row r="16" spans="1:25" x14ac:dyDescent="0.2">
      <c r="A16" t="s">
        <v>288</v>
      </c>
      <c r="B16">
        <v>700</v>
      </c>
      <c r="C16">
        <v>50</v>
      </c>
      <c r="D16">
        <v>2</v>
      </c>
      <c r="E16">
        <v>100</v>
      </c>
      <c r="F16">
        <v>2</v>
      </c>
      <c r="G16">
        <v>200</v>
      </c>
      <c r="H16">
        <v>2</v>
      </c>
      <c r="I16">
        <v>1</v>
      </c>
      <c r="J16">
        <v>315</v>
      </c>
      <c r="K16">
        <v>12</v>
      </c>
      <c r="L16">
        <v>60</v>
      </c>
      <c r="N16" t="s">
        <v>288</v>
      </c>
      <c r="O16">
        <v>577</v>
      </c>
      <c r="P16">
        <v>150</v>
      </c>
      <c r="Q16">
        <v>2</v>
      </c>
      <c r="R16">
        <f t="shared" si="0"/>
        <v>450</v>
      </c>
      <c r="S16">
        <v>1</v>
      </c>
      <c r="T16">
        <f t="shared" si="1"/>
        <v>450</v>
      </c>
      <c r="U16">
        <v>0</v>
      </c>
      <c r="V16">
        <v>1</v>
      </c>
      <c r="W16">
        <v>315</v>
      </c>
      <c r="X16">
        <v>18.25</v>
      </c>
      <c r="Y16">
        <v>42.75</v>
      </c>
    </row>
    <row r="17" spans="1:25" x14ac:dyDescent="0.2">
      <c r="A17" t="s">
        <v>299</v>
      </c>
      <c r="B17">
        <v>800</v>
      </c>
      <c r="C17">
        <v>50</v>
      </c>
      <c r="D17">
        <v>2</v>
      </c>
      <c r="E17">
        <v>100</v>
      </c>
      <c r="F17">
        <v>2</v>
      </c>
      <c r="G17">
        <v>200</v>
      </c>
      <c r="H17">
        <v>2</v>
      </c>
      <c r="I17">
        <v>1</v>
      </c>
      <c r="J17">
        <v>280</v>
      </c>
      <c r="K17">
        <v>10</v>
      </c>
      <c r="L17">
        <v>60</v>
      </c>
      <c r="N17" t="s">
        <v>299</v>
      </c>
      <c r="O17">
        <v>710</v>
      </c>
      <c r="P17">
        <v>150</v>
      </c>
      <c r="Q17">
        <v>2</v>
      </c>
      <c r="R17">
        <f t="shared" si="0"/>
        <v>450</v>
      </c>
      <c r="S17">
        <v>1</v>
      </c>
      <c r="T17">
        <f t="shared" si="1"/>
        <v>450</v>
      </c>
      <c r="U17">
        <v>0</v>
      </c>
      <c r="V17">
        <v>1</v>
      </c>
      <c r="W17">
        <v>280</v>
      </c>
      <c r="X17">
        <v>10</v>
      </c>
      <c r="Y17">
        <v>90</v>
      </c>
    </row>
    <row r="19" spans="1:25" x14ac:dyDescent="0.2">
      <c r="A19" t="s">
        <v>290</v>
      </c>
      <c r="B19" t="s">
        <v>283</v>
      </c>
      <c r="C19" t="s">
        <v>580</v>
      </c>
      <c r="D19" t="s">
        <v>300</v>
      </c>
      <c r="E19" t="s">
        <v>581</v>
      </c>
      <c r="F19" t="s">
        <v>301</v>
      </c>
      <c r="G19" t="s">
        <v>582</v>
      </c>
      <c r="H19" t="s">
        <v>583</v>
      </c>
      <c r="I19" t="s">
        <v>339</v>
      </c>
      <c r="J19" t="s">
        <v>297</v>
      </c>
      <c r="K19" t="s">
        <v>302</v>
      </c>
      <c r="L19" t="s">
        <v>303</v>
      </c>
      <c r="N19" t="s">
        <v>290</v>
      </c>
      <c r="O19" t="s">
        <v>283</v>
      </c>
      <c r="P19" t="s">
        <v>580</v>
      </c>
      <c r="Q19" t="s">
        <v>585</v>
      </c>
      <c r="R19" t="s">
        <v>581</v>
      </c>
      <c r="S19" t="s">
        <v>584</v>
      </c>
      <c r="T19" t="s">
        <v>582</v>
      </c>
      <c r="U19" t="s">
        <v>583</v>
      </c>
      <c r="V19" t="s">
        <v>339</v>
      </c>
      <c r="W19" t="s">
        <v>297</v>
      </c>
      <c r="X19" t="s">
        <v>302</v>
      </c>
      <c r="Y19" t="s">
        <v>303</v>
      </c>
    </row>
    <row r="20" spans="1:25" x14ac:dyDescent="0.2">
      <c r="A20" t="s">
        <v>279</v>
      </c>
      <c r="B20">
        <v>25</v>
      </c>
      <c r="C20">
        <v>50</v>
      </c>
      <c r="D20">
        <v>1.8</v>
      </c>
      <c r="E20">
        <v>100</v>
      </c>
      <c r="F20">
        <v>1</v>
      </c>
      <c r="G20">
        <v>200</v>
      </c>
      <c r="H20">
        <v>0</v>
      </c>
      <c r="I20">
        <v>1</v>
      </c>
      <c r="J20">
        <v>10</v>
      </c>
      <c r="K20">
        <v>0.5</v>
      </c>
      <c r="L20">
        <v>2</v>
      </c>
      <c r="N20" t="s">
        <v>279</v>
      </c>
      <c r="O20">
        <v>16</v>
      </c>
      <c r="P20">
        <v>25</v>
      </c>
      <c r="Q20">
        <v>1</v>
      </c>
      <c r="R20">
        <f t="shared" ref="R20:R33" si="2">P20+P20*2</f>
        <v>75</v>
      </c>
      <c r="S20">
        <v>0.5</v>
      </c>
      <c r="T20">
        <f>R20</f>
        <v>75</v>
      </c>
      <c r="U20">
        <v>0</v>
      </c>
      <c r="V20">
        <v>1</v>
      </c>
      <c r="W20">
        <v>13</v>
      </c>
      <c r="X20">
        <v>1.75</v>
      </c>
      <c r="Y20">
        <v>7.75</v>
      </c>
    </row>
    <row r="21" spans="1:25" x14ac:dyDescent="0.2">
      <c r="A21" t="s">
        <v>280</v>
      </c>
      <c r="B21">
        <v>120</v>
      </c>
      <c r="C21">
        <v>50</v>
      </c>
      <c r="D21">
        <v>2.8</v>
      </c>
      <c r="E21">
        <v>100</v>
      </c>
      <c r="F21">
        <v>1.9</v>
      </c>
      <c r="G21">
        <v>200</v>
      </c>
      <c r="H21">
        <v>1</v>
      </c>
      <c r="I21">
        <v>1</v>
      </c>
      <c r="J21">
        <v>43</v>
      </c>
      <c r="K21">
        <v>1.5</v>
      </c>
      <c r="L21">
        <v>6</v>
      </c>
      <c r="N21" t="s">
        <v>280</v>
      </c>
      <c r="O21">
        <v>95</v>
      </c>
      <c r="P21">
        <v>100</v>
      </c>
      <c r="Q21">
        <v>1</v>
      </c>
      <c r="R21">
        <f t="shared" si="2"/>
        <v>300</v>
      </c>
      <c r="S21">
        <v>0.5</v>
      </c>
      <c r="T21">
        <f t="shared" ref="T21:T33" si="3">R21</f>
        <v>300</v>
      </c>
      <c r="U21">
        <v>0</v>
      </c>
      <c r="V21">
        <v>1</v>
      </c>
      <c r="W21">
        <v>51</v>
      </c>
      <c r="X21">
        <v>3.5</v>
      </c>
      <c r="Y21">
        <v>15.75</v>
      </c>
    </row>
    <row r="22" spans="1:25" x14ac:dyDescent="0.2">
      <c r="A22" t="s">
        <v>281</v>
      </c>
      <c r="B22">
        <v>230</v>
      </c>
      <c r="C22">
        <v>50</v>
      </c>
      <c r="D22">
        <v>3.7</v>
      </c>
      <c r="E22">
        <v>100</v>
      </c>
      <c r="F22">
        <v>2.9</v>
      </c>
      <c r="G22">
        <v>200</v>
      </c>
      <c r="H22">
        <v>1.95</v>
      </c>
      <c r="I22">
        <v>1</v>
      </c>
      <c r="J22">
        <v>75</v>
      </c>
      <c r="K22">
        <v>3</v>
      </c>
      <c r="L22">
        <v>15</v>
      </c>
      <c r="N22" t="s">
        <v>281</v>
      </c>
      <c r="O22">
        <v>236</v>
      </c>
      <c r="P22">
        <v>100</v>
      </c>
      <c r="Q22">
        <v>1.5</v>
      </c>
      <c r="R22">
        <f t="shared" si="2"/>
        <v>300</v>
      </c>
      <c r="S22">
        <v>0.75</v>
      </c>
      <c r="T22">
        <f t="shared" si="3"/>
        <v>300</v>
      </c>
      <c r="U22">
        <v>0</v>
      </c>
      <c r="V22">
        <v>1</v>
      </c>
      <c r="W22">
        <v>98</v>
      </c>
      <c r="X22">
        <v>5.5</v>
      </c>
      <c r="Y22">
        <v>24</v>
      </c>
    </row>
    <row r="23" spans="1:25" x14ac:dyDescent="0.2">
      <c r="A23" t="s">
        <v>282</v>
      </c>
      <c r="B23">
        <v>440</v>
      </c>
      <c r="C23">
        <v>50</v>
      </c>
      <c r="D23">
        <v>4.7</v>
      </c>
      <c r="E23">
        <v>100</v>
      </c>
      <c r="F23">
        <v>3.9</v>
      </c>
      <c r="G23">
        <v>200</v>
      </c>
      <c r="H23">
        <v>2.95</v>
      </c>
      <c r="I23">
        <v>1</v>
      </c>
      <c r="J23">
        <v>129</v>
      </c>
      <c r="K23">
        <v>6</v>
      </c>
      <c r="L23">
        <v>30</v>
      </c>
      <c r="N23" t="s">
        <v>282</v>
      </c>
      <c r="O23">
        <v>410</v>
      </c>
      <c r="P23">
        <v>100</v>
      </c>
      <c r="Q23">
        <v>2</v>
      </c>
      <c r="R23">
        <f t="shared" si="2"/>
        <v>300</v>
      </c>
      <c r="S23">
        <v>1</v>
      </c>
      <c r="T23">
        <f t="shared" si="3"/>
        <v>300</v>
      </c>
      <c r="U23">
        <v>0</v>
      </c>
      <c r="V23">
        <v>1</v>
      </c>
      <c r="W23">
        <v>144</v>
      </c>
      <c r="X23">
        <v>7.25</v>
      </c>
      <c r="Y23">
        <v>32</v>
      </c>
    </row>
    <row r="24" spans="1:25" x14ac:dyDescent="0.2">
      <c r="A24" t="s">
        <v>283</v>
      </c>
      <c r="B24">
        <v>700</v>
      </c>
      <c r="C24">
        <v>50</v>
      </c>
      <c r="D24">
        <v>5.6</v>
      </c>
      <c r="E24">
        <v>100</v>
      </c>
      <c r="F24">
        <v>4.74</v>
      </c>
      <c r="G24">
        <v>200</v>
      </c>
      <c r="H24">
        <v>3.95</v>
      </c>
      <c r="I24">
        <v>1</v>
      </c>
      <c r="J24">
        <v>182</v>
      </c>
      <c r="K24">
        <v>10</v>
      </c>
      <c r="L24">
        <v>45</v>
      </c>
      <c r="N24" t="s">
        <v>283</v>
      </c>
      <c r="O24">
        <v>680</v>
      </c>
      <c r="P24">
        <v>100</v>
      </c>
      <c r="Q24">
        <v>2.2999000000000001</v>
      </c>
      <c r="R24">
        <f t="shared" si="2"/>
        <v>300</v>
      </c>
      <c r="S24">
        <v>1.1499999999999999</v>
      </c>
      <c r="T24">
        <f t="shared" si="3"/>
        <v>300</v>
      </c>
      <c r="U24">
        <v>0</v>
      </c>
      <c r="V24">
        <v>1</v>
      </c>
      <c r="W24">
        <v>239</v>
      </c>
      <c r="X24">
        <v>9.25</v>
      </c>
      <c r="Y24">
        <v>40.25</v>
      </c>
    </row>
    <row r="25" spans="1:25" x14ac:dyDescent="0.2">
      <c r="A25" t="s">
        <v>284</v>
      </c>
      <c r="B25">
        <v>80</v>
      </c>
      <c r="C25">
        <v>50</v>
      </c>
      <c r="D25">
        <v>2.8</v>
      </c>
      <c r="E25">
        <v>100</v>
      </c>
      <c r="F25">
        <v>1.9</v>
      </c>
      <c r="G25">
        <v>200</v>
      </c>
      <c r="H25">
        <v>1</v>
      </c>
      <c r="I25">
        <v>10</v>
      </c>
      <c r="J25">
        <v>34</v>
      </c>
      <c r="K25">
        <v>2</v>
      </c>
      <c r="L25">
        <v>5</v>
      </c>
      <c r="N25" t="s">
        <v>284</v>
      </c>
      <c r="O25">
        <v>74</v>
      </c>
      <c r="P25">
        <v>45</v>
      </c>
      <c r="Q25">
        <v>1</v>
      </c>
      <c r="R25">
        <f t="shared" si="2"/>
        <v>135</v>
      </c>
      <c r="S25">
        <v>0.5</v>
      </c>
      <c r="T25">
        <f t="shared" si="3"/>
        <v>135</v>
      </c>
      <c r="U25">
        <v>0</v>
      </c>
      <c r="V25">
        <v>10</v>
      </c>
      <c r="W25">
        <v>47</v>
      </c>
      <c r="X25">
        <v>2.75</v>
      </c>
      <c r="Y25">
        <v>12.25</v>
      </c>
    </row>
    <row r="26" spans="1:25" x14ac:dyDescent="0.2">
      <c r="A26" t="s">
        <v>285</v>
      </c>
      <c r="B26">
        <v>280</v>
      </c>
      <c r="C26">
        <v>50</v>
      </c>
      <c r="D26">
        <v>3.7</v>
      </c>
      <c r="E26">
        <v>100</v>
      </c>
      <c r="F26">
        <v>2.9</v>
      </c>
      <c r="G26">
        <v>200</v>
      </c>
      <c r="H26">
        <v>1.95</v>
      </c>
      <c r="I26">
        <v>10</v>
      </c>
      <c r="J26">
        <v>112</v>
      </c>
      <c r="K26">
        <v>4</v>
      </c>
      <c r="L26">
        <v>10</v>
      </c>
      <c r="N26" t="s">
        <v>285</v>
      </c>
      <c r="O26">
        <v>232</v>
      </c>
      <c r="P26">
        <v>99</v>
      </c>
      <c r="Q26">
        <v>1</v>
      </c>
      <c r="R26">
        <f t="shared" si="2"/>
        <v>297</v>
      </c>
      <c r="S26">
        <v>0.5</v>
      </c>
      <c r="T26">
        <f t="shared" si="3"/>
        <v>297</v>
      </c>
      <c r="U26">
        <v>0</v>
      </c>
      <c r="V26">
        <v>10</v>
      </c>
      <c r="W26">
        <v>123</v>
      </c>
      <c r="X26">
        <v>4.5</v>
      </c>
      <c r="Y26">
        <v>20.25</v>
      </c>
    </row>
    <row r="27" spans="1:25" x14ac:dyDescent="0.2">
      <c r="A27" t="s">
        <v>286</v>
      </c>
      <c r="B27">
        <v>540</v>
      </c>
      <c r="C27">
        <v>50</v>
      </c>
      <c r="D27">
        <v>4.7</v>
      </c>
      <c r="E27">
        <v>100</v>
      </c>
      <c r="F27">
        <v>3.9</v>
      </c>
      <c r="G27">
        <v>200</v>
      </c>
      <c r="H27">
        <v>2.95</v>
      </c>
      <c r="I27">
        <v>10</v>
      </c>
      <c r="J27">
        <v>202</v>
      </c>
      <c r="K27">
        <v>7</v>
      </c>
      <c r="L27">
        <v>25</v>
      </c>
      <c r="N27" t="s">
        <v>286</v>
      </c>
      <c r="O27">
        <v>480</v>
      </c>
      <c r="P27">
        <v>100</v>
      </c>
      <c r="Q27">
        <v>1.5</v>
      </c>
      <c r="R27">
        <f t="shared" si="2"/>
        <v>300</v>
      </c>
      <c r="S27">
        <v>0.75</v>
      </c>
      <c r="T27">
        <f t="shared" si="3"/>
        <v>300</v>
      </c>
      <c r="U27">
        <v>0</v>
      </c>
      <c r="V27">
        <v>10</v>
      </c>
      <c r="W27">
        <v>231</v>
      </c>
      <c r="X27">
        <v>6.5</v>
      </c>
      <c r="Y27">
        <v>28.5</v>
      </c>
    </row>
    <row r="28" spans="1:25" x14ac:dyDescent="0.2">
      <c r="A28" t="s">
        <v>287</v>
      </c>
      <c r="B28">
        <v>800</v>
      </c>
      <c r="C28">
        <v>50</v>
      </c>
      <c r="D28">
        <v>5.6</v>
      </c>
      <c r="E28">
        <v>100</v>
      </c>
      <c r="F28">
        <v>4.75</v>
      </c>
      <c r="G28">
        <v>200</v>
      </c>
      <c r="H28">
        <v>3.95</v>
      </c>
      <c r="I28">
        <v>10</v>
      </c>
      <c r="J28">
        <v>318</v>
      </c>
      <c r="K28">
        <v>7</v>
      </c>
      <c r="L28">
        <v>45</v>
      </c>
      <c r="N28" t="s">
        <v>287</v>
      </c>
      <c r="O28">
        <v>782</v>
      </c>
      <c r="P28">
        <v>100</v>
      </c>
      <c r="Q28">
        <v>2.2799999999999998</v>
      </c>
      <c r="R28">
        <f t="shared" si="2"/>
        <v>300</v>
      </c>
      <c r="S28">
        <v>1.1499999999999999</v>
      </c>
      <c r="T28">
        <f t="shared" si="3"/>
        <v>300</v>
      </c>
      <c r="U28">
        <v>0</v>
      </c>
      <c r="V28">
        <v>10</v>
      </c>
      <c r="W28">
        <v>322</v>
      </c>
      <c r="X28">
        <v>7.25</v>
      </c>
      <c r="Y28">
        <v>46.25</v>
      </c>
    </row>
    <row r="29" spans="1:25" x14ac:dyDescent="0.2">
      <c r="A29" t="s">
        <v>617</v>
      </c>
      <c r="B29">
        <v>0</v>
      </c>
      <c r="C29">
        <v>75</v>
      </c>
      <c r="D29">
        <v>1.1000000000000001</v>
      </c>
      <c r="E29">
        <v>85</v>
      </c>
      <c r="F29">
        <v>0.75</v>
      </c>
      <c r="G29">
        <v>200</v>
      </c>
      <c r="H29">
        <v>0.5</v>
      </c>
      <c r="I29">
        <v>1</v>
      </c>
      <c r="J29">
        <v>26</v>
      </c>
      <c r="K29">
        <v>3.75</v>
      </c>
      <c r="L29">
        <v>45</v>
      </c>
      <c r="N29" t="s">
        <v>617</v>
      </c>
      <c r="O29">
        <v>25</v>
      </c>
      <c r="P29">
        <v>75</v>
      </c>
      <c r="Q29">
        <v>1</v>
      </c>
      <c r="R29">
        <v>100</v>
      </c>
      <c r="S29">
        <v>0.75</v>
      </c>
      <c r="T29">
        <v>200</v>
      </c>
      <c r="U29">
        <v>0.5</v>
      </c>
      <c r="V29">
        <v>1</v>
      </c>
      <c r="W29">
        <v>26</v>
      </c>
      <c r="X29">
        <v>3.75</v>
      </c>
      <c r="Y29">
        <v>45</v>
      </c>
    </row>
    <row r="30" spans="1:25" x14ac:dyDescent="0.2">
      <c r="A30" t="s">
        <v>289</v>
      </c>
      <c r="B30">
        <v>180</v>
      </c>
      <c r="C30">
        <v>50</v>
      </c>
      <c r="D30">
        <v>2.8</v>
      </c>
      <c r="E30">
        <v>100</v>
      </c>
      <c r="F30">
        <v>1.9</v>
      </c>
      <c r="G30">
        <v>200</v>
      </c>
      <c r="H30">
        <v>1</v>
      </c>
      <c r="I30">
        <v>10</v>
      </c>
      <c r="J30">
        <v>68</v>
      </c>
      <c r="K30">
        <v>1.5</v>
      </c>
      <c r="L30">
        <v>5</v>
      </c>
      <c r="N30" t="s">
        <v>289</v>
      </c>
      <c r="O30">
        <v>153</v>
      </c>
      <c r="P30">
        <v>90</v>
      </c>
      <c r="Q30">
        <v>1</v>
      </c>
      <c r="R30">
        <f t="shared" si="2"/>
        <v>270</v>
      </c>
      <c r="S30">
        <v>0.75</v>
      </c>
      <c r="T30">
        <f t="shared" si="3"/>
        <v>270</v>
      </c>
      <c r="U30">
        <v>0</v>
      </c>
      <c r="V30">
        <v>10</v>
      </c>
      <c r="W30">
        <v>85</v>
      </c>
      <c r="X30">
        <v>3.5</v>
      </c>
      <c r="Y30">
        <v>16.5</v>
      </c>
    </row>
    <row r="31" spans="1:25" x14ac:dyDescent="0.2">
      <c r="A31" t="s">
        <v>298</v>
      </c>
      <c r="B31">
        <v>390</v>
      </c>
      <c r="C31">
        <v>50</v>
      </c>
      <c r="D31">
        <v>3.7</v>
      </c>
      <c r="E31">
        <v>100</v>
      </c>
      <c r="F31">
        <v>2.9</v>
      </c>
      <c r="G31">
        <v>200</v>
      </c>
      <c r="H31">
        <v>1.95</v>
      </c>
      <c r="I31">
        <v>10</v>
      </c>
      <c r="J31">
        <v>169</v>
      </c>
      <c r="K31">
        <v>3</v>
      </c>
      <c r="L31">
        <v>15</v>
      </c>
      <c r="N31" t="s">
        <v>298</v>
      </c>
      <c r="O31">
        <v>356</v>
      </c>
      <c r="P31">
        <v>100</v>
      </c>
      <c r="Q31">
        <v>1</v>
      </c>
      <c r="R31">
        <f t="shared" si="2"/>
        <v>300</v>
      </c>
      <c r="S31">
        <v>0.75</v>
      </c>
      <c r="T31">
        <f t="shared" si="3"/>
        <v>300</v>
      </c>
      <c r="U31">
        <v>0</v>
      </c>
      <c r="V31">
        <v>10</v>
      </c>
      <c r="W31">
        <v>177</v>
      </c>
      <c r="X31">
        <v>5.5</v>
      </c>
      <c r="Y31">
        <v>24.5</v>
      </c>
    </row>
    <row r="32" spans="1:25" x14ac:dyDescent="0.2">
      <c r="A32" t="s">
        <v>288</v>
      </c>
      <c r="B32">
        <v>700</v>
      </c>
      <c r="C32">
        <v>50</v>
      </c>
      <c r="D32">
        <v>2</v>
      </c>
      <c r="E32">
        <v>100</v>
      </c>
      <c r="F32">
        <v>2</v>
      </c>
      <c r="G32">
        <v>200</v>
      </c>
      <c r="H32">
        <v>2</v>
      </c>
      <c r="I32">
        <v>1</v>
      </c>
      <c r="J32">
        <v>315</v>
      </c>
      <c r="K32">
        <v>12</v>
      </c>
      <c r="L32">
        <v>60</v>
      </c>
      <c r="N32" t="s">
        <v>288</v>
      </c>
      <c r="O32">
        <v>630</v>
      </c>
      <c r="P32">
        <v>150</v>
      </c>
      <c r="Q32">
        <v>2</v>
      </c>
      <c r="R32">
        <f t="shared" si="2"/>
        <v>450</v>
      </c>
      <c r="S32">
        <v>1</v>
      </c>
      <c r="T32">
        <f t="shared" si="3"/>
        <v>450</v>
      </c>
      <c r="U32">
        <v>0</v>
      </c>
      <c r="V32">
        <v>1</v>
      </c>
      <c r="W32">
        <v>315</v>
      </c>
      <c r="X32">
        <v>18.75</v>
      </c>
      <c r="Y32">
        <v>43.75</v>
      </c>
    </row>
    <row r="33" spans="1:25" x14ac:dyDescent="0.2">
      <c r="A33" t="s">
        <v>299</v>
      </c>
      <c r="B33">
        <v>800</v>
      </c>
      <c r="C33">
        <v>50</v>
      </c>
      <c r="D33">
        <v>2</v>
      </c>
      <c r="E33">
        <v>100</v>
      </c>
      <c r="F33">
        <v>2</v>
      </c>
      <c r="G33">
        <v>200</v>
      </c>
      <c r="H33">
        <v>2</v>
      </c>
      <c r="I33">
        <v>1</v>
      </c>
      <c r="J33">
        <v>280</v>
      </c>
      <c r="K33">
        <v>10</v>
      </c>
      <c r="L33">
        <v>60</v>
      </c>
      <c r="N33" t="s">
        <v>299</v>
      </c>
      <c r="O33">
        <v>710</v>
      </c>
      <c r="P33">
        <v>150</v>
      </c>
      <c r="Q33">
        <v>2</v>
      </c>
      <c r="R33">
        <f t="shared" si="2"/>
        <v>450</v>
      </c>
      <c r="S33">
        <v>1</v>
      </c>
      <c r="T33">
        <f t="shared" si="3"/>
        <v>450</v>
      </c>
      <c r="U33">
        <v>0</v>
      </c>
      <c r="V33">
        <v>1</v>
      </c>
      <c r="W33">
        <v>280</v>
      </c>
      <c r="X33">
        <v>10</v>
      </c>
      <c r="Y33">
        <v>90</v>
      </c>
    </row>
    <row r="35" spans="1:25" x14ac:dyDescent="0.2">
      <c r="A35" t="s">
        <v>291</v>
      </c>
      <c r="B35" t="s">
        <v>283</v>
      </c>
      <c r="C35" t="s">
        <v>580</v>
      </c>
      <c r="D35" t="s">
        <v>300</v>
      </c>
      <c r="E35" t="s">
        <v>581</v>
      </c>
      <c r="F35" t="s">
        <v>301</v>
      </c>
      <c r="G35" t="s">
        <v>582</v>
      </c>
      <c r="H35" t="s">
        <v>583</v>
      </c>
      <c r="I35" t="s">
        <v>339</v>
      </c>
      <c r="J35" t="s">
        <v>297</v>
      </c>
      <c r="K35" t="s">
        <v>302</v>
      </c>
      <c r="L35" t="s">
        <v>303</v>
      </c>
      <c r="N35" t="s">
        <v>291</v>
      </c>
      <c r="O35" t="s">
        <v>283</v>
      </c>
      <c r="P35" t="s">
        <v>580</v>
      </c>
      <c r="Q35" t="s">
        <v>585</v>
      </c>
      <c r="R35" t="s">
        <v>581</v>
      </c>
      <c r="S35" t="s">
        <v>584</v>
      </c>
      <c r="T35" t="s">
        <v>582</v>
      </c>
      <c r="U35" t="s">
        <v>583</v>
      </c>
      <c r="V35" t="s">
        <v>339</v>
      </c>
      <c r="W35" t="s">
        <v>297</v>
      </c>
      <c r="X35" t="s">
        <v>302</v>
      </c>
      <c r="Y35" t="s">
        <v>303</v>
      </c>
    </row>
    <row r="36" spans="1:25" x14ac:dyDescent="0.2">
      <c r="A36" t="s">
        <v>279</v>
      </c>
      <c r="B36">
        <v>40</v>
      </c>
      <c r="C36">
        <v>50</v>
      </c>
      <c r="D36">
        <v>1.6</v>
      </c>
      <c r="E36">
        <v>100</v>
      </c>
      <c r="F36">
        <v>1</v>
      </c>
      <c r="G36">
        <v>200</v>
      </c>
      <c r="H36">
        <v>0</v>
      </c>
      <c r="I36">
        <v>1</v>
      </c>
      <c r="J36">
        <v>16</v>
      </c>
      <c r="K36">
        <v>0.5</v>
      </c>
      <c r="L36">
        <v>2</v>
      </c>
      <c r="N36" t="s">
        <v>279</v>
      </c>
      <c r="O36">
        <v>25</v>
      </c>
      <c r="P36">
        <v>35</v>
      </c>
      <c r="Q36">
        <v>1</v>
      </c>
      <c r="R36">
        <f t="shared" ref="R36:R49" si="4">P36+P36*2</f>
        <v>105</v>
      </c>
      <c r="S36">
        <v>0.5</v>
      </c>
      <c r="T36">
        <f>R36</f>
        <v>105</v>
      </c>
      <c r="U36">
        <v>0</v>
      </c>
      <c r="V36">
        <v>1</v>
      </c>
      <c r="W36">
        <v>18</v>
      </c>
      <c r="X36">
        <v>2</v>
      </c>
      <c r="Y36">
        <v>9</v>
      </c>
    </row>
    <row r="37" spans="1:25" x14ac:dyDescent="0.2">
      <c r="A37" t="s">
        <v>280</v>
      </c>
      <c r="B37">
        <v>140</v>
      </c>
      <c r="C37">
        <v>50</v>
      </c>
      <c r="D37">
        <v>2.6</v>
      </c>
      <c r="E37">
        <v>100</v>
      </c>
      <c r="F37">
        <v>1.8</v>
      </c>
      <c r="G37">
        <v>200</v>
      </c>
      <c r="H37">
        <v>1</v>
      </c>
      <c r="I37">
        <v>1</v>
      </c>
      <c r="J37">
        <v>51</v>
      </c>
      <c r="K37">
        <v>1.5</v>
      </c>
      <c r="L37">
        <v>6</v>
      </c>
      <c r="N37" t="s">
        <v>280</v>
      </c>
      <c r="O37">
        <v>113</v>
      </c>
      <c r="P37">
        <v>100</v>
      </c>
      <c r="Q37">
        <v>1</v>
      </c>
      <c r="R37">
        <f t="shared" si="4"/>
        <v>300</v>
      </c>
      <c r="S37">
        <v>0.5</v>
      </c>
      <c r="T37">
        <f t="shared" ref="T37:T49" si="5">R37</f>
        <v>300</v>
      </c>
      <c r="U37">
        <v>0</v>
      </c>
      <c r="V37">
        <v>1</v>
      </c>
      <c r="W37">
        <v>59</v>
      </c>
      <c r="X37">
        <v>3.75</v>
      </c>
      <c r="Y37">
        <v>17</v>
      </c>
    </row>
    <row r="38" spans="1:25" x14ac:dyDescent="0.2">
      <c r="A38" t="s">
        <v>281</v>
      </c>
      <c r="B38">
        <v>260</v>
      </c>
      <c r="C38">
        <v>50</v>
      </c>
      <c r="D38">
        <v>3.4</v>
      </c>
      <c r="E38">
        <v>100</v>
      </c>
      <c r="F38">
        <v>2.8</v>
      </c>
      <c r="G38">
        <v>200</v>
      </c>
      <c r="H38">
        <v>1.9</v>
      </c>
      <c r="I38">
        <v>1</v>
      </c>
      <c r="J38">
        <v>88</v>
      </c>
      <c r="K38">
        <v>3</v>
      </c>
      <c r="L38">
        <v>15</v>
      </c>
      <c r="N38" t="s">
        <v>281</v>
      </c>
      <c r="O38">
        <v>265</v>
      </c>
      <c r="P38">
        <v>100</v>
      </c>
      <c r="Q38">
        <v>1.5</v>
      </c>
      <c r="R38">
        <f t="shared" si="4"/>
        <v>300</v>
      </c>
      <c r="S38">
        <v>0.75</v>
      </c>
      <c r="T38">
        <f t="shared" si="5"/>
        <v>300</v>
      </c>
      <c r="U38">
        <v>0</v>
      </c>
      <c r="V38">
        <v>1</v>
      </c>
      <c r="W38">
        <v>106</v>
      </c>
      <c r="X38">
        <v>5.75</v>
      </c>
      <c r="Y38">
        <v>25.25</v>
      </c>
    </row>
    <row r="39" spans="1:25" x14ac:dyDescent="0.2">
      <c r="A39" t="s">
        <v>282</v>
      </c>
      <c r="B39">
        <v>480</v>
      </c>
      <c r="C39">
        <v>50</v>
      </c>
      <c r="D39">
        <v>4.4000000000000004</v>
      </c>
      <c r="E39">
        <v>100</v>
      </c>
      <c r="F39">
        <v>3.8</v>
      </c>
      <c r="G39">
        <v>200</v>
      </c>
      <c r="H39">
        <v>2.9</v>
      </c>
      <c r="I39">
        <v>1</v>
      </c>
      <c r="J39">
        <v>148</v>
      </c>
      <c r="K39">
        <v>6</v>
      </c>
      <c r="L39">
        <v>30</v>
      </c>
      <c r="N39" t="s">
        <v>282</v>
      </c>
      <c r="O39">
        <v>440</v>
      </c>
      <c r="P39">
        <v>100</v>
      </c>
      <c r="Q39">
        <v>2</v>
      </c>
      <c r="R39">
        <f t="shared" si="4"/>
        <v>300</v>
      </c>
      <c r="S39">
        <v>1</v>
      </c>
      <c r="T39">
        <f t="shared" si="5"/>
        <v>300</v>
      </c>
      <c r="U39">
        <v>0</v>
      </c>
      <c r="V39">
        <v>1</v>
      </c>
      <c r="W39">
        <v>150</v>
      </c>
      <c r="X39">
        <v>7.5</v>
      </c>
      <c r="Y39">
        <v>33.25</v>
      </c>
    </row>
    <row r="40" spans="1:25" x14ac:dyDescent="0.2">
      <c r="A40" t="s">
        <v>283</v>
      </c>
      <c r="B40">
        <v>750</v>
      </c>
      <c r="C40">
        <v>50</v>
      </c>
      <c r="D40">
        <v>5.2</v>
      </c>
      <c r="E40">
        <v>100</v>
      </c>
      <c r="F40">
        <v>4.5</v>
      </c>
      <c r="G40">
        <v>200</v>
      </c>
      <c r="H40">
        <v>3.9</v>
      </c>
      <c r="I40">
        <v>1</v>
      </c>
      <c r="J40">
        <v>210</v>
      </c>
      <c r="K40">
        <v>10</v>
      </c>
      <c r="L40">
        <v>45</v>
      </c>
      <c r="N40" t="s">
        <v>283</v>
      </c>
      <c r="O40">
        <v>734</v>
      </c>
      <c r="P40">
        <v>100</v>
      </c>
      <c r="Q40">
        <v>2.3330000000000002</v>
      </c>
      <c r="R40">
        <f t="shared" si="4"/>
        <v>300</v>
      </c>
      <c r="S40">
        <v>1.1499999999999999</v>
      </c>
      <c r="T40">
        <f t="shared" si="5"/>
        <v>300</v>
      </c>
      <c r="U40">
        <v>0</v>
      </c>
      <c r="V40">
        <v>1</v>
      </c>
      <c r="W40">
        <v>255</v>
      </c>
      <c r="X40">
        <v>9.5</v>
      </c>
      <c r="Y40">
        <v>41.5</v>
      </c>
    </row>
    <row r="41" spans="1:25" x14ac:dyDescent="0.2">
      <c r="A41" t="s">
        <v>284</v>
      </c>
      <c r="B41">
        <v>100</v>
      </c>
      <c r="C41">
        <v>50</v>
      </c>
      <c r="D41">
        <v>2.6</v>
      </c>
      <c r="E41">
        <v>100</v>
      </c>
      <c r="F41">
        <v>1.8</v>
      </c>
      <c r="G41">
        <v>200</v>
      </c>
      <c r="H41">
        <v>1</v>
      </c>
      <c r="I41">
        <v>10</v>
      </c>
      <c r="J41">
        <v>45</v>
      </c>
      <c r="K41">
        <v>2</v>
      </c>
      <c r="L41">
        <v>5</v>
      </c>
      <c r="N41" t="s">
        <v>284</v>
      </c>
      <c r="O41">
        <v>96</v>
      </c>
      <c r="P41">
        <v>60</v>
      </c>
      <c r="Q41">
        <v>1</v>
      </c>
      <c r="R41">
        <f t="shared" si="4"/>
        <v>180</v>
      </c>
      <c r="S41">
        <v>0.5</v>
      </c>
      <c r="T41">
        <f t="shared" si="5"/>
        <v>180</v>
      </c>
      <c r="U41">
        <v>0</v>
      </c>
      <c r="V41">
        <v>10</v>
      </c>
      <c r="W41">
        <v>57</v>
      </c>
      <c r="X41">
        <v>3</v>
      </c>
      <c r="Y41">
        <v>13.5</v>
      </c>
    </row>
    <row r="42" spans="1:25" x14ac:dyDescent="0.2">
      <c r="A42" t="s">
        <v>285</v>
      </c>
      <c r="B42">
        <v>310</v>
      </c>
      <c r="C42">
        <v>50</v>
      </c>
      <c r="D42">
        <v>3.4</v>
      </c>
      <c r="E42">
        <v>100</v>
      </c>
      <c r="F42">
        <v>2.8</v>
      </c>
      <c r="G42">
        <v>200</v>
      </c>
      <c r="H42">
        <v>1.9</v>
      </c>
      <c r="I42">
        <v>10</v>
      </c>
      <c r="J42">
        <v>131</v>
      </c>
      <c r="K42">
        <v>4</v>
      </c>
      <c r="L42">
        <v>10</v>
      </c>
      <c r="N42" t="s">
        <v>285</v>
      </c>
      <c r="O42">
        <v>266</v>
      </c>
      <c r="P42">
        <v>99</v>
      </c>
      <c r="Q42">
        <v>1</v>
      </c>
      <c r="R42">
        <f t="shared" si="4"/>
        <v>297</v>
      </c>
      <c r="S42">
        <v>0.5</v>
      </c>
      <c r="T42">
        <f t="shared" si="5"/>
        <v>297</v>
      </c>
      <c r="U42">
        <v>0</v>
      </c>
      <c r="V42">
        <v>10</v>
      </c>
      <c r="W42">
        <v>138</v>
      </c>
      <c r="X42">
        <v>5</v>
      </c>
      <c r="Y42">
        <v>21.75</v>
      </c>
    </row>
    <row r="43" spans="1:25" x14ac:dyDescent="0.2">
      <c r="A43" t="s">
        <v>286</v>
      </c>
      <c r="B43">
        <v>580</v>
      </c>
      <c r="C43">
        <v>50</v>
      </c>
      <c r="D43">
        <v>4.4000000000000004</v>
      </c>
      <c r="E43">
        <v>100</v>
      </c>
      <c r="F43">
        <v>3.8</v>
      </c>
      <c r="G43">
        <v>200</v>
      </c>
      <c r="H43">
        <v>2.9</v>
      </c>
      <c r="I43">
        <v>10</v>
      </c>
      <c r="J43">
        <v>232</v>
      </c>
      <c r="K43">
        <v>7</v>
      </c>
      <c r="L43">
        <v>25</v>
      </c>
      <c r="N43" t="s">
        <v>286</v>
      </c>
      <c r="O43">
        <v>527</v>
      </c>
      <c r="P43">
        <v>99</v>
      </c>
      <c r="Q43">
        <v>1.5</v>
      </c>
      <c r="R43">
        <f t="shared" si="4"/>
        <v>297</v>
      </c>
      <c r="S43">
        <v>0.75</v>
      </c>
      <c r="T43">
        <f t="shared" si="5"/>
        <v>297</v>
      </c>
      <c r="U43">
        <v>0</v>
      </c>
      <c r="V43">
        <v>10</v>
      </c>
      <c r="W43">
        <v>252</v>
      </c>
      <c r="X43">
        <v>6.75</v>
      </c>
      <c r="Y43">
        <v>29.75</v>
      </c>
    </row>
    <row r="44" spans="1:25" x14ac:dyDescent="0.2">
      <c r="A44" t="s">
        <v>287</v>
      </c>
      <c r="B44">
        <v>850</v>
      </c>
      <c r="C44">
        <v>50</v>
      </c>
      <c r="D44">
        <v>5.2</v>
      </c>
      <c r="E44">
        <v>100</v>
      </c>
      <c r="F44">
        <v>4.5</v>
      </c>
      <c r="G44">
        <v>200</v>
      </c>
      <c r="H44">
        <v>3.9</v>
      </c>
      <c r="I44">
        <v>10</v>
      </c>
      <c r="J44">
        <v>338</v>
      </c>
      <c r="K44">
        <v>7</v>
      </c>
      <c r="L44">
        <v>45</v>
      </c>
      <c r="N44" t="s">
        <v>287</v>
      </c>
      <c r="O44">
        <v>844</v>
      </c>
      <c r="P44">
        <v>100</v>
      </c>
      <c r="Q44">
        <v>2.3199999999999998</v>
      </c>
      <c r="R44">
        <f t="shared" si="4"/>
        <v>300</v>
      </c>
      <c r="S44">
        <v>1.1499999999999999</v>
      </c>
      <c r="T44">
        <f t="shared" si="5"/>
        <v>300</v>
      </c>
      <c r="U44">
        <v>0</v>
      </c>
      <c r="V44">
        <v>10</v>
      </c>
      <c r="W44">
        <v>344</v>
      </c>
      <c r="X44">
        <v>7.5</v>
      </c>
      <c r="Y44">
        <v>47.5</v>
      </c>
    </row>
    <row r="45" spans="1:25" x14ac:dyDescent="0.2">
      <c r="A45" t="s">
        <v>617</v>
      </c>
      <c r="B45">
        <v>0</v>
      </c>
      <c r="C45">
        <v>75</v>
      </c>
      <c r="D45">
        <v>1.1000000000000001</v>
      </c>
      <c r="E45">
        <v>85</v>
      </c>
      <c r="F45">
        <v>0.75</v>
      </c>
      <c r="G45">
        <v>200</v>
      </c>
      <c r="H45">
        <v>0.5</v>
      </c>
      <c r="I45">
        <v>1</v>
      </c>
      <c r="J45">
        <v>26</v>
      </c>
      <c r="K45">
        <v>3.75</v>
      </c>
      <c r="L45">
        <v>45</v>
      </c>
      <c r="N45" t="s">
        <v>617</v>
      </c>
      <c r="O45">
        <v>25</v>
      </c>
      <c r="P45">
        <v>75</v>
      </c>
      <c r="Q45">
        <v>1</v>
      </c>
      <c r="R45">
        <v>100</v>
      </c>
      <c r="S45">
        <v>0.75</v>
      </c>
      <c r="T45">
        <v>200</v>
      </c>
      <c r="U45">
        <v>0.5</v>
      </c>
      <c r="V45">
        <v>1</v>
      </c>
      <c r="W45">
        <v>26</v>
      </c>
      <c r="X45">
        <v>3.75</v>
      </c>
      <c r="Y45">
        <v>45</v>
      </c>
    </row>
    <row r="46" spans="1:25" x14ac:dyDescent="0.2">
      <c r="A46" t="s">
        <v>289</v>
      </c>
      <c r="B46">
        <v>210</v>
      </c>
      <c r="C46">
        <v>50</v>
      </c>
      <c r="D46">
        <v>2.6</v>
      </c>
      <c r="E46">
        <v>100</v>
      </c>
      <c r="F46">
        <v>1.8</v>
      </c>
      <c r="G46">
        <v>200</v>
      </c>
      <c r="H46">
        <v>1</v>
      </c>
      <c r="I46">
        <v>10</v>
      </c>
      <c r="J46">
        <v>80</v>
      </c>
      <c r="K46">
        <v>1.5</v>
      </c>
      <c r="L46">
        <v>5</v>
      </c>
      <c r="N46" t="s">
        <v>289</v>
      </c>
      <c r="O46">
        <v>179</v>
      </c>
      <c r="P46">
        <v>100</v>
      </c>
      <c r="Q46">
        <v>1</v>
      </c>
      <c r="R46">
        <f t="shared" si="4"/>
        <v>300</v>
      </c>
      <c r="S46">
        <v>0.75</v>
      </c>
      <c r="T46">
        <f t="shared" si="5"/>
        <v>300</v>
      </c>
      <c r="U46">
        <v>0</v>
      </c>
      <c r="V46">
        <v>10</v>
      </c>
      <c r="W46">
        <v>97</v>
      </c>
      <c r="X46">
        <v>4</v>
      </c>
      <c r="Y46">
        <v>18</v>
      </c>
    </row>
    <row r="47" spans="1:25" x14ac:dyDescent="0.2">
      <c r="A47" t="s">
        <v>298</v>
      </c>
      <c r="B47">
        <v>430</v>
      </c>
      <c r="C47">
        <v>50</v>
      </c>
      <c r="D47">
        <v>3.4</v>
      </c>
      <c r="E47">
        <v>100</v>
      </c>
      <c r="F47">
        <v>2.8</v>
      </c>
      <c r="G47">
        <v>200</v>
      </c>
      <c r="H47">
        <v>1.9</v>
      </c>
      <c r="I47">
        <v>10</v>
      </c>
      <c r="J47">
        <v>188</v>
      </c>
      <c r="K47">
        <v>3</v>
      </c>
      <c r="L47">
        <v>15</v>
      </c>
      <c r="N47" t="s">
        <v>298</v>
      </c>
      <c r="O47">
        <v>396</v>
      </c>
      <c r="P47">
        <v>100</v>
      </c>
      <c r="Q47">
        <v>1</v>
      </c>
      <c r="R47">
        <f t="shared" si="4"/>
        <v>300</v>
      </c>
      <c r="S47">
        <v>0.75</v>
      </c>
      <c r="T47">
        <f t="shared" si="5"/>
        <v>300</v>
      </c>
      <c r="U47">
        <v>0</v>
      </c>
      <c r="V47">
        <v>10</v>
      </c>
      <c r="W47">
        <v>195</v>
      </c>
      <c r="X47">
        <v>6</v>
      </c>
      <c r="Y47">
        <v>26</v>
      </c>
    </row>
    <row r="48" spans="1:25" x14ac:dyDescent="0.2">
      <c r="A48" t="s">
        <v>288</v>
      </c>
      <c r="B48">
        <v>700</v>
      </c>
      <c r="C48">
        <v>50</v>
      </c>
      <c r="D48">
        <v>2</v>
      </c>
      <c r="E48">
        <v>100</v>
      </c>
      <c r="F48">
        <v>2</v>
      </c>
      <c r="G48">
        <v>200</v>
      </c>
      <c r="H48">
        <v>2</v>
      </c>
      <c r="I48">
        <v>1</v>
      </c>
      <c r="J48">
        <v>315</v>
      </c>
      <c r="K48">
        <v>12</v>
      </c>
      <c r="L48">
        <v>60</v>
      </c>
      <c r="N48" t="s">
        <v>288</v>
      </c>
      <c r="O48">
        <v>552</v>
      </c>
      <c r="P48">
        <v>150</v>
      </c>
      <c r="Q48">
        <v>2</v>
      </c>
      <c r="R48">
        <f t="shared" si="4"/>
        <v>450</v>
      </c>
      <c r="S48">
        <v>1</v>
      </c>
      <c r="T48">
        <f t="shared" si="5"/>
        <v>450</v>
      </c>
      <c r="U48">
        <v>0</v>
      </c>
      <c r="V48">
        <v>1</v>
      </c>
      <c r="W48">
        <v>315</v>
      </c>
      <c r="X48">
        <v>18</v>
      </c>
      <c r="Y48">
        <v>42.25</v>
      </c>
    </row>
    <row r="49" spans="1:25" x14ac:dyDescent="0.2">
      <c r="A49" t="s">
        <v>299</v>
      </c>
      <c r="B49">
        <v>800</v>
      </c>
      <c r="C49">
        <v>50</v>
      </c>
      <c r="D49">
        <v>2</v>
      </c>
      <c r="E49">
        <v>100</v>
      </c>
      <c r="F49">
        <v>2</v>
      </c>
      <c r="G49">
        <v>200</v>
      </c>
      <c r="H49">
        <v>2</v>
      </c>
      <c r="I49">
        <v>1</v>
      </c>
      <c r="J49">
        <v>280</v>
      </c>
      <c r="K49">
        <v>10</v>
      </c>
      <c r="L49">
        <v>60</v>
      </c>
      <c r="N49" t="s">
        <v>299</v>
      </c>
      <c r="O49">
        <v>710</v>
      </c>
      <c r="P49">
        <v>150</v>
      </c>
      <c r="Q49">
        <v>2</v>
      </c>
      <c r="R49">
        <f t="shared" si="4"/>
        <v>450</v>
      </c>
      <c r="S49">
        <v>1</v>
      </c>
      <c r="T49">
        <f t="shared" si="5"/>
        <v>450</v>
      </c>
      <c r="U49">
        <v>0</v>
      </c>
      <c r="V49">
        <v>1</v>
      </c>
      <c r="W49">
        <v>280</v>
      </c>
      <c r="X49">
        <v>10</v>
      </c>
      <c r="Y49">
        <v>90</v>
      </c>
    </row>
    <row r="51" spans="1:25" x14ac:dyDescent="0.2">
      <c r="A51" t="s">
        <v>292</v>
      </c>
      <c r="B51" t="s">
        <v>283</v>
      </c>
      <c r="C51" t="s">
        <v>580</v>
      </c>
      <c r="D51" t="s">
        <v>300</v>
      </c>
      <c r="E51" t="s">
        <v>581</v>
      </c>
      <c r="F51" t="s">
        <v>301</v>
      </c>
      <c r="G51" t="s">
        <v>582</v>
      </c>
      <c r="H51" t="s">
        <v>583</v>
      </c>
      <c r="I51" t="s">
        <v>339</v>
      </c>
      <c r="J51" t="s">
        <v>297</v>
      </c>
      <c r="K51" t="s">
        <v>302</v>
      </c>
      <c r="L51" t="s">
        <v>303</v>
      </c>
      <c r="N51" t="s">
        <v>292</v>
      </c>
      <c r="O51" t="s">
        <v>283</v>
      </c>
      <c r="P51" t="s">
        <v>580</v>
      </c>
      <c r="Q51" t="s">
        <v>585</v>
      </c>
      <c r="R51" t="s">
        <v>581</v>
      </c>
      <c r="S51" t="s">
        <v>584</v>
      </c>
      <c r="T51" t="s">
        <v>582</v>
      </c>
      <c r="U51" t="s">
        <v>583</v>
      </c>
      <c r="V51" t="s">
        <v>339</v>
      </c>
      <c r="W51" t="s">
        <v>297</v>
      </c>
      <c r="X51" t="s">
        <v>302</v>
      </c>
      <c r="Y51" t="s">
        <v>303</v>
      </c>
    </row>
    <row r="52" spans="1:25" x14ac:dyDescent="0.2">
      <c r="A52" t="s">
        <v>279</v>
      </c>
      <c r="B52">
        <v>55</v>
      </c>
      <c r="C52">
        <v>50</v>
      </c>
      <c r="D52">
        <v>1.4</v>
      </c>
      <c r="E52">
        <v>100</v>
      </c>
      <c r="F52">
        <v>1</v>
      </c>
      <c r="G52">
        <v>200</v>
      </c>
      <c r="H52">
        <v>0</v>
      </c>
      <c r="I52">
        <v>1</v>
      </c>
      <c r="J52">
        <v>22</v>
      </c>
      <c r="K52">
        <v>0.5</v>
      </c>
      <c r="L52">
        <v>2</v>
      </c>
      <c r="N52" t="s">
        <v>279</v>
      </c>
      <c r="O52">
        <v>35</v>
      </c>
      <c r="P52">
        <v>46</v>
      </c>
      <c r="Q52">
        <v>1</v>
      </c>
      <c r="R52">
        <f t="shared" ref="R52:R65" si="6">P52+P52*2</f>
        <v>138</v>
      </c>
      <c r="S52">
        <v>0.5</v>
      </c>
      <c r="T52">
        <f>R52</f>
        <v>138</v>
      </c>
      <c r="U52">
        <v>0</v>
      </c>
      <c r="V52">
        <v>1</v>
      </c>
      <c r="W52">
        <v>24</v>
      </c>
      <c r="X52">
        <v>2.25</v>
      </c>
      <c r="Y52">
        <v>10.25</v>
      </c>
    </row>
    <row r="53" spans="1:25" x14ac:dyDescent="0.2">
      <c r="A53" t="s">
        <v>280</v>
      </c>
      <c r="B53">
        <v>160</v>
      </c>
      <c r="C53">
        <v>50</v>
      </c>
      <c r="D53">
        <v>2.4</v>
      </c>
      <c r="E53">
        <v>100</v>
      </c>
      <c r="F53">
        <v>1.7</v>
      </c>
      <c r="G53">
        <v>200</v>
      </c>
      <c r="H53">
        <v>1</v>
      </c>
      <c r="I53">
        <v>1</v>
      </c>
      <c r="J53">
        <v>60</v>
      </c>
      <c r="K53">
        <v>1.5</v>
      </c>
      <c r="L53">
        <v>6</v>
      </c>
      <c r="N53" t="s">
        <v>280</v>
      </c>
      <c r="O53">
        <v>133</v>
      </c>
      <c r="P53">
        <v>100</v>
      </c>
      <c r="Q53">
        <v>1</v>
      </c>
      <c r="R53">
        <f t="shared" si="6"/>
        <v>300</v>
      </c>
      <c r="S53">
        <v>0.5</v>
      </c>
      <c r="T53">
        <f t="shared" ref="T53:T65" si="7">R53</f>
        <v>300</v>
      </c>
      <c r="U53">
        <v>0</v>
      </c>
      <c r="V53">
        <v>1</v>
      </c>
      <c r="W53">
        <v>68</v>
      </c>
      <c r="X53">
        <v>4.25</v>
      </c>
      <c r="Y53">
        <v>18.5</v>
      </c>
    </row>
    <row r="54" spans="1:25" x14ac:dyDescent="0.2">
      <c r="A54" t="s">
        <v>281</v>
      </c>
      <c r="B54">
        <v>290</v>
      </c>
      <c r="C54">
        <v>50</v>
      </c>
      <c r="D54">
        <v>3.1</v>
      </c>
      <c r="E54">
        <v>100</v>
      </c>
      <c r="F54">
        <v>2.7</v>
      </c>
      <c r="G54">
        <v>200</v>
      </c>
      <c r="H54">
        <v>1.85</v>
      </c>
      <c r="I54">
        <v>1</v>
      </c>
      <c r="J54">
        <v>101</v>
      </c>
      <c r="K54">
        <v>3</v>
      </c>
      <c r="L54">
        <v>15</v>
      </c>
      <c r="N54" t="s">
        <v>281</v>
      </c>
      <c r="O54">
        <v>295</v>
      </c>
      <c r="P54">
        <v>100</v>
      </c>
      <c r="Q54">
        <v>1.5</v>
      </c>
      <c r="R54">
        <f t="shared" si="6"/>
        <v>300</v>
      </c>
      <c r="S54">
        <v>0.75</v>
      </c>
      <c r="T54">
        <f t="shared" si="7"/>
        <v>300</v>
      </c>
      <c r="U54">
        <v>0</v>
      </c>
      <c r="V54">
        <v>1</v>
      </c>
      <c r="W54">
        <v>113</v>
      </c>
      <c r="X54">
        <v>6</v>
      </c>
      <c r="Y54">
        <v>26.5</v>
      </c>
    </row>
    <row r="55" spans="1:25" x14ac:dyDescent="0.2">
      <c r="A55" t="s">
        <v>282</v>
      </c>
      <c r="B55">
        <v>520</v>
      </c>
      <c r="C55">
        <v>50</v>
      </c>
      <c r="D55">
        <v>4.2</v>
      </c>
      <c r="E55">
        <v>100</v>
      </c>
      <c r="F55">
        <v>3.7</v>
      </c>
      <c r="G55">
        <v>200</v>
      </c>
      <c r="H55">
        <v>2.85</v>
      </c>
      <c r="I55">
        <v>1</v>
      </c>
      <c r="J55">
        <v>169</v>
      </c>
      <c r="K55">
        <v>6</v>
      </c>
      <c r="L55">
        <v>30</v>
      </c>
      <c r="N55" t="s">
        <v>282</v>
      </c>
      <c r="O55">
        <v>472</v>
      </c>
      <c r="P55">
        <v>100</v>
      </c>
      <c r="Q55">
        <v>2</v>
      </c>
      <c r="R55">
        <f t="shared" si="6"/>
        <v>300</v>
      </c>
      <c r="S55">
        <v>1</v>
      </c>
      <c r="T55">
        <f t="shared" si="7"/>
        <v>300</v>
      </c>
      <c r="U55">
        <v>0</v>
      </c>
      <c r="V55">
        <v>1</v>
      </c>
      <c r="W55">
        <v>157</v>
      </c>
      <c r="X55">
        <v>8</v>
      </c>
      <c r="Y55">
        <v>34.75</v>
      </c>
    </row>
    <row r="56" spans="1:25" x14ac:dyDescent="0.2">
      <c r="A56" t="s">
        <v>283</v>
      </c>
      <c r="B56">
        <v>800</v>
      </c>
      <c r="C56">
        <v>50</v>
      </c>
      <c r="D56">
        <v>4.8</v>
      </c>
      <c r="E56">
        <v>100</v>
      </c>
      <c r="F56">
        <v>4.24</v>
      </c>
      <c r="G56">
        <v>200</v>
      </c>
      <c r="H56">
        <v>3.85</v>
      </c>
      <c r="I56">
        <v>1</v>
      </c>
      <c r="J56">
        <v>240</v>
      </c>
      <c r="K56">
        <v>10</v>
      </c>
      <c r="L56">
        <v>45</v>
      </c>
      <c r="N56" t="s">
        <v>283</v>
      </c>
      <c r="O56">
        <v>785</v>
      </c>
      <c r="P56">
        <v>100</v>
      </c>
      <c r="Q56">
        <v>2.2999000000000001</v>
      </c>
      <c r="R56">
        <f t="shared" si="6"/>
        <v>300</v>
      </c>
      <c r="S56">
        <v>1.1499999999999999</v>
      </c>
      <c r="T56">
        <f t="shared" si="7"/>
        <v>300</v>
      </c>
      <c r="U56">
        <v>0</v>
      </c>
      <c r="V56">
        <v>1</v>
      </c>
      <c r="W56">
        <v>270</v>
      </c>
      <c r="X56">
        <v>9.75</v>
      </c>
      <c r="Y56">
        <v>42.75</v>
      </c>
    </row>
    <row r="57" spans="1:25" x14ac:dyDescent="0.2">
      <c r="A57" t="s">
        <v>284</v>
      </c>
      <c r="B57">
        <v>120</v>
      </c>
      <c r="C57">
        <v>50</v>
      </c>
      <c r="D57">
        <v>2.4</v>
      </c>
      <c r="E57">
        <v>100</v>
      </c>
      <c r="F57">
        <v>1.7</v>
      </c>
      <c r="G57">
        <v>200</v>
      </c>
      <c r="H57">
        <v>1</v>
      </c>
      <c r="I57">
        <v>10</v>
      </c>
      <c r="J57">
        <v>57</v>
      </c>
      <c r="K57">
        <v>2</v>
      </c>
      <c r="L57">
        <v>5</v>
      </c>
      <c r="N57" t="s">
        <v>284</v>
      </c>
      <c r="O57">
        <v>120</v>
      </c>
      <c r="P57">
        <v>76</v>
      </c>
      <c r="Q57">
        <v>1</v>
      </c>
      <c r="R57">
        <f t="shared" si="6"/>
        <v>228</v>
      </c>
      <c r="S57">
        <v>0.5</v>
      </c>
      <c r="T57">
        <f t="shared" si="7"/>
        <v>228</v>
      </c>
      <c r="U57">
        <v>0</v>
      </c>
      <c r="V57">
        <v>10</v>
      </c>
      <c r="W57">
        <v>71</v>
      </c>
      <c r="X57">
        <v>3.5</v>
      </c>
      <c r="Y57">
        <v>15.25</v>
      </c>
    </row>
    <row r="58" spans="1:25" x14ac:dyDescent="0.2">
      <c r="A58" t="s">
        <v>285</v>
      </c>
      <c r="B58">
        <v>340</v>
      </c>
      <c r="C58">
        <v>50</v>
      </c>
      <c r="D58">
        <v>3.1</v>
      </c>
      <c r="E58">
        <v>100</v>
      </c>
      <c r="F58">
        <v>2.7</v>
      </c>
      <c r="G58">
        <v>200</v>
      </c>
      <c r="H58">
        <v>1.85</v>
      </c>
      <c r="I58">
        <v>10</v>
      </c>
      <c r="J58">
        <v>153</v>
      </c>
      <c r="K58">
        <v>4</v>
      </c>
      <c r="L58">
        <v>10</v>
      </c>
      <c r="N58" t="s">
        <v>285</v>
      </c>
      <c r="O58">
        <v>312</v>
      </c>
      <c r="P58">
        <v>99</v>
      </c>
      <c r="Q58">
        <v>1</v>
      </c>
      <c r="R58">
        <f t="shared" si="6"/>
        <v>297</v>
      </c>
      <c r="S58">
        <v>0.5</v>
      </c>
      <c r="T58">
        <f t="shared" si="7"/>
        <v>297</v>
      </c>
      <c r="U58">
        <v>0</v>
      </c>
      <c r="V58">
        <v>10</v>
      </c>
      <c r="W58">
        <v>158</v>
      </c>
      <c r="X58">
        <v>5.25</v>
      </c>
      <c r="Y58">
        <v>23.25</v>
      </c>
    </row>
    <row r="59" spans="1:25" x14ac:dyDescent="0.2">
      <c r="A59" t="s">
        <v>286</v>
      </c>
      <c r="B59">
        <v>620</v>
      </c>
      <c r="C59">
        <v>50</v>
      </c>
      <c r="D59">
        <v>4.2</v>
      </c>
      <c r="E59">
        <v>100</v>
      </c>
      <c r="F59">
        <v>3.7</v>
      </c>
      <c r="G59">
        <v>200</v>
      </c>
      <c r="H59">
        <v>2.85</v>
      </c>
      <c r="I59">
        <v>10</v>
      </c>
      <c r="J59">
        <v>263</v>
      </c>
      <c r="K59">
        <v>7</v>
      </c>
      <c r="L59">
        <v>25</v>
      </c>
      <c r="N59" t="s">
        <v>286</v>
      </c>
      <c r="O59">
        <v>589</v>
      </c>
      <c r="P59">
        <v>99</v>
      </c>
      <c r="Q59">
        <v>1.5</v>
      </c>
      <c r="R59">
        <f t="shared" si="6"/>
        <v>297</v>
      </c>
      <c r="S59">
        <v>0.75</v>
      </c>
      <c r="T59">
        <f t="shared" si="7"/>
        <v>297</v>
      </c>
      <c r="U59">
        <v>0</v>
      </c>
      <c r="V59">
        <v>10</v>
      </c>
      <c r="W59">
        <v>277</v>
      </c>
      <c r="X59">
        <v>7.25</v>
      </c>
      <c r="Y59">
        <v>31.5</v>
      </c>
    </row>
    <row r="60" spans="1:25" x14ac:dyDescent="0.2">
      <c r="A60" t="s">
        <v>287</v>
      </c>
      <c r="B60">
        <v>900</v>
      </c>
      <c r="C60">
        <v>50</v>
      </c>
      <c r="D60">
        <v>4.8</v>
      </c>
      <c r="E60">
        <v>100</v>
      </c>
      <c r="F60">
        <v>4.25</v>
      </c>
      <c r="G60">
        <v>200</v>
      </c>
      <c r="H60">
        <v>3.85</v>
      </c>
      <c r="I60">
        <v>10</v>
      </c>
      <c r="J60">
        <v>358</v>
      </c>
      <c r="K60">
        <v>7</v>
      </c>
      <c r="L60">
        <v>45</v>
      </c>
      <c r="N60" t="s">
        <v>287</v>
      </c>
      <c r="O60">
        <v>902</v>
      </c>
      <c r="P60">
        <v>100</v>
      </c>
      <c r="Q60">
        <v>2.2799999999999998</v>
      </c>
      <c r="R60">
        <f t="shared" si="6"/>
        <v>300</v>
      </c>
      <c r="S60">
        <v>1.1499999999999999</v>
      </c>
      <c r="T60">
        <f t="shared" si="7"/>
        <v>300</v>
      </c>
      <c r="U60">
        <v>0</v>
      </c>
      <c r="V60">
        <v>10</v>
      </c>
      <c r="W60">
        <v>364</v>
      </c>
      <c r="X60">
        <v>7.75</v>
      </c>
      <c r="Y60">
        <v>48.75</v>
      </c>
    </row>
    <row r="61" spans="1:25" x14ac:dyDescent="0.2">
      <c r="A61" t="s">
        <v>617</v>
      </c>
      <c r="B61">
        <v>0</v>
      </c>
      <c r="C61">
        <v>75</v>
      </c>
      <c r="D61">
        <v>1.1000000000000001</v>
      </c>
      <c r="E61">
        <v>85</v>
      </c>
      <c r="F61">
        <v>0.75</v>
      </c>
      <c r="G61">
        <v>200</v>
      </c>
      <c r="H61">
        <v>0.5</v>
      </c>
      <c r="I61">
        <v>1</v>
      </c>
      <c r="J61">
        <v>26</v>
      </c>
      <c r="K61">
        <v>3.75</v>
      </c>
      <c r="L61">
        <v>45</v>
      </c>
      <c r="N61" t="s">
        <v>617</v>
      </c>
      <c r="O61">
        <v>25</v>
      </c>
      <c r="P61">
        <v>75</v>
      </c>
      <c r="Q61">
        <v>1</v>
      </c>
      <c r="R61">
        <v>100</v>
      </c>
      <c r="S61">
        <v>0.75</v>
      </c>
      <c r="T61">
        <v>200</v>
      </c>
      <c r="U61">
        <v>0.5</v>
      </c>
      <c r="V61">
        <v>1</v>
      </c>
      <c r="W61">
        <v>26</v>
      </c>
      <c r="X61">
        <v>3.75</v>
      </c>
      <c r="Y61">
        <v>45</v>
      </c>
    </row>
    <row r="62" spans="1:25" x14ac:dyDescent="0.2">
      <c r="A62" t="s">
        <v>289</v>
      </c>
      <c r="B62">
        <v>240</v>
      </c>
      <c r="C62">
        <v>50</v>
      </c>
      <c r="D62">
        <v>2.4</v>
      </c>
      <c r="E62">
        <v>100</v>
      </c>
      <c r="F62">
        <v>1.7</v>
      </c>
      <c r="G62">
        <v>200</v>
      </c>
      <c r="H62">
        <v>1</v>
      </c>
      <c r="I62">
        <v>10</v>
      </c>
      <c r="J62">
        <v>97</v>
      </c>
      <c r="K62">
        <v>1.5</v>
      </c>
      <c r="L62">
        <v>5</v>
      </c>
      <c r="N62" t="s">
        <v>289</v>
      </c>
      <c r="O62">
        <v>216</v>
      </c>
      <c r="P62">
        <v>100</v>
      </c>
      <c r="Q62">
        <v>1</v>
      </c>
      <c r="R62">
        <f t="shared" si="6"/>
        <v>300</v>
      </c>
      <c r="S62">
        <v>0.75</v>
      </c>
      <c r="T62">
        <f t="shared" si="7"/>
        <v>300</v>
      </c>
      <c r="U62">
        <v>0</v>
      </c>
      <c r="V62">
        <v>10</v>
      </c>
      <c r="W62">
        <v>115</v>
      </c>
      <c r="X62">
        <v>4.25</v>
      </c>
      <c r="Y62">
        <v>19.5</v>
      </c>
    </row>
    <row r="63" spans="1:25" x14ac:dyDescent="0.2">
      <c r="A63" t="s">
        <v>298</v>
      </c>
      <c r="B63">
        <v>470</v>
      </c>
      <c r="C63">
        <v>50</v>
      </c>
      <c r="D63">
        <v>3.1</v>
      </c>
      <c r="E63">
        <v>100</v>
      </c>
      <c r="F63">
        <v>2.7</v>
      </c>
      <c r="G63">
        <v>200</v>
      </c>
      <c r="H63">
        <v>1.85</v>
      </c>
      <c r="I63">
        <v>10</v>
      </c>
      <c r="J63">
        <v>213</v>
      </c>
      <c r="K63">
        <v>3</v>
      </c>
      <c r="L63">
        <v>15</v>
      </c>
      <c r="N63" t="s">
        <v>298</v>
      </c>
      <c r="O63">
        <v>450</v>
      </c>
      <c r="P63">
        <v>100</v>
      </c>
      <c r="Q63">
        <v>1.5</v>
      </c>
      <c r="R63">
        <f t="shared" si="6"/>
        <v>300</v>
      </c>
      <c r="S63">
        <v>0.75</v>
      </c>
      <c r="T63">
        <f t="shared" si="7"/>
        <v>300</v>
      </c>
      <c r="U63">
        <v>0</v>
      </c>
      <c r="V63">
        <v>10</v>
      </c>
      <c r="W63">
        <v>218</v>
      </c>
      <c r="X63">
        <v>6.25</v>
      </c>
      <c r="Y63">
        <v>27.5</v>
      </c>
    </row>
    <row r="64" spans="1:25" x14ac:dyDescent="0.2">
      <c r="A64" t="s">
        <v>288</v>
      </c>
      <c r="B64">
        <v>700</v>
      </c>
      <c r="C64">
        <v>50</v>
      </c>
      <c r="D64">
        <v>2</v>
      </c>
      <c r="E64">
        <v>100</v>
      </c>
      <c r="F64">
        <v>2</v>
      </c>
      <c r="G64">
        <v>200</v>
      </c>
      <c r="H64">
        <v>2</v>
      </c>
      <c r="I64">
        <v>1</v>
      </c>
      <c r="J64">
        <v>315</v>
      </c>
      <c r="K64">
        <v>12</v>
      </c>
      <c r="L64">
        <v>60</v>
      </c>
      <c r="N64" t="s">
        <v>288</v>
      </c>
      <c r="O64">
        <v>657</v>
      </c>
      <c r="P64">
        <v>150</v>
      </c>
      <c r="Q64">
        <v>2</v>
      </c>
      <c r="R64">
        <f t="shared" si="6"/>
        <v>450</v>
      </c>
      <c r="S64">
        <v>1</v>
      </c>
      <c r="T64">
        <f t="shared" si="7"/>
        <v>450</v>
      </c>
      <c r="U64">
        <v>0</v>
      </c>
      <c r="V64">
        <v>1</v>
      </c>
      <c r="W64">
        <v>315</v>
      </c>
      <c r="X64">
        <v>19</v>
      </c>
      <c r="Y64">
        <v>44.5</v>
      </c>
    </row>
    <row r="65" spans="1:25" x14ac:dyDescent="0.2">
      <c r="A65" t="s">
        <v>299</v>
      </c>
      <c r="B65">
        <v>800</v>
      </c>
      <c r="C65">
        <v>50</v>
      </c>
      <c r="D65">
        <v>2</v>
      </c>
      <c r="E65">
        <v>100</v>
      </c>
      <c r="F65">
        <v>2</v>
      </c>
      <c r="G65">
        <v>200</v>
      </c>
      <c r="H65">
        <v>2</v>
      </c>
      <c r="I65">
        <v>1</v>
      </c>
      <c r="J65">
        <v>280</v>
      </c>
      <c r="K65">
        <v>10</v>
      </c>
      <c r="L65">
        <v>60</v>
      </c>
      <c r="N65" t="s">
        <v>299</v>
      </c>
      <c r="O65">
        <v>710</v>
      </c>
      <c r="P65">
        <v>150</v>
      </c>
      <c r="Q65">
        <v>2</v>
      </c>
      <c r="R65">
        <f t="shared" si="6"/>
        <v>450</v>
      </c>
      <c r="S65">
        <v>1</v>
      </c>
      <c r="T65">
        <f t="shared" si="7"/>
        <v>450</v>
      </c>
      <c r="U65">
        <v>0</v>
      </c>
      <c r="V65">
        <v>1</v>
      </c>
      <c r="W65">
        <v>280</v>
      </c>
      <c r="X65">
        <v>10</v>
      </c>
      <c r="Y65">
        <v>90</v>
      </c>
    </row>
    <row r="67" spans="1:25" x14ac:dyDescent="0.2">
      <c r="A67" t="s">
        <v>293</v>
      </c>
      <c r="B67" t="s">
        <v>283</v>
      </c>
      <c r="C67" t="s">
        <v>580</v>
      </c>
      <c r="D67" t="s">
        <v>300</v>
      </c>
      <c r="E67" t="s">
        <v>581</v>
      </c>
      <c r="F67" t="s">
        <v>301</v>
      </c>
      <c r="G67" t="s">
        <v>582</v>
      </c>
      <c r="H67" t="s">
        <v>583</v>
      </c>
      <c r="I67" t="s">
        <v>339</v>
      </c>
      <c r="J67" t="s">
        <v>297</v>
      </c>
      <c r="K67" t="s">
        <v>302</v>
      </c>
      <c r="L67" t="s">
        <v>303</v>
      </c>
      <c r="N67" t="s">
        <v>293</v>
      </c>
      <c r="O67" t="s">
        <v>283</v>
      </c>
      <c r="P67" t="s">
        <v>580</v>
      </c>
      <c r="Q67" t="s">
        <v>585</v>
      </c>
      <c r="R67" t="s">
        <v>581</v>
      </c>
      <c r="S67" t="s">
        <v>584</v>
      </c>
      <c r="T67" t="s">
        <v>582</v>
      </c>
      <c r="U67" t="s">
        <v>583</v>
      </c>
      <c r="V67" t="s">
        <v>339</v>
      </c>
      <c r="W67" t="s">
        <v>297</v>
      </c>
      <c r="X67" t="s">
        <v>302</v>
      </c>
      <c r="Y67" t="s">
        <v>303</v>
      </c>
    </row>
    <row r="68" spans="1:25" x14ac:dyDescent="0.2">
      <c r="A68" t="s">
        <v>279</v>
      </c>
      <c r="B68">
        <v>70</v>
      </c>
      <c r="C68">
        <v>50</v>
      </c>
      <c r="D68">
        <v>1.2</v>
      </c>
      <c r="E68">
        <v>100</v>
      </c>
      <c r="F68">
        <v>1</v>
      </c>
      <c r="G68">
        <v>200</v>
      </c>
      <c r="H68">
        <v>0</v>
      </c>
      <c r="I68">
        <v>1</v>
      </c>
      <c r="J68">
        <v>28</v>
      </c>
      <c r="K68">
        <v>0.5</v>
      </c>
      <c r="L68">
        <v>2</v>
      </c>
      <c r="N68" t="s">
        <v>279</v>
      </c>
      <c r="O68">
        <v>46</v>
      </c>
      <c r="P68">
        <v>60</v>
      </c>
      <c r="Q68">
        <v>1</v>
      </c>
      <c r="R68">
        <f t="shared" ref="R68:R81" si="8">P68+P68*2</f>
        <v>180</v>
      </c>
      <c r="S68">
        <v>0.5</v>
      </c>
      <c r="T68">
        <f>R68</f>
        <v>180</v>
      </c>
      <c r="U68">
        <v>0</v>
      </c>
      <c r="V68">
        <v>1</v>
      </c>
      <c r="W68">
        <v>30</v>
      </c>
      <c r="X68">
        <v>2.5</v>
      </c>
      <c r="Y68">
        <v>11.5</v>
      </c>
    </row>
    <row r="69" spans="1:25" x14ac:dyDescent="0.2">
      <c r="A69" t="s">
        <v>280</v>
      </c>
      <c r="B69">
        <v>180</v>
      </c>
      <c r="C69">
        <v>50</v>
      </c>
      <c r="D69">
        <v>2.2000000000000002</v>
      </c>
      <c r="E69">
        <v>100</v>
      </c>
      <c r="F69">
        <v>1.6</v>
      </c>
      <c r="G69">
        <v>200</v>
      </c>
      <c r="H69">
        <v>1</v>
      </c>
      <c r="I69">
        <v>1</v>
      </c>
      <c r="J69">
        <v>68</v>
      </c>
      <c r="K69">
        <v>1.5</v>
      </c>
      <c r="L69">
        <v>6</v>
      </c>
      <c r="N69" t="s">
        <v>280</v>
      </c>
      <c r="O69">
        <v>155</v>
      </c>
      <c r="P69">
        <v>100</v>
      </c>
      <c r="Q69">
        <v>1</v>
      </c>
      <c r="R69">
        <f t="shared" si="8"/>
        <v>300</v>
      </c>
      <c r="S69">
        <v>0.5</v>
      </c>
      <c r="T69">
        <f t="shared" ref="T69:T81" si="9">R69</f>
        <v>300</v>
      </c>
      <c r="U69">
        <v>0</v>
      </c>
      <c r="V69">
        <v>1</v>
      </c>
      <c r="W69">
        <v>77</v>
      </c>
      <c r="X69">
        <v>4.5</v>
      </c>
      <c r="Y69">
        <v>19.75</v>
      </c>
    </row>
    <row r="70" spans="1:25" x14ac:dyDescent="0.2">
      <c r="A70" t="s">
        <v>281</v>
      </c>
      <c r="B70">
        <v>320</v>
      </c>
      <c r="C70">
        <v>50</v>
      </c>
      <c r="D70">
        <v>2.8</v>
      </c>
      <c r="E70">
        <v>100</v>
      </c>
      <c r="F70">
        <v>2.6</v>
      </c>
      <c r="G70">
        <v>200</v>
      </c>
      <c r="H70">
        <v>1.8</v>
      </c>
      <c r="I70">
        <v>1</v>
      </c>
      <c r="J70">
        <v>115</v>
      </c>
      <c r="K70">
        <v>3</v>
      </c>
      <c r="L70">
        <v>15</v>
      </c>
      <c r="N70" t="s">
        <v>281</v>
      </c>
      <c r="O70">
        <v>320</v>
      </c>
      <c r="P70">
        <v>100</v>
      </c>
      <c r="Q70">
        <v>1.5</v>
      </c>
      <c r="R70">
        <f t="shared" si="8"/>
        <v>300</v>
      </c>
      <c r="S70">
        <v>0.75</v>
      </c>
      <c r="T70">
        <f t="shared" si="9"/>
        <v>300</v>
      </c>
      <c r="U70">
        <v>0</v>
      </c>
      <c r="V70">
        <v>1</v>
      </c>
      <c r="W70">
        <v>120</v>
      </c>
      <c r="X70">
        <v>6.25</v>
      </c>
      <c r="Y70">
        <v>27.75</v>
      </c>
    </row>
    <row r="71" spans="1:25" x14ac:dyDescent="0.2">
      <c r="A71" t="s">
        <v>282</v>
      </c>
      <c r="B71">
        <v>560</v>
      </c>
      <c r="C71">
        <v>50</v>
      </c>
      <c r="D71">
        <v>3.9</v>
      </c>
      <c r="E71">
        <v>100</v>
      </c>
      <c r="F71">
        <v>3.6</v>
      </c>
      <c r="G71">
        <v>200</v>
      </c>
      <c r="H71">
        <v>2.8</v>
      </c>
      <c r="I71">
        <v>1</v>
      </c>
      <c r="J71">
        <v>190</v>
      </c>
      <c r="K71">
        <v>6</v>
      </c>
      <c r="L71">
        <v>30</v>
      </c>
      <c r="N71" t="s">
        <v>282</v>
      </c>
      <c r="O71">
        <v>506</v>
      </c>
      <c r="P71">
        <v>100</v>
      </c>
      <c r="Q71">
        <v>2</v>
      </c>
      <c r="R71">
        <f t="shared" si="8"/>
        <v>300</v>
      </c>
      <c r="S71">
        <v>1</v>
      </c>
      <c r="T71">
        <f t="shared" si="9"/>
        <v>300</v>
      </c>
      <c r="U71">
        <v>0</v>
      </c>
      <c r="V71">
        <v>1</v>
      </c>
      <c r="W71">
        <v>164</v>
      </c>
      <c r="X71">
        <v>8.25</v>
      </c>
      <c r="Y71">
        <v>36</v>
      </c>
    </row>
    <row r="72" spans="1:25" x14ac:dyDescent="0.2">
      <c r="A72" t="s">
        <v>283</v>
      </c>
      <c r="B72">
        <v>850</v>
      </c>
      <c r="C72">
        <v>50</v>
      </c>
      <c r="D72">
        <v>4.4000000000000004</v>
      </c>
      <c r="E72">
        <v>100</v>
      </c>
      <c r="F72">
        <v>4</v>
      </c>
      <c r="G72">
        <v>200</v>
      </c>
      <c r="H72">
        <v>3.8</v>
      </c>
      <c r="I72">
        <v>1</v>
      </c>
      <c r="J72">
        <v>272</v>
      </c>
      <c r="K72">
        <v>10</v>
      </c>
      <c r="L72">
        <v>45</v>
      </c>
      <c r="N72" t="s">
        <v>283</v>
      </c>
      <c r="O72">
        <v>829</v>
      </c>
      <c r="P72">
        <v>100</v>
      </c>
      <c r="Q72">
        <v>2.2999000000000001</v>
      </c>
      <c r="R72">
        <f t="shared" si="8"/>
        <v>300</v>
      </c>
      <c r="S72">
        <v>1.1499999999999999</v>
      </c>
      <c r="T72">
        <f t="shared" si="9"/>
        <v>300</v>
      </c>
      <c r="U72">
        <v>0</v>
      </c>
      <c r="V72">
        <v>1</v>
      </c>
      <c r="W72">
        <v>282</v>
      </c>
      <c r="X72">
        <v>10</v>
      </c>
      <c r="Y72">
        <v>44</v>
      </c>
    </row>
    <row r="73" spans="1:25" x14ac:dyDescent="0.2">
      <c r="A73" t="s">
        <v>284</v>
      </c>
      <c r="B73">
        <v>160</v>
      </c>
      <c r="C73">
        <v>50</v>
      </c>
      <c r="D73">
        <v>2.2000000000000002</v>
      </c>
      <c r="E73">
        <v>100</v>
      </c>
      <c r="F73">
        <v>1.6</v>
      </c>
      <c r="G73">
        <v>200</v>
      </c>
      <c r="H73">
        <v>1</v>
      </c>
      <c r="I73">
        <v>10</v>
      </c>
      <c r="J73">
        <v>80</v>
      </c>
      <c r="K73">
        <v>2</v>
      </c>
      <c r="L73">
        <v>5</v>
      </c>
      <c r="N73" t="s">
        <v>284</v>
      </c>
      <c r="O73">
        <v>145</v>
      </c>
      <c r="P73">
        <v>92</v>
      </c>
      <c r="Q73">
        <v>1</v>
      </c>
      <c r="R73">
        <f t="shared" si="8"/>
        <v>276</v>
      </c>
      <c r="S73">
        <v>0.5</v>
      </c>
      <c r="T73">
        <f t="shared" si="9"/>
        <v>276</v>
      </c>
      <c r="U73">
        <v>0</v>
      </c>
      <c r="V73">
        <v>10</v>
      </c>
      <c r="W73">
        <v>82</v>
      </c>
      <c r="X73">
        <v>3.75</v>
      </c>
      <c r="Y73">
        <v>16.5</v>
      </c>
    </row>
    <row r="74" spans="1:25" x14ac:dyDescent="0.2">
      <c r="A74" t="s">
        <v>285</v>
      </c>
      <c r="B74">
        <v>370</v>
      </c>
      <c r="C74">
        <v>50</v>
      </c>
      <c r="D74">
        <v>2.8</v>
      </c>
      <c r="E74">
        <v>100</v>
      </c>
      <c r="F74">
        <v>2.6</v>
      </c>
      <c r="G74">
        <v>200</v>
      </c>
      <c r="H74">
        <v>1.8</v>
      </c>
      <c r="I74">
        <v>10</v>
      </c>
      <c r="J74">
        <v>175</v>
      </c>
      <c r="K74">
        <v>4</v>
      </c>
      <c r="L74">
        <v>10</v>
      </c>
      <c r="N74" t="s">
        <v>285</v>
      </c>
      <c r="O74">
        <v>350</v>
      </c>
      <c r="P74">
        <v>100</v>
      </c>
      <c r="Q74">
        <v>1</v>
      </c>
      <c r="R74">
        <f t="shared" si="8"/>
        <v>300</v>
      </c>
      <c r="S74">
        <v>0.5</v>
      </c>
      <c r="T74">
        <f t="shared" si="9"/>
        <v>300</v>
      </c>
      <c r="U74">
        <v>0</v>
      </c>
      <c r="V74">
        <v>10</v>
      </c>
      <c r="W74">
        <v>175</v>
      </c>
      <c r="X74">
        <v>5.5</v>
      </c>
      <c r="Y74">
        <v>24.5</v>
      </c>
    </row>
    <row r="75" spans="1:25" x14ac:dyDescent="0.2">
      <c r="A75" t="s">
        <v>286</v>
      </c>
      <c r="B75">
        <v>660</v>
      </c>
      <c r="C75">
        <v>50</v>
      </c>
      <c r="D75">
        <v>3.9</v>
      </c>
      <c r="E75">
        <v>100</v>
      </c>
      <c r="F75">
        <v>3.6</v>
      </c>
      <c r="G75">
        <v>200</v>
      </c>
      <c r="H75">
        <v>2.8</v>
      </c>
      <c r="I75">
        <v>10</v>
      </c>
      <c r="J75">
        <v>297</v>
      </c>
      <c r="K75">
        <v>7</v>
      </c>
      <c r="L75">
        <v>25</v>
      </c>
      <c r="N75" t="s">
        <v>286</v>
      </c>
      <c r="O75">
        <v>642</v>
      </c>
      <c r="P75">
        <v>99</v>
      </c>
      <c r="Q75">
        <v>1.5</v>
      </c>
      <c r="R75">
        <f t="shared" si="8"/>
        <v>297</v>
      </c>
      <c r="S75">
        <v>0.75</v>
      </c>
      <c r="T75">
        <f t="shared" si="9"/>
        <v>297</v>
      </c>
      <c r="U75">
        <v>0</v>
      </c>
      <c r="V75">
        <v>10</v>
      </c>
      <c r="W75">
        <v>299</v>
      </c>
      <c r="X75">
        <v>7.5</v>
      </c>
      <c r="Y75">
        <v>32.75</v>
      </c>
    </row>
    <row r="76" spans="1:25" x14ac:dyDescent="0.2">
      <c r="A76" t="s">
        <v>287</v>
      </c>
      <c r="B76">
        <v>950</v>
      </c>
      <c r="C76">
        <v>50</v>
      </c>
      <c r="D76">
        <v>4.4000000000000004</v>
      </c>
      <c r="E76">
        <v>100</v>
      </c>
      <c r="F76">
        <v>4</v>
      </c>
      <c r="G76">
        <v>200</v>
      </c>
      <c r="H76">
        <v>3.8</v>
      </c>
      <c r="I76">
        <v>10</v>
      </c>
      <c r="J76">
        <v>378</v>
      </c>
      <c r="K76">
        <v>7</v>
      </c>
      <c r="L76">
        <v>45</v>
      </c>
      <c r="N76" t="s">
        <v>287</v>
      </c>
      <c r="O76">
        <v>953</v>
      </c>
      <c r="P76">
        <v>100</v>
      </c>
      <c r="Q76">
        <v>2.2799999999999998</v>
      </c>
      <c r="R76">
        <f t="shared" si="8"/>
        <v>300</v>
      </c>
      <c r="S76">
        <v>1.1499999999999999</v>
      </c>
      <c r="T76">
        <f t="shared" si="9"/>
        <v>300</v>
      </c>
      <c r="U76">
        <v>0</v>
      </c>
      <c r="V76">
        <v>10</v>
      </c>
      <c r="W76">
        <v>380</v>
      </c>
      <c r="X76">
        <v>8</v>
      </c>
      <c r="Y76">
        <v>50</v>
      </c>
    </row>
    <row r="77" spans="1:25" x14ac:dyDescent="0.2">
      <c r="A77" t="s">
        <v>617</v>
      </c>
      <c r="B77">
        <v>0</v>
      </c>
      <c r="C77">
        <v>75</v>
      </c>
      <c r="D77">
        <v>1.1000000000000001</v>
      </c>
      <c r="E77">
        <v>85</v>
      </c>
      <c r="F77">
        <v>0.75</v>
      </c>
      <c r="G77">
        <v>200</v>
      </c>
      <c r="H77">
        <v>0.5</v>
      </c>
      <c r="I77">
        <v>1</v>
      </c>
      <c r="J77">
        <v>26</v>
      </c>
      <c r="K77">
        <v>3.75</v>
      </c>
      <c r="L77">
        <v>45</v>
      </c>
      <c r="N77" t="s">
        <v>617</v>
      </c>
      <c r="O77">
        <v>25</v>
      </c>
      <c r="P77">
        <v>75</v>
      </c>
      <c r="Q77">
        <v>1</v>
      </c>
      <c r="R77">
        <v>100</v>
      </c>
      <c r="S77">
        <v>0.75</v>
      </c>
      <c r="T77">
        <v>200</v>
      </c>
      <c r="U77">
        <v>0.5</v>
      </c>
      <c r="V77">
        <v>1</v>
      </c>
      <c r="W77">
        <v>26</v>
      </c>
      <c r="X77">
        <v>3.75</v>
      </c>
      <c r="Y77">
        <v>45</v>
      </c>
    </row>
    <row r="78" spans="1:25" x14ac:dyDescent="0.2">
      <c r="A78" t="s">
        <v>289</v>
      </c>
      <c r="B78">
        <v>270</v>
      </c>
      <c r="C78">
        <v>50</v>
      </c>
      <c r="D78">
        <v>2.2000000000000002</v>
      </c>
      <c r="E78">
        <v>100</v>
      </c>
      <c r="F78">
        <v>1.6</v>
      </c>
      <c r="G78">
        <v>200</v>
      </c>
      <c r="H78">
        <v>1</v>
      </c>
      <c r="I78">
        <v>10</v>
      </c>
      <c r="J78">
        <v>111</v>
      </c>
      <c r="K78">
        <v>1.5</v>
      </c>
      <c r="L78">
        <v>5</v>
      </c>
      <c r="N78" t="s">
        <v>289</v>
      </c>
      <c r="O78">
        <v>247</v>
      </c>
      <c r="P78">
        <v>100</v>
      </c>
      <c r="Q78">
        <v>1</v>
      </c>
      <c r="R78">
        <f t="shared" si="8"/>
        <v>300</v>
      </c>
      <c r="S78">
        <v>0.75</v>
      </c>
      <c r="T78">
        <f t="shared" si="9"/>
        <v>300</v>
      </c>
      <c r="U78">
        <v>0</v>
      </c>
      <c r="V78">
        <v>10</v>
      </c>
      <c r="W78">
        <v>129</v>
      </c>
      <c r="X78">
        <v>4.5</v>
      </c>
      <c r="Y78">
        <v>21</v>
      </c>
    </row>
    <row r="79" spans="1:25" x14ac:dyDescent="0.2">
      <c r="A79" t="s">
        <v>298</v>
      </c>
      <c r="B79">
        <v>510</v>
      </c>
      <c r="C79">
        <v>50</v>
      </c>
      <c r="D79">
        <v>2.8</v>
      </c>
      <c r="E79">
        <v>100</v>
      </c>
      <c r="F79">
        <v>2.6</v>
      </c>
      <c r="G79">
        <v>200</v>
      </c>
      <c r="H79">
        <v>1.8</v>
      </c>
      <c r="I79">
        <v>10</v>
      </c>
      <c r="J79">
        <v>235</v>
      </c>
      <c r="K79">
        <v>3</v>
      </c>
      <c r="L79">
        <v>15</v>
      </c>
      <c r="N79" t="s">
        <v>298</v>
      </c>
      <c r="O79">
        <v>496</v>
      </c>
      <c r="P79">
        <v>100</v>
      </c>
      <c r="Q79">
        <v>1.5</v>
      </c>
      <c r="R79">
        <f t="shared" si="8"/>
        <v>300</v>
      </c>
      <c r="S79">
        <v>0.75</v>
      </c>
      <c r="T79">
        <f t="shared" si="9"/>
        <v>300</v>
      </c>
      <c r="U79">
        <v>0</v>
      </c>
      <c r="V79">
        <v>10</v>
      </c>
      <c r="W79">
        <v>237</v>
      </c>
      <c r="X79">
        <v>6.5</v>
      </c>
      <c r="Y79">
        <v>29</v>
      </c>
    </row>
    <row r="80" spans="1:25" x14ac:dyDescent="0.2">
      <c r="A80" t="s">
        <v>288</v>
      </c>
      <c r="B80">
        <v>700</v>
      </c>
      <c r="C80">
        <v>50</v>
      </c>
      <c r="D80">
        <v>2</v>
      </c>
      <c r="E80">
        <v>100</v>
      </c>
      <c r="F80">
        <v>2</v>
      </c>
      <c r="G80">
        <v>200</v>
      </c>
      <c r="H80">
        <v>2</v>
      </c>
      <c r="I80">
        <v>1</v>
      </c>
      <c r="J80">
        <v>315</v>
      </c>
      <c r="K80">
        <v>12</v>
      </c>
      <c r="L80">
        <v>60</v>
      </c>
      <c r="N80" t="s">
        <v>288</v>
      </c>
      <c r="O80">
        <v>526</v>
      </c>
      <c r="P80">
        <v>150</v>
      </c>
      <c r="Q80">
        <v>2</v>
      </c>
      <c r="R80">
        <f t="shared" si="8"/>
        <v>450</v>
      </c>
      <c r="S80">
        <v>1</v>
      </c>
      <c r="T80">
        <f t="shared" si="9"/>
        <v>450</v>
      </c>
      <c r="U80">
        <v>0</v>
      </c>
      <c r="V80">
        <v>1</v>
      </c>
      <c r="W80">
        <v>315</v>
      </c>
      <c r="X80">
        <v>17.75</v>
      </c>
      <c r="Y80">
        <v>41.5</v>
      </c>
    </row>
    <row r="81" spans="1:25" x14ac:dyDescent="0.2">
      <c r="A81" t="s">
        <v>299</v>
      </c>
      <c r="B81">
        <v>800</v>
      </c>
      <c r="C81">
        <v>50</v>
      </c>
      <c r="D81">
        <v>2</v>
      </c>
      <c r="E81">
        <v>100</v>
      </c>
      <c r="F81">
        <v>2</v>
      </c>
      <c r="G81">
        <v>200</v>
      </c>
      <c r="H81">
        <v>2</v>
      </c>
      <c r="I81">
        <v>1</v>
      </c>
      <c r="J81">
        <v>280</v>
      </c>
      <c r="K81">
        <v>10</v>
      </c>
      <c r="L81">
        <v>60</v>
      </c>
      <c r="N81" t="s">
        <v>299</v>
      </c>
      <c r="O81">
        <v>710</v>
      </c>
      <c r="P81">
        <v>150</v>
      </c>
      <c r="Q81">
        <v>2</v>
      </c>
      <c r="R81">
        <f t="shared" si="8"/>
        <v>450</v>
      </c>
      <c r="S81">
        <v>1</v>
      </c>
      <c r="T81">
        <f t="shared" si="9"/>
        <v>450</v>
      </c>
      <c r="U81">
        <v>0</v>
      </c>
      <c r="V81">
        <v>1</v>
      </c>
      <c r="W81">
        <v>280</v>
      </c>
      <c r="X81">
        <v>10</v>
      </c>
      <c r="Y81">
        <v>90</v>
      </c>
    </row>
    <row r="83" spans="1:25" x14ac:dyDescent="0.2">
      <c r="A83" t="s">
        <v>294</v>
      </c>
      <c r="B83" t="s">
        <v>283</v>
      </c>
      <c r="C83" t="s">
        <v>580</v>
      </c>
      <c r="D83" t="s">
        <v>300</v>
      </c>
      <c r="E83" t="s">
        <v>581</v>
      </c>
      <c r="F83" t="s">
        <v>301</v>
      </c>
      <c r="G83" t="s">
        <v>582</v>
      </c>
      <c r="H83" t="s">
        <v>583</v>
      </c>
      <c r="I83" t="s">
        <v>339</v>
      </c>
      <c r="J83" t="s">
        <v>297</v>
      </c>
      <c r="K83" t="s">
        <v>302</v>
      </c>
      <c r="L83" t="s">
        <v>303</v>
      </c>
      <c r="N83" t="s">
        <v>294</v>
      </c>
      <c r="O83" t="s">
        <v>283</v>
      </c>
      <c r="P83" t="s">
        <v>580</v>
      </c>
      <c r="Q83" t="s">
        <v>585</v>
      </c>
      <c r="R83" t="s">
        <v>581</v>
      </c>
      <c r="S83" t="s">
        <v>584</v>
      </c>
      <c r="T83" t="s">
        <v>582</v>
      </c>
      <c r="U83" t="s">
        <v>583</v>
      </c>
      <c r="V83" t="s">
        <v>339</v>
      </c>
      <c r="W83" t="s">
        <v>297</v>
      </c>
      <c r="X83" t="s">
        <v>302</v>
      </c>
      <c r="Y83" t="s">
        <v>303</v>
      </c>
    </row>
    <row r="84" spans="1:25" x14ac:dyDescent="0.2">
      <c r="A84" t="s">
        <v>279</v>
      </c>
      <c r="B84">
        <v>85</v>
      </c>
      <c r="C84">
        <v>50</v>
      </c>
      <c r="D84">
        <v>1</v>
      </c>
      <c r="E84">
        <v>100</v>
      </c>
      <c r="F84">
        <v>1</v>
      </c>
      <c r="G84">
        <v>200</v>
      </c>
      <c r="H84">
        <v>0</v>
      </c>
      <c r="I84">
        <v>1</v>
      </c>
      <c r="J84">
        <v>34</v>
      </c>
      <c r="K84">
        <v>0.5</v>
      </c>
      <c r="L84">
        <v>2</v>
      </c>
      <c r="N84" t="s">
        <v>279</v>
      </c>
      <c r="O84">
        <v>60</v>
      </c>
      <c r="P84">
        <v>78</v>
      </c>
      <c r="Q84">
        <v>1</v>
      </c>
      <c r="R84">
        <f t="shared" ref="R84:R97" si="10">P84+P84*2</f>
        <v>234</v>
      </c>
      <c r="S84">
        <v>0.5</v>
      </c>
      <c r="T84">
        <f>R84</f>
        <v>234</v>
      </c>
      <c r="U84">
        <v>0</v>
      </c>
      <c r="V84">
        <v>1</v>
      </c>
      <c r="W84">
        <v>37</v>
      </c>
      <c r="X84">
        <v>3</v>
      </c>
      <c r="Y84">
        <v>13</v>
      </c>
    </row>
    <row r="85" spans="1:25" x14ac:dyDescent="0.2">
      <c r="A85" t="s">
        <v>280</v>
      </c>
      <c r="B85">
        <v>200</v>
      </c>
      <c r="C85">
        <v>50</v>
      </c>
      <c r="D85">
        <v>2</v>
      </c>
      <c r="E85">
        <v>100</v>
      </c>
      <c r="F85">
        <v>1.5</v>
      </c>
      <c r="G85">
        <v>200</v>
      </c>
      <c r="H85">
        <v>1</v>
      </c>
      <c r="I85">
        <v>1</v>
      </c>
      <c r="J85">
        <v>77</v>
      </c>
      <c r="K85">
        <v>1.5</v>
      </c>
      <c r="L85">
        <v>6</v>
      </c>
      <c r="N85" t="s">
        <v>280</v>
      </c>
      <c r="O85">
        <v>178</v>
      </c>
      <c r="P85">
        <v>100</v>
      </c>
      <c r="Q85">
        <v>1</v>
      </c>
      <c r="R85">
        <f t="shared" si="10"/>
        <v>300</v>
      </c>
      <c r="S85">
        <v>0.5</v>
      </c>
      <c r="T85">
        <f t="shared" ref="T85:T97" si="11">R85</f>
        <v>300</v>
      </c>
      <c r="U85">
        <v>0</v>
      </c>
      <c r="V85">
        <v>1</v>
      </c>
      <c r="W85">
        <v>86</v>
      </c>
      <c r="X85">
        <v>4.75</v>
      </c>
      <c r="Y85">
        <v>21</v>
      </c>
    </row>
    <row r="86" spans="1:25" x14ac:dyDescent="0.2">
      <c r="A86" t="s">
        <v>281</v>
      </c>
      <c r="B86">
        <v>350</v>
      </c>
      <c r="C86">
        <v>50</v>
      </c>
      <c r="D86">
        <v>2.5</v>
      </c>
      <c r="E86">
        <v>100</v>
      </c>
      <c r="F86">
        <v>2.5</v>
      </c>
      <c r="G86">
        <v>200</v>
      </c>
      <c r="H86">
        <v>1.75</v>
      </c>
      <c r="I86">
        <v>1</v>
      </c>
      <c r="J86">
        <v>129</v>
      </c>
      <c r="K86">
        <v>3</v>
      </c>
      <c r="L86">
        <v>15</v>
      </c>
      <c r="N86" t="s">
        <v>281</v>
      </c>
      <c r="O86">
        <v>345</v>
      </c>
      <c r="P86">
        <v>100</v>
      </c>
      <c r="Q86">
        <v>1.5</v>
      </c>
      <c r="R86">
        <f t="shared" si="10"/>
        <v>300</v>
      </c>
      <c r="S86">
        <v>0.75</v>
      </c>
      <c r="T86">
        <f t="shared" si="11"/>
        <v>300</v>
      </c>
      <c r="U86">
        <v>0</v>
      </c>
      <c r="V86">
        <v>1</v>
      </c>
      <c r="W86">
        <v>128</v>
      </c>
      <c r="X86">
        <v>6.75</v>
      </c>
      <c r="Y86">
        <v>29.25</v>
      </c>
    </row>
    <row r="87" spans="1:25" x14ac:dyDescent="0.2">
      <c r="A87" t="s">
        <v>282</v>
      </c>
      <c r="B87">
        <v>600</v>
      </c>
      <c r="C87">
        <v>50</v>
      </c>
      <c r="D87">
        <v>3.6</v>
      </c>
      <c r="E87">
        <v>100</v>
      </c>
      <c r="F87">
        <v>3.5</v>
      </c>
      <c r="G87">
        <v>200</v>
      </c>
      <c r="H87">
        <v>2.75</v>
      </c>
      <c r="I87">
        <v>1</v>
      </c>
      <c r="J87">
        <v>213</v>
      </c>
      <c r="K87">
        <v>6</v>
      </c>
      <c r="L87">
        <v>30</v>
      </c>
      <c r="N87" t="s">
        <v>282</v>
      </c>
      <c r="O87">
        <v>541</v>
      </c>
      <c r="P87">
        <v>100</v>
      </c>
      <c r="Q87">
        <v>2</v>
      </c>
      <c r="R87">
        <f t="shared" si="10"/>
        <v>300</v>
      </c>
      <c r="S87">
        <v>1</v>
      </c>
      <c r="T87">
        <f t="shared" si="11"/>
        <v>300</v>
      </c>
      <c r="U87">
        <v>0</v>
      </c>
      <c r="V87">
        <v>1</v>
      </c>
      <c r="W87">
        <v>171</v>
      </c>
      <c r="X87">
        <v>8.5</v>
      </c>
      <c r="Y87">
        <v>37.25</v>
      </c>
    </row>
    <row r="88" spans="1:25" x14ac:dyDescent="0.2">
      <c r="A88" t="s">
        <v>283</v>
      </c>
      <c r="B88">
        <v>900</v>
      </c>
      <c r="C88">
        <v>50</v>
      </c>
      <c r="D88">
        <v>4</v>
      </c>
      <c r="E88">
        <v>100</v>
      </c>
      <c r="F88">
        <v>3.74</v>
      </c>
      <c r="G88">
        <v>200</v>
      </c>
      <c r="H88">
        <v>3.75</v>
      </c>
      <c r="I88">
        <v>1</v>
      </c>
      <c r="J88">
        <v>306</v>
      </c>
      <c r="K88">
        <v>10</v>
      </c>
      <c r="L88">
        <v>45</v>
      </c>
      <c r="N88" t="s">
        <v>283</v>
      </c>
      <c r="O88">
        <v>874</v>
      </c>
      <c r="P88">
        <v>100</v>
      </c>
      <c r="Q88">
        <v>2.2999000000000001</v>
      </c>
      <c r="R88">
        <f t="shared" si="10"/>
        <v>300</v>
      </c>
      <c r="S88">
        <v>1.1499999999999999</v>
      </c>
      <c r="T88">
        <f t="shared" si="11"/>
        <v>300</v>
      </c>
      <c r="U88">
        <v>0</v>
      </c>
      <c r="V88">
        <v>1</v>
      </c>
      <c r="W88">
        <v>294</v>
      </c>
      <c r="X88">
        <v>10.25</v>
      </c>
      <c r="Y88">
        <v>45.5</v>
      </c>
    </row>
    <row r="89" spans="1:25" x14ac:dyDescent="0.2">
      <c r="A89" t="s">
        <v>284</v>
      </c>
      <c r="B89">
        <v>200</v>
      </c>
      <c r="C89">
        <v>50</v>
      </c>
      <c r="D89">
        <v>2</v>
      </c>
      <c r="E89">
        <v>100</v>
      </c>
      <c r="F89">
        <v>1.5</v>
      </c>
      <c r="G89">
        <v>200</v>
      </c>
      <c r="H89">
        <v>1</v>
      </c>
      <c r="I89">
        <v>10</v>
      </c>
      <c r="J89">
        <v>105</v>
      </c>
      <c r="K89">
        <v>2</v>
      </c>
      <c r="L89">
        <v>5</v>
      </c>
      <c r="N89" t="s">
        <v>284</v>
      </c>
      <c r="O89">
        <v>172</v>
      </c>
      <c r="P89">
        <v>99</v>
      </c>
      <c r="Q89">
        <v>1</v>
      </c>
      <c r="R89">
        <f t="shared" si="10"/>
        <v>297</v>
      </c>
      <c r="S89">
        <v>0.5</v>
      </c>
      <c r="T89">
        <f t="shared" si="11"/>
        <v>297</v>
      </c>
      <c r="U89">
        <v>0</v>
      </c>
      <c r="V89">
        <v>10</v>
      </c>
      <c r="W89">
        <v>95</v>
      </c>
      <c r="X89">
        <v>4</v>
      </c>
      <c r="Y89">
        <v>17.75</v>
      </c>
    </row>
    <row r="90" spans="1:25" x14ac:dyDescent="0.2">
      <c r="A90" t="s">
        <v>285</v>
      </c>
      <c r="B90">
        <v>400</v>
      </c>
      <c r="C90">
        <v>50</v>
      </c>
      <c r="D90">
        <v>2.5</v>
      </c>
      <c r="E90">
        <v>100</v>
      </c>
      <c r="F90">
        <v>2.5</v>
      </c>
      <c r="G90">
        <v>200</v>
      </c>
      <c r="H90">
        <v>1.75</v>
      </c>
      <c r="I90">
        <v>10</v>
      </c>
      <c r="J90">
        <v>200</v>
      </c>
      <c r="K90">
        <v>4</v>
      </c>
      <c r="L90">
        <v>10</v>
      </c>
      <c r="N90" t="s">
        <v>285</v>
      </c>
      <c r="O90">
        <v>392</v>
      </c>
      <c r="P90">
        <v>99</v>
      </c>
      <c r="Q90">
        <v>1.5</v>
      </c>
      <c r="R90">
        <f t="shared" si="10"/>
        <v>297</v>
      </c>
      <c r="S90">
        <v>0.75</v>
      </c>
      <c r="T90">
        <f t="shared" si="11"/>
        <v>297</v>
      </c>
      <c r="U90">
        <v>0</v>
      </c>
      <c r="V90">
        <v>10</v>
      </c>
      <c r="W90">
        <v>193</v>
      </c>
      <c r="X90">
        <v>6</v>
      </c>
      <c r="Y90">
        <v>26</v>
      </c>
    </row>
    <row r="91" spans="1:25" x14ac:dyDescent="0.2">
      <c r="A91" t="s">
        <v>286</v>
      </c>
      <c r="B91">
        <v>700</v>
      </c>
      <c r="C91">
        <v>50</v>
      </c>
      <c r="D91">
        <v>3.6</v>
      </c>
      <c r="E91">
        <v>100</v>
      </c>
      <c r="F91">
        <v>3.5</v>
      </c>
      <c r="G91">
        <v>200</v>
      </c>
      <c r="H91">
        <v>2.75</v>
      </c>
      <c r="I91">
        <v>10</v>
      </c>
      <c r="J91">
        <v>332</v>
      </c>
      <c r="K91">
        <v>7</v>
      </c>
      <c r="L91">
        <v>25</v>
      </c>
      <c r="N91" t="s">
        <v>286</v>
      </c>
      <c r="O91">
        <v>697</v>
      </c>
      <c r="P91">
        <v>99</v>
      </c>
      <c r="Q91">
        <v>1.5</v>
      </c>
      <c r="R91">
        <f t="shared" si="10"/>
        <v>297</v>
      </c>
      <c r="S91">
        <v>0.75</v>
      </c>
      <c r="T91">
        <f t="shared" si="11"/>
        <v>297</v>
      </c>
      <c r="U91">
        <v>0</v>
      </c>
      <c r="V91">
        <v>10</v>
      </c>
      <c r="W91">
        <v>322</v>
      </c>
      <c r="X91">
        <v>7.75</v>
      </c>
      <c r="Y91">
        <v>34</v>
      </c>
    </row>
    <row r="92" spans="1:25" x14ac:dyDescent="0.2">
      <c r="A92" t="s">
        <v>617</v>
      </c>
      <c r="B92">
        <v>0</v>
      </c>
      <c r="C92">
        <v>75</v>
      </c>
      <c r="D92">
        <v>1.1000000000000001</v>
      </c>
      <c r="E92">
        <v>85</v>
      </c>
      <c r="F92">
        <v>0.75</v>
      </c>
      <c r="G92">
        <v>200</v>
      </c>
      <c r="H92">
        <v>0.5</v>
      </c>
      <c r="I92">
        <v>1</v>
      </c>
      <c r="J92">
        <v>26</v>
      </c>
      <c r="K92">
        <v>3.75</v>
      </c>
      <c r="L92">
        <v>45</v>
      </c>
      <c r="N92" t="s">
        <v>617</v>
      </c>
      <c r="O92">
        <v>25</v>
      </c>
      <c r="P92">
        <v>75</v>
      </c>
      <c r="Q92">
        <v>1</v>
      </c>
      <c r="R92">
        <v>100</v>
      </c>
      <c r="S92">
        <v>0.75</v>
      </c>
      <c r="T92">
        <v>200</v>
      </c>
      <c r="U92">
        <v>0.5</v>
      </c>
      <c r="V92">
        <v>1</v>
      </c>
      <c r="W92">
        <v>26</v>
      </c>
      <c r="X92">
        <v>3.75</v>
      </c>
      <c r="Y92">
        <v>45</v>
      </c>
    </row>
    <row r="93" spans="1:25" x14ac:dyDescent="0.2">
      <c r="A93" t="s">
        <v>287</v>
      </c>
      <c r="B93">
        <v>1000</v>
      </c>
      <c r="C93">
        <v>50</v>
      </c>
      <c r="D93">
        <v>4</v>
      </c>
      <c r="E93">
        <v>100</v>
      </c>
      <c r="F93">
        <v>3.75</v>
      </c>
      <c r="G93">
        <v>200</v>
      </c>
      <c r="H93">
        <v>3.75</v>
      </c>
      <c r="I93">
        <v>10</v>
      </c>
      <c r="J93">
        <v>398</v>
      </c>
      <c r="K93">
        <v>7</v>
      </c>
      <c r="L93">
        <v>45</v>
      </c>
      <c r="N93" t="s">
        <v>287</v>
      </c>
      <c r="O93">
        <v>1005</v>
      </c>
      <c r="P93">
        <v>100</v>
      </c>
      <c r="Q93">
        <v>2.2799999999999998</v>
      </c>
      <c r="R93">
        <f t="shared" si="10"/>
        <v>300</v>
      </c>
      <c r="S93">
        <v>1.1499999999999999</v>
      </c>
      <c r="T93">
        <f t="shared" si="11"/>
        <v>300</v>
      </c>
      <c r="U93">
        <v>0</v>
      </c>
      <c r="V93">
        <v>10</v>
      </c>
      <c r="W93">
        <v>396</v>
      </c>
      <c r="X93">
        <v>8.25</v>
      </c>
      <c r="Y93">
        <v>51.25</v>
      </c>
    </row>
    <row r="94" spans="1:25" x14ac:dyDescent="0.2">
      <c r="A94" t="s">
        <v>289</v>
      </c>
      <c r="B94">
        <v>300</v>
      </c>
      <c r="C94">
        <v>50</v>
      </c>
      <c r="D94">
        <v>2</v>
      </c>
      <c r="E94">
        <v>100</v>
      </c>
      <c r="F94">
        <v>1.5</v>
      </c>
      <c r="G94">
        <v>200</v>
      </c>
      <c r="H94">
        <v>1</v>
      </c>
      <c r="I94">
        <v>10</v>
      </c>
      <c r="J94">
        <v>126</v>
      </c>
      <c r="K94">
        <v>1.5</v>
      </c>
      <c r="L94">
        <v>5</v>
      </c>
      <c r="N94" t="s">
        <v>289</v>
      </c>
      <c r="O94">
        <v>282</v>
      </c>
      <c r="P94">
        <v>100</v>
      </c>
      <c r="Q94">
        <v>1</v>
      </c>
      <c r="R94">
        <f t="shared" si="10"/>
        <v>300</v>
      </c>
      <c r="S94">
        <v>0.75</v>
      </c>
      <c r="T94">
        <f t="shared" si="11"/>
        <v>300</v>
      </c>
      <c r="U94">
        <v>0</v>
      </c>
      <c r="V94">
        <v>10</v>
      </c>
      <c r="W94">
        <v>144</v>
      </c>
      <c r="X94">
        <v>5</v>
      </c>
      <c r="Y94">
        <v>22.5</v>
      </c>
    </row>
    <row r="95" spans="1:25" x14ac:dyDescent="0.2">
      <c r="A95" t="s">
        <v>298</v>
      </c>
      <c r="B95">
        <v>550</v>
      </c>
      <c r="C95">
        <v>50</v>
      </c>
      <c r="D95">
        <v>2.5</v>
      </c>
      <c r="E95">
        <v>100</v>
      </c>
      <c r="F95">
        <v>2.5</v>
      </c>
      <c r="G95">
        <v>200</v>
      </c>
      <c r="H95">
        <v>1.75</v>
      </c>
      <c r="I95">
        <v>10</v>
      </c>
      <c r="J95">
        <v>258</v>
      </c>
      <c r="K95">
        <v>3</v>
      </c>
      <c r="L95">
        <v>15</v>
      </c>
      <c r="N95" t="s">
        <v>298</v>
      </c>
      <c r="O95">
        <v>544</v>
      </c>
      <c r="P95">
        <v>100</v>
      </c>
      <c r="Q95">
        <v>1.5</v>
      </c>
      <c r="R95">
        <f t="shared" si="10"/>
        <v>300</v>
      </c>
      <c r="S95">
        <v>0.75</v>
      </c>
      <c r="T95">
        <f t="shared" si="11"/>
        <v>300</v>
      </c>
      <c r="U95">
        <v>0</v>
      </c>
      <c r="V95">
        <v>10</v>
      </c>
      <c r="W95">
        <v>258</v>
      </c>
      <c r="X95">
        <v>7</v>
      </c>
      <c r="Y95">
        <v>30.5</v>
      </c>
    </row>
    <row r="96" spans="1:25" x14ac:dyDescent="0.2">
      <c r="A96" t="s">
        <v>288</v>
      </c>
      <c r="B96">
        <v>700</v>
      </c>
      <c r="C96">
        <v>50</v>
      </c>
      <c r="D96">
        <v>2</v>
      </c>
      <c r="E96">
        <v>100</v>
      </c>
      <c r="F96">
        <v>2</v>
      </c>
      <c r="G96">
        <v>200</v>
      </c>
      <c r="H96">
        <v>2</v>
      </c>
      <c r="I96">
        <v>1</v>
      </c>
      <c r="J96">
        <v>315</v>
      </c>
      <c r="K96">
        <v>12</v>
      </c>
      <c r="L96">
        <v>60</v>
      </c>
      <c r="N96" t="s">
        <v>288</v>
      </c>
      <c r="O96">
        <v>603</v>
      </c>
      <c r="P96">
        <v>150</v>
      </c>
      <c r="Q96">
        <v>2</v>
      </c>
      <c r="R96">
        <f t="shared" si="10"/>
        <v>450</v>
      </c>
      <c r="S96">
        <v>1</v>
      </c>
      <c r="T96">
        <f t="shared" si="11"/>
        <v>450</v>
      </c>
      <c r="U96">
        <v>0</v>
      </c>
      <c r="V96">
        <v>1</v>
      </c>
      <c r="W96">
        <v>315</v>
      </c>
      <c r="X96">
        <v>18.5</v>
      </c>
      <c r="Y96">
        <v>43.25</v>
      </c>
    </row>
    <row r="97" spans="1:25" x14ac:dyDescent="0.2">
      <c r="A97" t="s">
        <v>299</v>
      </c>
      <c r="B97">
        <v>800</v>
      </c>
      <c r="C97">
        <v>50</v>
      </c>
      <c r="D97">
        <v>2</v>
      </c>
      <c r="E97">
        <v>100</v>
      </c>
      <c r="F97">
        <v>2</v>
      </c>
      <c r="G97">
        <v>200</v>
      </c>
      <c r="H97">
        <v>2</v>
      </c>
      <c r="I97">
        <v>1</v>
      </c>
      <c r="J97">
        <v>280</v>
      </c>
      <c r="K97">
        <v>10</v>
      </c>
      <c r="L97">
        <v>60</v>
      </c>
      <c r="N97" t="s">
        <v>299</v>
      </c>
      <c r="O97">
        <v>710</v>
      </c>
      <c r="P97">
        <v>150</v>
      </c>
      <c r="Q97">
        <v>2</v>
      </c>
      <c r="R97">
        <f t="shared" si="10"/>
        <v>450</v>
      </c>
      <c r="S97">
        <v>1</v>
      </c>
      <c r="T97">
        <f t="shared" si="11"/>
        <v>450</v>
      </c>
      <c r="U97">
        <v>0</v>
      </c>
      <c r="V97">
        <v>1</v>
      </c>
      <c r="W97">
        <v>280</v>
      </c>
      <c r="X97">
        <v>10</v>
      </c>
      <c r="Y97">
        <v>90</v>
      </c>
    </row>
    <row r="99" spans="1:25" x14ac:dyDescent="0.2">
      <c r="A99" s="19" t="s">
        <v>644</v>
      </c>
      <c r="B99" t="s">
        <v>283</v>
      </c>
      <c r="C99" t="s">
        <v>580</v>
      </c>
      <c r="D99" t="s">
        <v>300</v>
      </c>
      <c r="E99" t="s">
        <v>581</v>
      </c>
      <c r="F99" t="s">
        <v>301</v>
      </c>
      <c r="G99" t="s">
        <v>582</v>
      </c>
      <c r="H99" t="s">
        <v>583</v>
      </c>
      <c r="I99" t="s">
        <v>339</v>
      </c>
      <c r="J99" t="s">
        <v>297</v>
      </c>
      <c r="K99" t="s">
        <v>302</v>
      </c>
      <c r="L99" t="s">
        <v>303</v>
      </c>
      <c r="N99" t="str">
        <f>A99</f>
        <v>Light</v>
      </c>
      <c r="O99" t="str">
        <f t="shared" ref="O99:O113" si="12">B99</f>
        <v>V</v>
      </c>
      <c r="P99" t="str">
        <f t="shared" ref="P99:P113" si="13">C99</f>
        <v>L1</v>
      </c>
      <c r="Q99" t="str">
        <f t="shared" ref="Q99:Q113" si="14">D99</f>
        <v>M0</v>
      </c>
      <c r="R99" t="str">
        <f t="shared" ref="R99:R113" si="15">E99</f>
        <v>L2</v>
      </c>
      <c r="S99" t="str">
        <f t="shared" ref="S99:S113" si="16">F99</f>
        <v>M50</v>
      </c>
      <c r="T99" t="str">
        <f t="shared" ref="T99:T113" si="17">G99</f>
        <v>L3</v>
      </c>
      <c r="U99" t="str">
        <f t="shared" ref="U99:U113" si="18">H99</f>
        <v>M3</v>
      </c>
      <c r="V99" t="str">
        <f t="shared" ref="V99:V113" si="19">I99</f>
        <v>Max N</v>
      </c>
      <c r="W99" t="str">
        <f t="shared" ref="W99:W113" si="20">J99</f>
        <v>MP</v>
      </c>
      <c r="X99" t="str">
        <f t="shared" ref="X99:X113" si="21">K99</f>
        <v>Cast Time</v>
      </c>
      <c r="Y99" t="str">
        <f t="shared" ref="Y99:Y113" si="22">L99</f>
        <v>Recast Time</v>
      </c>
    </row>
    <row r="100" spans="1:25" x14ac:dyDescent="0.2">
      <c r="A100" t="s">
        <v>279</v>
      </c>
      <c r="B100">
        <v>14</v>
      </c>
      <c r="C100">
        <v>25</v>
      </c>
      <c r="D100">
        <v>1</v>
      </c>
      <c r="E100">
        <v>75</v>
      </c>
      <c r="F100">
        <v>0.5</v>
      </c>
      <c r="G100">
        <v>999</v>
      </c>
      <c r="H100">
        <v>0</v>
      </c>
      <c r="I100">
        <v>1</v>
      </c>
      <c r="J100">
        <v>15</v>
      </c>
      <c r="K100">
        <v>2</v>
      </c>
      <c r="L100">
        <v>15</v>
      </c>
      <c r="N100" t="str">
        <f t="shared" ref="N100:N113" si="23">A100</f>
        <v>I</v>
      </c>
      <c r="O100">
        <f t="shared" si="12"/>
        <v>14</v>
      </c>
      <c r="P100">
        <f t="shared" si="13"/>
        <v>25</v>
      </c>
      <c r="Q100">
        <f t="shared" si="14"/>
        <v>1</v>
      </c>
      <c r="R100">
        <f t="shared" si="15"/>
        <v>75</v>
      </c>
      <c r="S100">
        <f t="shared" si="16"/>
        <v>0.5</v>
      </c>
      <c r="T100">
        <f t="shared" si="17"/>
        <v>999</v>
      </c>
      <c r="U100">
        <f t="shared" si="18"/>
        <v>0</v>
      </c>
      <c r="V100">
        <f t="shared" si="19"/>
        <v>1</v>
      </c>
      <c r="W100">
        <f t="shared" si="20"/>
        <v>15</v>
      </c>
      <c r="X100">
        <f t="shared" si="21"/>
        <v>2</v>
      </c>
      <c r="Y100">
        <f t="shared" si="22"/>
        <v>15</v>
      </c>
    </row>
    <row r="101" spans="1:25" x14ac:dyDescent="0.2">
      <c r="A101" t="s">
        <v>280</v>
      </c>
      <c r="B101">
        <v>85</v>
      </c>
      <c r="C101">
        <v>110</v>
      </c>
      <c r="D101">
        <v>1</v>
      </c>
      <c r="E101">
        <v>120</v>
      </c>
      <c r="F101">
        <v>0.6</v>
      </c>
      <c r="G101">
        <v>999</v>
      </c>
      <c r="H101">
        <v>0.5</v>
      </c>
      <c r="I101">
        <v>1</v>
      </c>
      <c r="J101">
        <v>57</v>
      </c>
      <c r="K101">
        <v>3.75</v>
      </c>
      <c r="L101">
        <v>30</v>
      </c>
      <c r="N101" t="str">
        <f t="shared" si="23"/>
        <v>II</v>
      </c>
      <c r="O101">
        <f t="shared" si="12"/>
        <v>85</v>
      </c>
      <c r="P101">
        <f t="shared" si="13"/>
        <v>110</v>
      </c>
      <c r="Q101">
        <f t="shared" si="14"/>
        <v>1</v>
      </c>
      <c r="R101">
        <f t="shared" si="15"/>
        <v>120</v>
      </c>
      <c r="S101">
        <f t="shared" si="16"/>
        <v>0.6</v>
      </c>
      <c r="T101">
        <f t="shared" si="17"/>
        <v>999</v>
      </c>
      <c r="U101">
        <f t="shared" si="18"/>
        <v>0.5</v>
      </c>
      <c r="V101">
        <f t="shared" si="19"/>
        <v>1</v>
      </c>
      <c r="W101">
        <f t="shared" si="20"/>
        <v>57</v>
      </c>
      <c r="X101">
        <f t="shared" si="21"/>
        <v>3.75</v>
      </c>
      <c r="Y101">
        <f t="shared" si="22"/>
        <v>30</v>
      </c>
    </row>
    <row r="102" spans="1:25" x14ac:dyDescent="0.2">
      <c r="A102" t="s">
        <v>281</v>
      </c>
      <c r="B102">
        <v>198</v>
      </c>
      <c r="C102">
        <v>100</v>
      </c>
      <c r="D102">
        <v>1.5</v>
      </c>
      <c r="E102">
        <v>200</v>
      </c>
      <c r="F102">
        <v>1.5</v>
      </c>
      <c r="G102">
        <v>999</v>
      </c>
      <c r="H102">
        <v>1.5</v>
      </c>
      <c r="I102">
        <v>1</v>
      </c>
      <c r="J102">
        <v>96</v>
      </c>
      <c r="K102">
        <v>5.5</v>
      </c>
      <c r="L102">
        <v>45</v>
      </c>
      <c r="N102" t="str">
        <f t="shared" si="23"/>
        <v>III</v>
      </c>
      <c r="O102">
        <f t="shared" si="12"/>
        <v>198</v>
      </c>
      <c r="P102">
        <f t="shared" si="13"/>
        <v>100</v>
      </c>
      <c r="Q102">
        <f t="shared" si="14"/>
        <v>1.5</v>
      </c>
      <c r="R102">
        <f t="shared" si="15"/>
        <v>200</v>
      </c>
      <c r="S102">
        <f t="shared" si="16"/>
        <v>1.5</v>
      </c>
      <c r="T102">
        <f t="shared" si="17"/>
        <v>999</v>
      </c>
      <c r="U102">
        <f t="shared" si="18"/>
        <v>1.5</v>
      </c>
      <c r="V102">
        <f t="shared" si="19"/>
        <v>1</v>
      </c>
      <c r="W102">
        <f t="shared" si="20"/>
        <v>96</v>
      </c>
      <c r="X102">
        <f t="shared" si="21"/>
        <v>5.5</v>
      </c>
      <c r="Y102">
        <f t="shared" si="22"/>
        <v>45</v>
      </c>
    </row>
    <row r="103" spans="1:25" x14ac:dyDescent="0.2">
      <c r="A103" t="s">
        <v>282</v>
      </c>
      <c r="N103" t="str">
        <f t="shared" si="23"/>
        <v>IV</v>
      </c>
      <c r="O103">
        <f t="shared" si="12"/>
        <v>0</v>
      </c>
      <c r="P103">
        <f t="shared" si="13"/>
        <v>0</v>
      </c>
      <c r="Q103">
        <f t="shared" si="14"/>
        <v>0</v>
      </c>
      <c r="R103">
        <f t="shared" si="15"/>
        <v>0</v>
      </c>
      <c r="S103">
        <f t="shared" si="16"/>
        <v>0</v>
      </c>
      <c r="T103">
        <f t="shared" si="17"/>
        <v>0</v>
      </c>
      <c r="U103">
        <f t="shared" si="18"/>
        <v>0</v>
      </c>
      <c r="V103">
        <f t="shared" si="19"/>
        <v>0</v>
      </c>
      <c r="W103">
        <f t="shared" si="20"/>
        <v>0</v>
      </c>
      <c r="X103">
        <f t="shared" si="21"/>
        <v>0</v>
      </c>
      <c r="Y103">
        <f t="shared" si="22"/>
        <v>0</v>
      </c>
    </row>
    <row r="104" spans="1:25" x14ac:dyDescent="0.2">
      <c r="A104" t="s">
        <v>283</v>
      </c>
      <c r="N104" t="str">
        <f t="shared" si="23"/>
        <v>V</v>
      </c>
      <c r="O104">
        <f t="shared" si="12"/>
        <v>0</v>
      </c>
      <c r="P104">
        <f t="shared" si="13"/>
        <v>0</v>
      </c>
      <c r="Q104">
        <f t="shared" si="14"/>
        <v>0</v>
      </c>
      <c r="R104">
        <f t="shared" si="15"/>
        <v>0</v>
      </c>
      <c r="S104">
        <f t="shared" si="16"/>
        <v>0</v>
      </c>
      <c r="T104">
        <f t="shared" si="17"/>
        <v>0</v>
      </c>
      <c r="U104">
        <f t="shared" si="18"/>
        <v>0</v>
      </c>
      <c r="V104">
        <f t="shared" si="19"/>
        <v>0</v>
      </c>
      <c r="W104">
        <f t="shared" si="20"/>
        <v>0</v>
      </c>
      <c r="X104">
        <f t="shared" si="21"/>
        <v>0</v>
      </c>
      <c r="Y104">
        <f t="shared" si="22"/>
        <v>0</v>
      </c>
    </row>
    <row r="105" spans="1:25" x14ac:dyDescent="0.2">
      <c r="A105" t="s">
        <v>284</v>
      </c>
      <c r="B105">
        <v>50</v>
      </c>
      <c r="C105">
        <v>46</v>
      </c>
      <c r="D105">
        <v>1</v>
      </c>
      <c r="E105">
        <v>138</v>
      </c>
      <c r="F105">
        <v>0.5</v>
      </c>
      <c r="G105">
        <v>999</v>
      </c>
      <c r="H105">
        <v>0</v>
      </c>
      <c r="I105">
        <v>10</v>
      </c>
      <c r="J105">
        <v>41</v>
      </c>
      <c r="K105">
        <v>2.75</v>
      </c>
      <c r="L105">
        <v>15</v>
      </c>
      <c r="N105" t="str">
        <f t="shared" si="23"/>
        <v>Ga 1</v>
      </c>
      <c r="O105">
        <f t="shared" si="12"/>
        <v>50</v>
      </c>
      <c r="P105">
        <f t="shared" si="13"/>
        <v>46</v>
      </c>
      <c r="Q105">
        <f t="shared" si="14"/>
        <v>1</v>
      </c>
      <c r="R105">
        <f t="shared" si="15"/>
        <v>138</v>
      </c>
      <c r="S105">
        <f t="shared" si="16"/>
        <v>0.5</v>
      </c>
      <c r="T105">
        <f t="shared" si="17"/>
        <v>999</v>
      </c>
      <c r="U105">
        <f t="shared" si="18"/>
        <v>0</v>
      </c>
      <c r="V105">
        <f t="shared" si="19"/>
        <v>10</v>
      </c>
      <c r="W105">
        <f t="shared" si="20"/>
        <v>41</v>
      </c>
      <c r="X105">
        <f t="shared" si="21"/>
        <v>2.75</v>
      </c>
      <c r="Y105">
        <f t="shared" si="22"/>
        <v>15</v>
      </c>
    </row>
    <row r="106" spans="1:25" x14ac:dyDescent="0.2">
      <c r="A106" t="s">
        <v>285</v>
      </c>
      <c r="B106">
        <v>180</v>
      </c>
      <c r="C106">
        <v>130</v>
      </c>
      <c r="D106">
        <v>1</v>
      </c>
      <c r="E106">
        <v>140</v>
      </c>
      <c r="F106">
        <v>0.6</v>
      </c>
      <c r="G106">
        <v>999</v>
      </c>
      <c r="H106">
        <v>0.5</v>
      </c>
      <c r="I106">
        <v>10</v>
      </c>
      <c r="J106">
        <v>120</v>
      </c>
      <c r="K106">
        <v>4.5</v>
      </c>
      <c r="L106">
        <v>30</v>
      </c>
      <c r="N106" t="str">
        <f t="shared" si="23"/>
        <v>Ga 2</v>
      </c>
      <c r="O106">
        <f t="shared" si="12"/>
        <v>180</v>
      </c>
      <c r="P106">
        <f t="shared" si="13"/>
        <v>130</v>
      </c>
      <c r="Q106">
        <f t="shared" si="14"/>
        <v>1</v>
      </c>
      <c r="R106">
        <f t="shared" si="15"/>
        <v>140</v>
      </c>
      <c r="S106">
        <f t="shared" si="16"/>
        <v>0.6</v>
      </c>
      <c r="T106">
        <f t="shared" si="17"/>
        <v>999</v>
      </c>
      <c r="U106">
        <f t="shared" si="18"/>
        <v>0.5</v>
      </c>
      <c r="V106">
        <f t="shared" si="19"/>
        <v>10</v>
      </c>
      <c r="W106">
        <f t="shared" si="20"/>
        <v>120</v>
      </c>
      <c r="X106">
        <f t="shared" si="21"/>
        <v>4.5</v>
      </c>
      <c r="Y106">
        <f t="shared" si="22"/>
        <v>30</v>
      </c>
    </row>
    <row r="107" spans="1:25" x14ac:dyDescent="0.2">
      <c r="A107" t="s">
        <v>286</v>
      </c>
      <c r="N107" t="str">
        <f t="shared" si="23"/>
        <v>Ga 3</v>
      </c>
      <c r="O107">
        <f t="shared" si="12"/>
        <v>0</v>
      </c>
      <c r="P107">
        <f t="shared" si="13"/>
        <v>0</v>
      </c>
      <c r="Q107">
        <f t="shared" si="14"/>
        <v>0</v>
      </c>
      <c r="R107">
        <f t="shared" si="15"/>
        <v>0</v>
      </c>
      <c r="S107">
        <f t="shared" si="16"/>
        <v>0</v>
      </c>
      <c r="T107">
        <f t="shared" si="17"/>
        <v>0</v>
      </c>
      <c r="U107">
        <f t="shared" si="18"/>
        <v>0</v>
      </c>
      <c r="V107">
        <f t="shared" si="19"/>
        <v>0</v>
      </c>
      <c r="W107">
        <f t="shared" si="20"/>
        <v>0</v>
      </c>
      <c r="X107">
        <f t="shared" si="21"/>
        <v>0</v>
      </c>
      <c r="Y107">
        <f t="shared" si="22"/>
        <v>0</v>
      </c>
    </row>
    <row r="108" spans="1:25" x14ac:dyDescent="0.2">
      <c r="A108" t="s">
        <v>617</v>
      </c>
      <c r="N108" t="str">
        <f t="shared" si="23"/>
        <v>Helix</v>
      </c>
      <c r="O108">
        <f t="shared" si="12"/>
        <v>0</v>
      </c>
      <c r="P108">
        <f t="shared" si="13"/>
        <v>0</v>
      </c>
      <c r="Q108">
        <f t="shared" si="14"/>
        <v>0</v>
      </c>
      <c r="R108">
        <f t="shared" si="15"/>
        <v>0</v>
      </c>
      <c r="S108">
        <f t="shared" si="16"/>
        <v>0</v>
      </c>
      <c r="T108">
        <f t="shared" si="17"/>
        <v>0</v>
      </c>
      <c r="U108">
        <f t="shared" si="18"/>
        <v>0</v>
      </c>
      <c r="V108">
        <f t="shared" si="19"/>
        <v>0</v>
      </c>
      <c r="W108">
        <f t="shared" si="20"/>
        <v>0</v>
      </c>
      <c r="X108">
        <f t="shared" si="21"/>
        <v>0</v>
      </c>
      <c r="Y108">
        <f t="shared" si="22"/>
        <v>0</v>
      </c>
    </row>
    <row r="109" spans="1:25" x14ac:dyDescent="0.2">
      <c r="A109" t="s">
        <v>287</v>
      </c>
      <c r="N109" t="str">
        <f t="shared" si="23"/>
        <v>Ja</v>
      </c>
      <c r="O109">
        <f t="shared" si="12"/>
        <v>0</v>
      </c>
      <c r="P109">
        <f t="shared" si="13"/>
        <v>0</v>
      </c>
      <c r="Q109">
        <f t="shared" si="14"/>
        <v>0</v>
      </c>
      <c r="R109">
        <f t="shared" si="15"/>
        <v>0</v>
      </c>
      <c r="S109">
        <f t="shared" si="16"/>
        <v>0</v>
      </c>
      <c r="T109">
        <f t="shared" si="17"/>
        <v>0</v>
      </c>
      <c r="U109">
        <f t="shared" si="18"/>
        <v>0</v>
      </c>
      <c r="V109">
        <f t="shared" si="19"/>
        <v>0</v>
      </c>
      <c r="W109">
        <f t="shared" si="20"/>
        <v>0</v>
      </c>
      <c r="X109">
        <f t="shared" si="21"/>
        <v>0</v>
      </c>
      <c r="Y109">
        <f t="shared" si="22"/>
        <v>0</v>
      </c>
    </row>
    <row r="110" spans="1:25" x14ac:dyDescent="0.2">
      <c r="A110" t="s">
        <v>289</v>
      </c>
      <c r="N110" t="str">
        <f t="shared" si="23"/>
        <v>Ra</v>
      </c>
      <c r="O110">
        <f t="shared" si="12"/>
        <v>0</v>
      </c>
      <c r="P110">
        <f t="shared" si="13"/>
        <v>0</v>
      </c>
      <c r="Q110">
        <f t="shared" si="14"/>
        <v>0</v>
      </c>
      <c r="R110">
        <f t="shared" si="15"/>
        <v>0</v>
      </c>
      <c r="S110">
        <f t="shared" si="16"/>
        <v>0</v>
      </c>
      <c r="T110">
        <f t="shared" si="17"/>
        <v>0</v>
      </c>
      <c r="U110">
        <f t="shared" si="18"/>
        <v>0</v>
      </c>
      <c r="V110">
        <f t="shared" si="19"/>
        <v>0</v>
      </c>
      <c r="W110">
        <f t="shared" si="20"/>
        <v>0</v>
      </c>
      <c r="X110">
        <f t="shared" si="21"/>
        <v>0</v>
      </c>
      <c r="Y110">
        <f t="shared" si="22"/>
        <v>0</v>
      </c>
    </row>
    <row r="111" spans="1:25" x14ac:dyDescent="0.2">
      <c r="A111" t="s">
        <v>298</v>
      </c>
      <c r="N111" t="str">
        <f t="shared" si="23"/>
        <v>Ra 2</v>
      </c>
      <c r="O111">
        <f t="shared" si="12"/>
        <v>0</v>
      </c>
      <c r="P111">
        <f t="shared" si="13"/>
        <v>0</v>
      </c>
      <c r="Q111">
        <f t="shared" si="14"/>
        <v>0</v>
      </c>
      <c r="R111">
        <f t="shared" si="15"/>
        <v>0</v>
      </c>
      <c r="S111">
        <f t="shared" si="16"/>
        <v>0</v>
      </c>
      <c r="T111">
        <f t="shared" si="17"/>
        <v>0</v>
      </c>
      <c r="U111">
        <f t="shared" si="18"/>
        <v>0</v>
      </c>
      <c r="V111">
        <f t="shared" si="19"/>
        <v>0</v>
      </c>
      <c r="W111">
        <f t="shared" si="20"/>
        <v>0</v>
      </c>
      <c r="X111">
        <f t="shared" si="21"/>
        <v>0</v>
      </c>
      <c r="Y111">
        <f t="shared" si="22"/>
        <v>0</v>
      </c>
    </row>
    <row r="112" spans="1:25" x14ac:dyDescent="0.2">
      <c r="A112" t="s">
        <v>288</v>
      </c>
      <c r="B112">
        <v>125</v>
      </c>
      <c r="C112">
        <v>150</v>
      </c>
      <c r="D112">
        <v>1</v>
      </c>
      <c r="E112">
        <v>160</v>
      </c>
      <c r="F112">
        <v>0.7</v>
      </c>
      <c r="G112">
        <v>999</v>
      </c>
      <c r="H112">
        <v>0.5</v>
      </c>
      <c r="I112">
        <v>1</v>
      </c>
      <c r="J112">
        <v>100</v>
      </c>
      <c r="K112">
        <v>0.75</v>
      </c>
      <c r="L112">
        <v>60</v>
      </c>
      <c r="N112" t="str">
        <f t="shared" si="23"/>
        <v>AM</v>
      </c>
      <c r="O112">
        <f t="shared" si="12"/>
        <v>125</v>
      </c>
      <c r="P112">
        <f t="shared" si="13"/>
        <v>150</v>
      </c>
      <c r="Q112">
        <f t="shared" si="14"/>
        <v>1</v>
      </c>
      <c r="R112">
        <f t="shared" si="15"/>
        <v>160</v>
      </c>
      <c r="S112">
        <f t="shared" si="16"/>
        <v>0.7</v>
      </c>
      <c r="T112">
        <f t="shared" si="17"/>
        <v>999</v>
      </c>
      <c r="U112">
        <f t="shared" si="18"/>
        <v>0.5</v>
      </c>
      <c r="V112">
        <f t="shared" si="19"/>
        <v>1</v>
      </c>
      <c r="W112">
        <f t="shared" si="20"/>
        <v>100</v>
      </c>
      <c r="X112">
        <f t="shared" si="21"/>
        <v>0.75</v>
      </c>
      <c r="Y112">
        <f t="shared" si="22"/>
        <v>60</v>
      </c>
    </row>
    <row r="113" spans="1:25" x14ac:dyDescent="0.2">
      <c r="A113" t="s">
        <v>299</v>
      </c>
      <c r="B113">
        <v>250</v>
      </c>
      <c r="C113">
        <v>100</v>
      </c>
      <c r="D113">
        <v>2</v>
      </c>
      <c r="E113">
        <v>200</v>
      </c>
      <c r="F113">
        <v>2</v>
      </c>
      <c r="G113">
        <v>999</v>
      </c>
      <c r="H113">
        <v>2</v>
      </c>
      <c r="I113">
        <v>1</v>
      </c>
      <c r="J113">
        <v>150</v>
      </c>
      <c r="K113">
        <v>1.25</v>
      </c>
      <c r="L113">
        <v>60</v>
      </c>
      <c r="N113" t="str">
        <f t="shared" si="23"/>
        <v>AM 2</v>
      </c>
      <c r="O113">
        <f t="shared" si="12"/>
        <v>250</v>
      </c>
      <c r="P113">
        <f t="shared" si="13"/>
        <v>100</v>
      </c>
      <c r="Q113">
        <f t="shared" si="14"/>
        <v>2</v>
      </c>
      <c r="R113">
        <f t="shared" si="15"/>
        <v>200</v>
      </c>
      <c r="S113">
        <f t="shared" si="16"/>
        <v>2</v>
      </c>
      <c r="T113">
        <f t="shared" si="17"/>
        <v>999</v>
      </c>
      <c r="U113">
        <f t="shared" si="18"/>
        <v>2</v>
      </c>
      <c r="V113">
        <f t="shared" si="19"/>
        <v>1</v>
      </c>
      <c r="W113">
        <f t="shared" si="20"/>
        <v>150</v>
      </c>
      <c r="X113">
        <f t="shared" si="21"/>
        <v>1.25</v>
      </c>
      <c r="Y113">
        <f t="shared" si="22"/>
        <v>60</v>
      </c>
    </row>
    <row r="115" spans="1:25" x14ac:dyDescent="0.2">
      <c r="A115" s="19" t="s">
        <v>645</v>
      </c>
      <c r="B115" t="s">
        <v>283</v>
      </c>
      <c r="C115" t="s">
        <v>580</v>
      </c>
      <c r="D115" t="s">
        <v>300</v>
      </c>
      <c r="E115" t="s">
        <v>581</v>
      </c>
      <c r="F115" t="s">
        <v>301</v>
      </c>
      <c r="G115" t="s">
        <v>582</v>
      </c>
      <c r="H115" t="s">
        <v>583</v>
      </c>
      <c r="I115" t="s">
        <v>339</v>
      </c>
      <c r="J115" t="s">
        <v>297</v>
      </c>
      <c r="K115" t="s">
        <v>302</v>
      </c>
      <c r="L115" t="s">
        <v>303</v>
      </c>
      <c r="N115" t="str">
        <f>A115</f>
        <v>Dark</v>
      </c>
      <c r="O115" t="str">
        <f t="shared" ref="O115:O128" si="24">B115</f>
        <v>V</v>
      </c>
      <c r="P115" t="str">
        <f t="shared" ref="P115:P128" si="25">C115</f>
        <v>L1</v>
      </c>
      <c r="Q115" t="str">
        <f t="shared" ref="Q115:Q128" si="26">D115</f>
        <v>M0</v>
      </c>
      <c r="R115" t="str">
        <f t="shared" ref="R115:R128" si="27">E115</f>
        <v>L2</v>
      </c>
      <c r="S115" t="str">
        <f t="shared" ref="S115:S128" si="28">F115</f>
        <v>M50</v>
      </c>
      <c r="T115" t="str">
        <f t="shared" ref="T115:T128" si="29">G115</f>
        <v>L3</v>
      </c>
      <c r="U115" t="str">
        <f t="shared" ref="U115:U128" si="30">H115</f>
        <v>M3</v>
      </c>
      <c r="V115" t="str">
        <f t="shared" ref="V115:V128" si="31">I115</f>
        <v>Max N</v>
      </c>
      <c r="W115" t="str">
        <f t="shared" ref="W115:W128" si="32">J115</f>
        <v>MP</v>
      </c>
      <c r="X115" t="str">
        <f t="shared" ref="X115:X128" si="33">K115</f>
        <v>Cast Time</v>
      </c>
      <c r="Y115" t="str">
        <f t="shared" ref="Y115:Y128" si="34">L115</f>
        <v>Recast Time</v>
      </c>
    </row>
    <row r="116" spans="1:25" x14ac:dyDescent="0.2">
      <c r="A116" t="s">
        <v>279</v>
      </c>
      <c r="N116" t="str">
        <f t="shared" ref="N116:N129" si="35">A116</f>
        <v>I</v>
      </c>
      <c r="O116">
        <f t="shared" si="24"/>
        <v>0</v>
      </c>
      <c r="P116">
        <f t="shared" si="25"/>
        <v>0</v>
      </c>
      <c r="Q116">
        <f t="shared" si="26"/>
        <v>0</v>
      </c>
      <c r="R116">
        <f t="shared" si="27"/>
        <v>0</v>
      </c>
      <c r="S116">
        <f t="shared" si="28"/>
        <v>0</v>
      </c>
      <c r="T116">
        <f t="shared" si="29"/>
        <v>0</v>
      </c>
      <c r="U116">
        <f t="shared" si="30"/>
        <v>0</v>
      </c>
      <c r="V116">
        <f t="shared" si="31"/>
        <v>0</v>
      </c>
      <c r="W116">
        <f t="shared" si="32"/>
        <v>0</v>
      </c>
      <c r="X116">
        <f t="shared" si="33"/>
        <v>0</v>
      </c>
      <c r="Y116">
        <f t="shared" si="34"/>
        <v>0</v>
      </c>
    </row>
    <row r="117" spans="1:25" x14ac:dyDescent="0.2">
      <c r="A117" t="s">
        <v>280</v>
      </c>
      <c r="N117" t="str">
        <f t="shared" si="35"/>
        <v>II</v>
      </c>
      <c r="O117">
        <f t="shared" si="24"/>
        <v>0</v>
      </c>
      <c r="P117">
        <f t="shared" si="25"/>
        <v>0</v>
      </c>
      <c r="Q117">
        <f t="shared" si="26"/>
        <v>0</v>
      </c>
      <c r="R117">
        <f t="shared" si="27"/>
        <v>0</v>
      </c>
      <c r="S117">
        <f t="shared" si="28"/>
        <v>0</v>
      </c>
      <c r="T117">
        <f t="shared" si="29"/>
        <v>0</v>
      </c>
      <c r="U117">
        <f t="shared" si="30"/>
        <v>0</v>
      </c>
      <c r="V117">
        <f t="shared" si="31"/>
        <v>0</v>
      </c>
      <c r="W117">
        <f t="shared" si="32"/>
        <v>0</v>
      </c>
      <c r="X117">
        <f t="shared" si="33"/>
        <v>0</v>
      </c>
      <c r="Y117">
        <f t="shared" si="34"/>
        <v>0</v>
      </c>
    </row>
    <row r="118" spans="1:25" x14ac:dyDescent="0.2">
      <c r="A118" t="s">
        <v>281</v>
      </c>
      <c r="N118" t="str">
        <f t="shared" si="35"/>
        <v>III</v>
      </c>
      <c r="O118">
        <f t="shared" si="24"/>
        <v>0</v>
      </c>
      <c r="P118">
        <f t="shared" si="25"/>
        <v>0</v>
      </c>
      <c r="Q118">
        <f t="shared" si="26"/>
        <v>0</v>
      </c>
      <c r="R118">
        <f t="shared" si="27"/>
        <v>0</v>
      </c>
      <c r="S118">
        <f t="shared" si="28"/>
        <v>0</v>
      </c>
      <c r="T118">
        <f t="shared" si="29"/>
        <v>0</v>
      </c>
      <c r="U118">
        <f t="shared" si="30"/>
        <v>0</v>
      </c>
      <c r="V118">
        <f t="shared" si="31"/>
        <v>0</v>
      </c>
      <c r="W118">
        <f t="shared" si="32"/>
        <v>0</v>
      </c>
      <c r="X118">
        <f t="shared" si="33"/>
        <v>0</v>
      </c>
      <c r="Y118">
        <f t="shared" si="34"/>
        <v>0</v>
      </c>
    </row>
    <row r="119" spans="1:25" x14ac:dyDescent="0.2">
      <c r="A119" t="s">
        <v>282</v>
      </c>
      <c r="N119" t="str">
        <f t="shared" si="35"/>
        <v>IV</v>
      </c>
      <c r="O119">
        <f t="shared" si="24"/>
        <v>0</v>
      </c>
      <c r="P119">
        <f t="shared" si="25"/>
        <v>0</v>
      </c>
      <c r="Q119">
        <f t="shared" si="26"/>
        <v>0</v>
      </c>
      <c r="R119">
        <f t="shared" si="27"/>
        <v>0</v>
      </c>
      <c r="S119">
        <f t="shared" si="28"/>
        <v>0</v>
      </c>
      <c r="T119">
        <f t="shared" si="29"/>
        <v>0</v>
      </c>
      <c r="U119">
        <f t="shared" si="30"/>
        <v>0</v>
      </c>
      <c r="V119">
        <f t="shared" si="31"/>
        <v>0</v>
      </c>
      <c r="W119">
        <f t="shared" si="32"/>
        <v>0</v>
      </c>
      <c r="X119">
        <f t="shared" si="33"/>
        <v>0</v>
      </c>
      <c r="Y119">
        <f t="shared" si="34"/>
        <v>0</v>
      </c>
    </row>
    <row r="120" spans="1:25" x14ac:dyDescent="0.2">
      <c r="A120" t="s">
        <v>283</v>
      </c>
      <c r="N120" t="str">
        <f t="shared" si="35"/>
        <v>V</v>
      </c>
      <c r="O120">
        <f t="shared" si="24"/>
        <v>0</v>
      </c>
      <c r="P120">
        <f t="shared" si="25"/>
        <v>0</v>
      </c>
      <c r="Q120">
        <f t="shared" si="26"/>
        <v>0</v>
      </c>
      <c r="R120">
        <f t="shared" si="27"/>
        <v>0</v>
      </c>
      <c r="S120">
        <f t="shared" si="28"/>
        <v>0</v>
      </c>
      <c r="T120">
        <f t="shared" si="29"/>
        <v>0</v>
      </c>
      <c r="U120">
        <f t="shared" si="30"/>
        <v>0</v>
      </c>
      <c r="V120">
        <f t="shared" si="31"/>
        <v>0</v>
      </c>
      <c r="W120">
        <f t="shared" si="32"/>
        <v>0</v>
      </c>
      <c r="X120">
        <f t="shared" si="33"/>
        <v>0</v>
      </c>
      <c r="Y120">
        <f t="shared" si="34"/>
        <v>0</v>
      </c>
    </row>
    <row r="121" spans="1:25" x14ac:dyDescent="0.2">
      <c r="A121" t="s">
        <v>284</v>
      </c>
      <c r="N121" t="str">
        <f t="shared" si="35"/>
        <v>Ga 1</v>
      </c>
      <c r="O121">
        <f t="shared" si="24"/>
        <v>0</v>
      </c>
      <c r="P121">
        <f t="shared" si="25"/>
        <v>0</v>
      </c>
      <c r="Q121">
        <f t="shared" si="26"/>
        <v>0</v>
      </c>
      <c r="R121">
        <f t="shared" si="27"/>
        <v>0</v>
      </c>
      <c r="S121">
        <f t="shared" si="28"/>
        <v>0</v>
      </c>
      <c r="T121">
        <f t="shared" si="29"/>
        <v>0</v>
      </c>
      <c r="U121">
        <f t="shared" si="30"/>
        <v>0</v>
      </c>
      <c r="V121">
        <f t="shared" si="31"/>
        <v>0</v>
      </c>
      <c r="W121">
        <f t="shared" si="32"/>
        <v>0</v>
      </c>
      <c r="X121">
        <f t="shared" si="33"/>
        <v>0</v>
      </c>
      <c r="Y121">
        <f t="shared" si="34"/>
        <v>0</v>
      </c>
    </row>
    <row r="122" spans="1:25" x14ac:dyDescent="0.2">
      <c r="A122" t="s">
        <v>285</v>
      </c>
      <c r="N122" t="str">
        <f t="shared" si="35"/>
        <v>Ga 2</v>
      </c>
      <c r="O122">
        <f t="shared" si="24"/>
        <v>0</v>
      </c>
      <c r="P122">
        <f t="shared" si="25"/>
        <v>0</v>
      </c>
      <c r="Q122">
        <f t="shared" si="26"/>
        <v>0</v>
      </c>
      <c r="R122">
        <f t="shared" si="27"/>
        <v>0</v>
      </c>
      <c r="S122">
        <f t="shared" si="28"/>
        <v>0</v>
      </c>
      <c r="T122">
        <f t="shared" si="29"/>
        <v>0</v>
      </c>
      <c r="U122">
        <f t="shared" si="30"/>
        <v>0</v>
      </c>
      <c r="V122">
        <f t="shared" si="31"/>
        <v>0</v>
      </c>
      <c r="W122">
        <f t="shared" si="32"/>
        <v>0</v>
      </c>
      <c r="X122">
        <f t="shared" si="33"/>
        <v>0</v>
      </c>
      <c r="Y122">
        <f t="shared" si="34"/>
        <v>0</v>
      </c>
    </row>
    <row r="123" spans="1:25" x14ac:dyDescent="0.2">
      <c r="A123" t="s">
        <v>286</v>
      </c>
      <c r="N123" t="str">
        <f t="shared" si="35"/>
        <v>Ga 3</v>
      </c>
      <c r="O123">
        <f t="shared" si="24"/>
        <v>0</v>
      </c>
      <c r="P123">
        <f t="shared" si="25"/>
        <v>0</v>
      </c>
      <c r="Q123">
        <f t="shared" si="26"/>
        <v>0</v>
      </c>
      <c r="R123">
        <f t="shared" si="27"/>
        <v>0</v>
      </c>
      <c r="S123">
        <f t="shared" si="28"/>
        <v>0</v>
      </c>
      <c r="T123">
        <f t="shared" si="29"/>
        <v>0</v>
      </c>
      <c r="U123">
        <f t="shared" si="30"/>
        <v>0</v>
      </c>
      <c r="V123">
        <f t="shared" si="31"/>
        <v>0</v>
      </c>
      <c r="W123">
        <f t="shared" si="32"/>
        <v>0</v>
      </c>
      <c r="X123">
        <f t="shared" si="33"/>
        <v>0</v>
      </c>
      <c r="Y123">
        <f t="shared" si="34"/>
        <v>0</v>
      </c>
    </row>
    <row r="124" spans="1:25" x14ac:dyDescent="0.2">
      <c r="A124" t="s">
        <v>617</v>
      </c>
      <c r="B124">
        <v>1</v>
      </c>
      <c r="C124">
        <v>100</v>
      </c>
      <c r="D124">
        <v>1</v>
      </c>
      <c r="E124">
        <v>200</v>
      </c>
      <c r="F124">
        <v>1</v>
      </c>
      <c r="G124">
        <v>999</v>
      </c>
      <c r="H124">
        <v>1</v>
      </c>
      <c r="I124">
        <v>1</v>
      </c>
      <c r="J124">
        <v>240</v>
      </c>
      <c r="K124">
        <v>5</v>
      </c>
      <c r="L124">
        <v>30</v>
      </c>
      <c r="M124" s="19" t="s">
        <v>643</v>
      </c>
      <c r="N124" t="str">
        <f t="shared" si="35"/>
        <v>Helix</v>
      </c>
      <c r="O124">
        <f t="shared" si="24"/>
        <v>1</v>
      </c>
      <c r="P124">
        <f t="shared" si="25"/>
        <v>100</v>
      </c>
      <c r="Q124">
        <f t="shared" si="26"/>
        <v>1</v>
      </c>
      <c r="R124">
        <f t="shared" si="27"/>
        <v>200</v>
      </c>
      <c r="S124">
        <f t="shared" si="28"/>
        <v>1</v>
      </c>
      <c r="T124">
        <f t="shared" si="29"/>
        <v>999</v>
      </c>
      <c r="U124">
        <f t="shared" si="30"/>
        <v>1</v>
      </c>
      <c r="V124">
        <f t="shared" si="31"/>
        <v>1</v>
      </c>
      <c r="W124">
        <f t="shared" si="32"/>
        <v>240</v>
      </c>
      <c r="X124">
        <f t="shared" si="33"/>
        <v>5</v>
      </c>
      <c r="Y124">
        <f t="shared" si="34"/>
        <v>30</v>
      </c>
    </row>
    <row r="125" spans="1:25" x14ac:dyDescent="0.2">
      <c r="A125" t="s">
        <v>287</v>
      </c>
      <c r="B125">
        <v>1</v>
      </c>
      <c r="C125">
        <v>100</v>
      </c>
      <c r="D125">
        <v>1</v>
      </c>
      <c r="E125">
        <v>200</v>
      </c>
      <c r="F125">
        <v>1</v>
      </c>
      <c r="G125">
        <v>999</v>
      </c>
      <c r="H125">
        <v>1</v>
      </c>
      <c r="I125">
        <v>10</v>
      </c>
      <c r="J125">
        <v>418</v>
      </c>
      <c r="K125">
        <v>8</v>
      </c>
      <c r="L125">
        <v>52</v>
      </c>
      <c r="M125" s="19" t="s">
        <v>642</v>
      </c>
      <c r="N125" t="str">
        <f t="shared" si="35"/>
        <v>Ja</v>
      </c>
      <c r="O125">
        <f t="shared" si="24"/>
        <v>1</v>
      </c>
      <c r="P125">
        <f t="shared" si="25"/>
        <v>100</v>
      </c>
      <c r="Q125">
        <f t="shared" si="26"/>
        <v>1</v>
      </c>
      <c r="R125">
        <f t="shared" si="27"/>
        <v>200</v>
      </c>
      <c r="S125">
        <f t="shared" si="28"/>
        <v>1</v>
      </c>
      <c r="T125">
        <f t="shared" si="29"/>
        <v>999</v>
      </c>
      <c r="U125">
        <f t="shared" si="30"/>
        <v>1</v>
      </c>
      <c r="V125">
        <f t="shared" si="31"/>
        <v>10</v>
      </c>
      <c r="W125">
        <f t="shared" si="32"/>
        <v>418</v>
      </c>
      <c r="X125">
        <f t="shared" si="33"/>
        <v>8</v>
      </c>
      <c r="Y125">
        <f t="shared" si="34"/>
        <v>52</v>
      </c>
    </row>
    <row r="126" spans="1:25" x14ac:dyDescent="0.2">
      <c r="A126" t="s">
        <v>289</v>
      </c>
      <c r="N126" t="str">
        <f t="shared" si="35"/>
        <v>Ra</v>
      </c>
      <c r="O126">
        <f t="shared" si="24"/>
        <v>0</v>
      </c>
      <c r="P126">
        <f t="shared" si="25"/>
        <v>0</v>
      </c>
      <c r="Q126">
        <f t="shared" si="26"/>
        <v>0</v>
      </c>
      <c r="R126">
        <f t="shared" si="27"/>
        <v>0</v>
      </c>
      <c r="S126">
        <f t="shared" si="28"/>
        <v>0</v>
      </c>
      <c r="T126">
        <f t="shared" si="29"/>
        <v>0</v>
      </c>
      <c r="U126">
        <f t="shared" si="30"/>
        <v>0</v>
      </c>
      <c r="V126">
        <f t="shared" si="31"/>
        <v>0</v>
      </c>
      <c r="W126">
        <f t="shared" si="32"/>
        <v>0</v>
      </c>
      <c r="X126">
        <f t="shared" si="33"/>
        <v>0</v>
      </c>
      <c r="Y126">
        <f t="shared" si="34"/>
        <v>0</v>
      </c>
    </row>
    <row r="127" spans="1:25" x14ac:dyDescent="0.2">
      <c r="A127" t="s">
        <v>298</v>
      </c>
      <c r="N127" t="str">
        <f t="shared" si="35"/>
        <v>Ra 2</v>
      </c>
      <c r="O127">
        <f t="shared" si="24"/>
        <v>0</v>
      </c>
      <c r="P127">
        <f t="shared" si="25"/>
        <v>0</v>
      </c>
      <c r="Q127">
        <f t="shared" si="26"/>
        <v>0</v>
      </c>
      <c r="R127">
        <f t="shared" si="27"/>
        <v>0</v>
      </c>
      <c r="S127">
        <f t="shared" si="28"/>
        <v>0</v>
      </c>
      <c r="T127">
        <f t="shared" si="29"/>
        <v>0</v>
      </c>
      <c r="U127">
        <f t="shared" si="30"/>
        <v>0</v>
      </c>
      <c r="V127">
        <f t="shared" si="31"/>
        <v>0</v>
      </c>
      <c r="W127">
        <f t="shared" si="32"/>
        <v>0</v>
      </c>
      <c r="X127">
        <f t="shared" si="33"/>
        <v>0</v>
      </c>
      <c r="Y127">
        <f t="shared" si="34"/>
        <v>0</v>
      </c>
    </row>
    <row r="128" spans="1:25" x14ac:dyDescent="0.2">
      <c r="A128" t="s">
        <v>288</v>
      </c>
      <c r="B128">
        <v>700</v>
      </c>
      <c r="C128">
        <v>50</v>
      </c>
      <c r="D128">
        <v>2</v>
      </c>
      <c r="E128">
        <v>100</v>
      </c>
      <c r="F128">
        <v>2</v>
      </c>
      <c r="G128">
        <v>200</v>
      </c>
      <c r="H128">
        <v>2</v>
      </c>
      <c r="I128">
        <v>1</v>
      </c>
      <c r="J128">
        <v>666</v>
      </c>
      <c r="K128">
        <v>12</v>
      </c>
      <c r="L128">
        <v>120</v>
      </c>
      <c r="M128" s="19" t="s">
        <v>653</v>
      </c>
      <c r="N128" t="str">
        <f t="shared" si="35"/>
        <v>AM</v>
      </c>
      <c r="O128">
        <f t="shared" si="24"/>
        <v>700</v>
      </c>
      <c r="P128">
        <f t="shared" si="25"/>
        <v>50</v>
      </c>
      <c r="Q128">
        <f t="shared" si="26"/>
        <v>2</v>
      </c>
      <c r="R128">
        <f t="shared" si="27"/>
        <v>100</v>
      </c>
      <c r="S128">
        <f t="shared" si="28"/>
        <v>2</v>
      </c>
      <c r="T128">
        <f t="shared" si="29"/>
        <v>200</v>
      </c>
      <c r="U128">
        <f t="shared" si="30"/>
        <v>2</v>
      </c>
      <c r="V128">
        <f t="shared" si="31"/>
        <v>1</v>
      </c>
      <c r="W128">
        <f t="shared" si="32"/>
        <v>666</v>
      </c>
      <c r="X128">
        <f t="shared" si="33"/>
        <v>12</v>
      </c>
      <c r="Y128">
        <f t="shared" si="34"/>
        <v>120</v>
      </c>
    </row>
    <row r="129" spans="1:25" x14ac:dyDescent="0.2">
      <c r="A129" t="s">
        <v>299</v>
      </c>
      <c r="B129">
        <v>1000</v>
      </c>
      <c r="C129">
        <v>50</v>
      </c>
      <c r="D129">
        <v>4</v>
      </c>
      <c r="E129">
        <v>100</v>
      </c>
      <c r="F129">
        <v>3.75</v>
      </c>
      <c r="G129">
        <v>200</v>
      </c>
      <c r="H129">
        <v>3.5</v>
      </c>
      <c r="I129">
        <v>1</v>
      </c>
      <c r="J129">
        <v>350</v>
      </c>
      <c r="K129">
        <v>10</v>
      </c>
      <c r="L129">
        <v>45</v>
      </c>
      <c r="M129" s="19" t="s">
        <v>503</v>
      </c>
      <c r="N129" t="str">
        <f t="shared" si="35"/>
        <v>AM 2</v>
      </c>
      <c r="O129">
        <v>964</v>
      </c>
      <c r="P129">
        <v>150</v>
      </c>
      <c r="Q129">
        <v>2.2999000000000001</v>
      </c>
      <c r="R129">
        <v>300</v>
      </c>
      <c r="S129">
        <v>1.1499999999999999</v>
      </c>
      <c r="T129">
        <v>300</v>
      </c>
      <c r="U129">
        <v>0</v>
      </c>
      <c r="V129">
        <v>1</v>
      </c>
      <c r="W129">
        <v>367</v>
      </c>
      <c r="X129">
        <v>11</v>
      </c>
      <c r="Y129">
        <v>60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>
    <tabColor indexed="46"/>
  </sheetPr>
  <dimension ref="A1:Q159"/>
  <sheetViews>
    <sheetView topLeftCell="A46" workbookViewId="0">
      <selection activeCell="H69" sqref="H69"/>
    </sheetView>
  </sheetViews>
  <sheetFormatPr defaultRowHeight="12.75" x14ac:dyDescent="0.2"/>
  <cols>
    <col min="1" max="1" width="22" customWidth="1"/>
    <col min="2" max="2" width="12.140625" customWidth="1"/>
    <col min="3" max="3" width="13" customWidth="1"/>
    <col min="4" max="4" width="11.42578125" customWidth="1"/>
    <col min="5" max="5" width="12.5703125" customWidth="1"/>
    <col min="6" max="6" width="11.85546875" customWidth="1"/>
    <col min="7" max="7" width="12" customWidth="1"/>
    <col min="8" max="8" width="11.5703125" customWidth="1"/>
    <col min="9" max="9" width="11" customWidth="1"/>
    <col min="10" max="13" width="12.7109375" customWidth="1"/>
  </cols>
  <sheetData>
    <row r="1" spans="1:12" x14ac:dyDescent="0.2">
      <c r="A1" s="15" t="s">
        <v>46</v>
      </c>
      <c r="B1" s="8" t="s">
        <v>3</v>
      </c>
      <c r="C1" s="8" t="s">
        <v>4</v>
      </c>
      <c r="D1" s="8" t="s">
        <v>120</v>
      </c>
      <c r="E1" s="76" t="s">
        <v>121</v>
      </c>
      <c r="F1" s="8" t="s">
        <v>13</v>
      </c>
      <c r="G1" s="8" t="s">
        <v>47</v>
      </c>
      <c r="H1" s="8" t="s">
        <v>48</v>
      </c>
      <c r="I1" s="8" t="s">
        <v>49</v>
      </c>
      <c r="J1" s="8" t="s">
        <v>50</v>
      </c>
      <c r="K1" s="8" t="s">
        <v>51</v>
      </c>
      <c r="L1" s="8" t="s">
        <v>52</v>
      </c>
    </row>
    <row r="2" spans="1:12" x14ac:dyDescent="0.2">
      <c r="A2" t="s">
        <v>34</v>
      </c>
      <c r="G2" s="1"/>
      <c r="J2" s="1"/>
    </row>
    <row r="3" spans="1:12" x14ac:dyDescent="0.2">
      <c r="A3" t="s">
        <v>62</v>
      </c>
      <c r="G3" s="1">
        <v>0.2</v>
      </c>
      <c r="H3">
        <v>50</v>
      </c>
      <c r="J3" s="1">
        <v>0.1</v>
      </c>
      <c r="K3">
        <v>48</v>
      </c>
    </row>
    <row r="4" spans="1:12" x14ac:dyDescent="0.2">
      <c r="A4" t="s">
        <v>63</v>
      </c>
      <c r="G4" s="1">
        <v>0.21</v>
      </c>
      <c r="H4">
        <v>55</v>
      </c>
      <c r="J4" s="1">
        <v>0.11</v>
      </c>
      <c r="K4">
        <v>52</v>
      </c>
    </row>
    <row r="5" spans="1:12" x14ac:dyDescent="0.2">
      <c r="A5" t="s">
        <v>60</v>
      </c>
      <c r="G5" s="1"/>
      <c r="J5" s="1">
        <v>0.13</v>
      </c>
      <c r="K5">
        <v>62</v>
      </c>
    </row>
    <row r="6" spans="1:12" x14ac:dyDescent="0.2">
      <c r="A6" t="s">
        <v>58</v>
      </c>
      <c r="B6">
        <v>5</v>
      </c>
      <c r="C6">
        <v>6</v>
      </c>
      <c r="G6" s="1"/>
      <c r="J6" s="1">
        <v>0.15</v>
      </c>
      <c r="K6">
        <v>72</v>
      </c>
    </row>
    <row r="7" spans="1:12" x14ac:dyDescent="0.2">
      <c r="A7" t="s">
        <v>64</v>
      </c>
      <c r="C7">
        <v>6</v>
      </c>
      <c r="G7" s="1"/>
      <c r="J7" s="1">
        <v>0.15</v>
      </c>
      <c r="K7">
        <v>72</v>
      </c>
    </row>
    <row r="8" spans="1:12" x14ac:dyDescent="0.2">
      <c r="A8" t="s">
        <v>59</v>
      </c>
      <c r="C8">
        <v>6</v>
      </c>
      <c r="G8" s="1"/>
      <c r="J8" s="1">
        <v>0.16</v>
      </c>
      <c r="K8">
        <v>76</v>
      </c>
    </row>
    <row r="9" spans="1:12" x14ac:dyDescent="0.2">
      <c r="A9" t="s">
        <v>57</v>
      </c>
      <c r="B9">
        <v>6</v>
      </c>
      <c r="G9" s="1">
        <v>0.18</v>
      </c>
      <c r="H9">
        <v>90</v>
      </c>
      <c r="J9" s="1"/>
    </row>
    <row r="10" spans="1:12" x14ac:dyDescent="0.2">
      <c r="A10" t="s">
        <v>81</v>
      </c>
      <c r="B10">
        <v>4</v>
      </c>
      <c r="F10">
        <v>6</v>
      </c>
      <c r="G10" s="1">
        <v>0.18</v>
      </c>
      <c r="H10">
        <v>65</v>
      </c>
      <c r="J10" s="1"/>
    </row>
    <row r="11" spans="1:12" x14ac:dyDescent="0.2">
      <c r="A11" t="s">
        <v>252</v>
      </c>
      <c r="B11">
        <v>5</v>
      </c>
      <c r="F11">
        <v>5</v>
      </c>
      <c r="G11" s="1">
        <v>0.22500000000000001</v>
      </c>
      <c r="H11">
        <v>120</v>
      </c>
      <c r="J11" s="1"/>
    </row>
    <row r="12" spans="1:12" x14ac:dyDescent="0.2">
      <c r="A12" t="s">
        <v>53</v>
      </c>
      <c r="B12">
        <v>5</v>
      </c>
      <c r="G12" s="1">
        <v>0.22</v>
      </c>
      <c r="H12">
        <v>60</v>
      </c>
      <c r="J12" s="1"/>
    </row>
    <row r="13" spans="1:12" x14ac:dyDescent="0.2">
      <c r="A13" t="s">
        <v>54</v>
      </c>
      <c r="B13">
        <v>5</v>
      </c>
      <c r="G13" s="1">
        <v>0.22</v>
      </c>
      <c r="H13">
        <v>65</v>
      </c>
      <c r="J13" s="1"/>
    </row>
    <row r="14" spans="1:12" x14ac:dyDescent="0.2">
      <c r="A14" t="s">
        <v>56</v>
      </c>
      <c r="B14">
        <v>5</v>
      </c>
      <c r="G14" s="1">
        <v>0.2</v>
      </c>
      <c r="H14">
        <v>75</v>
      </c>
      <c r="J14" s="1"/>
    </row>
    <row r="15" spans="1:12" x14ac:dyDescent="0.2">
      <c r="A15" t="s">
        <v>55</v>
      </c>
      <c r="B15">
        <v>5</v>
      </c>
      <c r="G15" s="1">
        <v>0.22</v>
      </c>
      <c r="H15">
        <v>80</v>
      </c>
      <c r="J15" s="1"/>
    </row>
    <row r="16" spans="1:12" x14ac:dyDescent="0.2">
      <c r="A16" t="s">
        <v>61</v>
      </c>
      <c r="B16">
        <v>5</v>
      </c>
      <c r="G16" s="1">
        <v>0.23</v>
      </c>
      <c r="H16">
        <v>75</v>
      </c>
      <c r="J16" s="1"/>
    </row>
    <row r="17" spans="1:17" x14ac:dyDescent="0.2">
      <c r="A17" t="s">
        <v>66</v>
      </c>
      <c r="B17">
        <v>5</v>
      </c>
      <c r="G17" s="1">
        <v>0.2</v>
      </c>
      <c r="H17">
        <v>85</v>
      </c>
      <c r="J17" s="1"/>
    </row>
    <row r="18" spans="1:17" x14ac:dyDescent="0.2">
      <c r="A18" t="s">
        <v>67</v>
      </c>
      <c r="B18">
        <v>5</v>
      </c>
      <c r="G18" s="1">
        <v>0.23</v>
      </c>
      <c r="H18">
        <v>90</v>
      </c>
      <c r="J18" s="1"/>
    </row>
    <row r="19" spans="1:17" x14ac:dyDescent="0.2">
      <c r="A19" t="s">
        <v>65</v>
      </c>
      <c r="B19">
        <v>7</v>
      </c>
      <c r="G19" s="1">
        <v>0.247</v>
      </c>
      <c r="H19">
        <v>150</v>
      </c>
      <c r="J19" s="1"/>
    </row>
    <row r="22" spans="1:17" x14ac:dyDescent="0.2">
      <c r="A22" s="8" t="s">
        <v>176</v>
      </c>
      <c r="B22" s="8" t="s">
        <v>174</v>
      </c>
      <c r="C22" s="8" t="s">
        <v>186</v>
      </c>
      <c r="D22" s="8" t="s">
        <v>187</v>
      </c>
      <c r="E22" s="8" t="s">
        <v>188</v>
      </c>
      <c r="F22" s="8" t="s">
        <v>189</v>
      </c>
      <c r="G22" s="8" t="s">
        <v>190</v>
      </c>
      <c r="H22" s="10" t="s">
        <v>191</v>
      </c>
      <c r="I22" s="8" t="s">
        <v>192</v>
      </c>
      <c r="J22" s="8" t="s">
        <v>193</v>
      </c>
      <c r="K22" s="14" t="s">
        <v>194</v>
      </c>
      <c r="L22" s="8" t="s">
        <v>129</v>
      </c>
      <c r="M22" s="8" t="s">
        <v>195</v>
      </c>
      <c r="N22" s="8" t="s">
        <v>196</v>
      </c>
      <c r="O22" s="14" t="s">
        <v>197</v>
      </c>
      <c r="P22" s="14" t="s">
        <v>198</v>
      </c>
      <c r="Q22" s="14" t="s">
        <v>199</v>
      </c>
    </row>
    <row r="23" spans="1:17" x14ac:dyDescent="0.2">
      <c r="A23" t="s">
        <v>178</v>
      </c>
      <c r="B23">
        <v>0</v>
      </c>
      <c r="C23">
        <v>3</v>
      </c>
      <c r="D23" t="s">
        <v>3</v>
      </c>
      <c r="E23" s="1" t="e">
        <f>IF(Setup!#REF!&gt;0, 82.35% + 3.53% *Setup!#REF!, 0)</f>
        <v>#REF!</v>
      </c>
      <c r="F23" s="16" t="s">
        <v>181</v>
      </c>
      <c r="G23" s="17">
        <v>0</v>
      </c>
      <c r="H23" s="33">
        <v>0.75</v>
      </c>
      <c r="I23" s="33">
        <v>0.84375</v>
      </c>
      <c r="J23" s="33">
        <v>0.9375</v>
      </c>
      <c r="K23" s="35">
        <v>1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</row>
    <row r="27" spans="1:17" x14ac:dyDescent="0.2">
      <c r="A27" s="8" t="s">
        <v>88</v>
      </c>
    </row>
    <row r="28" spans="1:17" x14ac:dyDescent="0.2">
      <c r="A28">
        <v>0</v>
      </c>
    </row>
    <row r="29" spans="1:17" x14ac:dyDescent="0.2">
      <c r="A29">
        <v>1</v>
      </c>
    </row>
    <row r="31" spans="1:17" x14ac:dyDescent="0.2">
      <c r="A31" s="8" t="s">
        <v>579</v>
      </c>
    </row>
    <row r="32" spans="1:17" x14ac:dyDescent="0.2">
      <c r="A32" t="s">
        <v>296</v>
      </c>
    </row>
    <row r="33" spans="1:12" x14ac:dyDescent="0.2">
      <c r="A33" t="s">
        <v>295</v>
      </c>
    </row>
    <row r="35" spans="1:12" x14ac:dyDescent="0.2">
      <c r="A35" s="8" t="s">
        <v>618</v>
      </c>
    </row>
    <row r="36" spans="1:12" x14ac:dyDescent="0.2">
      <c r="A36" t="s">
        <v>619</v>
      </c>
    </row>
    <row r="37" spans="1:12" x14ac:dyDescent="0.2">
      <c r="A37" t="s">
        <v>7</v>
      </c>
    </row>
    <row r="40" spans="1:12" x14ac:dyDescent="0.2">
      <c r="A40" s="8" t="s">
        <v>68</v>
      </c>
      <c r="B40" s="8" t="s">
        <v>120</v>
      </c>
      <c r="C40" s="8" t="s">
        <v>121</v>
      </c>
      <c r="D40" s="8" t="s">
        <v>11</v>
      </c>
      <c r="E40" s="8" t="s">
        <v>312</v>
      </c>
      <c r="F40" s="8" t="s">
        <v>651</v>
      </c>
      <c r="G40" s="8" t="s">
        <v>272</v>
      </c>
      <c r="H40" s="8" t="s">
        <v>274</v>
      </c>
      <c r="I40" s="8" t="s">
        <v>516</v>
      </c>
      <c r="J40" s="8" t="s">
        <v>275</v>
      </c>
      <c r="K40" s="8" t="s">
        <v>515</v>
      </c>
      <c r="L40" s="8" t="s">
        <v>76</v>
      </c>
    </row>
    <row r="41" spans="1:12" x14ac:dyDescent="0.2">
      <c r="A41" t="s">
        <v>34</v>
      </c>
      <c r="J41" s="31"/>
      <c r="K41" s="31"/>
    </row>
    <row r="42" spans="1:12" x14ac:dyDescent="0.2">
      <c r="A42" t="s">
        <v>523</v>
      </c>
      <c r="C42">
        <v>10</v>
      </c>
      <c r="J42" s="31">
        <v>0.1</v>
      </c>
      <c r="K42" s="31">
        <v>0.1</v>
      </c>
    </row>
    <row r="43" spans="1:12" x14ac:dyDescent="0.2">
      <c r="A43" t="s">
        <v>85</v>
      </c>
      <c r="J43" s="31"/>
      <c r="K43" s="31"/>
    </row>
    <row r="44" spans="1:12" x14ac:dyDescent="0.2">
      <c r="A44" t="s">
        <v>106</v>
      </c>
      <c r="J44" s="31"/>
      <c r="K44" s="31"/>
    </row>
    <row r="45" spans="1:12" x14ac:dyDescent="0.2">
      <c r="A45" t="s">
        <v>79</v>
      </c>
      <c r="J45" s="31"/>
      <c r="K45" s="31"/>
    </row>
    <row r="46" spans="1:12" x14ac:dyDescent="0.2">
      <c r="A46" t="s">
        <v>75</v>
      </c>
      <c r="J46" s="31"/>
      <c r="K46" s="31"/>
    </row>
    <row r="47" spans="1:12" x14ac:dyDescent="0.2">
      <c r="A47" t="s">
        <v>72</v>
      </c>
      <c r="J47" s="31"/>
      <c r="K47" s="31"/>
    </row>
    <row r="48" spans="1:12" x14ac:dyDescent="0.2">
      <c r="A48" t="s">
        <v>94</v>
      </c>
      <c r="J48" s="31"/>
      <c r="K48" s="31"/>
    </row>
    <row r="49" spans="1:13" x14ac:dyDescent="0.2">
      <c r="A49" t="s">
        <v>70</v>
      </c>
      <c r="J49" s="31"/>
      <c r="K49" s="31"/>
    </row>
    <row r="50" spans="1:13" x14ac:dyDescent="0.2">
      <c r="A50" t="s">
        <v>95</v>
      </c>
      <c r="J50" s="31"/>
      <c r="K50" s="31"/>
    </row>
    <row r="51" spans="1:13" x14ac:dyDescent="0.2">
      <c r="A51" t="s">
        <v>73</v>
      </c>
      <c r="J51" s="31"/>
      <c r="K51" s="31"/>
    </row>
    <row r="52" spans="1:13" x14ac:dyDescent="0.2">
      <c r="A52" t="s">
        <v>74</v>
      </c>
      <c r="J52" s="31"/>
      <c r="K52" s="31"/>
    </row>
    <row r="53" spans="1:13" x14ac:dyDescent="0.2">
      <c r="A53" t="s">
        <v>92</v>
      </c>
      <c r="J53" s="31"/>
      <c r="K53" s="31"/>
    </row>
    <row r="54" spans="1:13" x14ac:dyDescent="0.2">
      <c r="A54" t="s">
        <v>93</v>
      </c>
      <c r="J54" s="31"/>
      <c r="K54" s="31"/>
    </row>
    <row r="55" spans="1:13" x14ac:dyDescent="0.2">
      <c r="A55" t="s">
        <v>69</v>
      </c>
      <c r="J55" s="31"/>
      <c r="K55" s="31"/>
    </row>
    <row r="56" spans="1:13" x14ac:dyDescent="0.2">
      <c r="A56" t="s">
        <v>71</v>
      </c>
      <c r="J56" s="31"/>
      <c r="K56" s="31"/>
      <c r="L56">
        <v>2</v>
      </c>
    </row>
    <row r="59" spans="1:13" x14ac:dyDescent="0.2">
      <c r="A59" s="8" t="s">
        <v>109</v>
      </c>
      <c r="B59" s="8" t="s">
        <v>28</v>
      </c>
      <c r="C59" s="8" t="s">
        <v>258</v>
      </c>
      <c r="D59" s="8" t="s">
        <v>29</v>
      </c>
      <c r="E59" s="8" t="s">
        <v>30</v>
      </c>
      <c r="F59" s="8" t="s">
        <v>33</v>
      </c>
      <c r="G59" s="8" t="s">
        <v>5</v>
      </c>
      <c r="H59" s="8" t="s">
        <v>120</v>
      </c>
      <c r="I59" s="76" t="s">
        <v>121</v>
      </c>
      <c r="J59" s="8" t="s">
        <v>342</v>
      </c>
      <c r="K59" s="8" t="s">
        <v>504</v>
      </c>
      <c r="L59" s="8" t="s">
        <v>244</v>
      </c>
      <c r="M59" s="8" t="s">
        <v>245</v>
      </c>
    </row>
    <row r="60" spans="1:13" x14ac:dyDescent="0.2">
      <c r="A60" s="19" t="s">
        <v>613</v>
      </c>
      <c r="B60">
        <v>1</v>
      </c>
      <c r="C60" s="19" t="s">
        <v>259</v>
      </c>
      <c r="D60">
        <v>12</v>
      </c>
      <c r="E60">
        <v>8</v>
      </c>
      <c r="F60">
        <v>5</v>
      </c>
      <c r="G60">
        <v>6</v>
      </c>
      <c r="H60">
        <v>6</v>
      </c>
      <c r="I60">
        <v>7</v>
      </c>
      <c r="J60">
        <v>0</v>
      </c>
      <c r="K60" s="1">
        <v>0</v>
      </c>
      <c r="L60" s="1">
        <v>0</v>
      </c>
      <c r="M60" s="1">
        <v>0</v>
      </c>
    </row>
    <row r="61" spans="1:13" x14ac:dyDescent="0.2">
      <c r="A61" t="s">
        <v>110</v>
      </c>
      <c r="B61">
        <v>84</v>
      </c>
      <c r="C61" t="s">
        <v>259</v>
      </c>
      <c r="D61">
        <v>360</v>
      </c>
      <c r="E61">
        <v>351</v>
      </c>
      <c r="F61">
        <v>74</v>
      </c>
      <c r="G61">
        <v>75</v>
      </c>
      <c r="H61">
        <v>75</v>
      </c>
      <c r="I61">
        <v>75</v>
      </c>
      <c r="J61">
        <v>0</v>
      </c>
      <c r="K61" s="1">
        <v>0</v>
      </c>
      <c r="L61" s="1">
        <v>0</v>
      </c>
      <c r="M61" s="1">
        <v>0</v>
      </c>
    </row>
    <row r="62" spans="1:13" x14ac:dyDescent="0.2">
      <c r="A62" t="s">
        <v>248</v>
      </c>
      <c r="B62">
        <v>96</v>
      </c>
      <c r="C62" t="s">
        <v>259</v>
      </c>
      <c r="D62">
        <v>435</v>
      </c>
      <c r="E62">
        <v>405</v>
      </c>
      <c r="F62">
        <v>98</v>
      </c>
      <c r="G62">
        <v>95</v>
      </c>
      <c r="H62">
        <v>95</v>
      </c>
      <c r="I62">
        <v>95</v>
      </c>
      <c r="J62">
        <v>0</v>
      </c>
      <c r="K62" s="1">
        <v>0</v>
      </c>
      <c r="L62" s="1">
        <v>0</v>
      </c>
      <c r="M62" s="1">
        <v>0</v>
      </c>
    </row>
    <row r="63" spans="1:13" x14ac:dyDescent="0.2">
      <c r="A63" t="s">
        <v>242</v>
      </c>
      <c r="B63">
        <v>95</v>
      </c>
      <c r="C63" t="s">
        <v>259</v>
      </c>
      <c r="D63">
        <v>648</v>
      </c>
      <c r="E63">
        <v>430</v>
      </c>
      <c r="F63">
        <v>125</v>
      </c>
      <c r="G63">
        <v>133</v>
      </c>
      <c r="H63">
        <v>133</v>
      </c>
      <c r="I63">
        <v>133</v>
      </c>
      <c r="J63">
        <v>0</v>
      </c>
      <c r="K63" s="1">
        <v>0</v>
      </c>
      <c r="L63" s="1">
        <v>0.08</v>
      </c>
      <c r="M63" s="1">
        <v>0</v>
      </c>
    </row>
    <row r="64" spans="1:13" x14ac:dyDescent="0.2">
      <c r="A64" t="s">
        <v>241</v>
      </c>
      <c r="B64">
        <v>95</v>
      </c>
      <c r="C64" t="s">
        <v>259</v>
      </c>
      <c r="D64">
        <v>661</v>
      </c>
      <c r="E64">
        <v>464</v>
      </c>
      <c r="F64">
        <v>120</v>
      </c>
      <c r="G64">
        <v>150</v>
      </c>
      <c r="H64">
        <v>150</v>
      </c>
      <c r="I64">
        <v>150</v>
      </c>
      <c r="J64">
        <v>0</v>
      </c>
      <c r="K64" s="1">
        <v>0</v>
      </c>
      <c r="L64" s="1">
        <v>0</v>
      </c>
      <c r="M64" s="1">
        <v>0</v>
      </c>
    </row>
    <row r="65" spans="1:13" x14ac:dyDescent="0.2">
      <c r="A65" t="s">
        <v>240</v>
      </c>
      <c r="B65">
        <v>95</v>
      </c>
      <c r="C65" t="s">
        <v>259</v>
      </c>
      <c r="D65">
        <v>642</v>
      </c>
      <c r="E65">
        <v>335</v>
      </c>
      <c r="F65">
        <v>110</v>
      </c>
      <c r="G65">
        <v>124</v>
      </c>
      <c r="H65">
        <v>124</v>
      </c>
      <c r="I65">
        <v>124</v>
      </c>
      <c r="J65">
        <v>0</v>
      </c>
      <c r="K65" s="1">
        <v>0</v>
      </c>
      <c r="L65" s="1">
        <v>0</v>
      </c>
      <c r="M65" s="1">
        <v>0</v>
      </c>
    </row>
    <row r="66" spans="1:13" x14ac:dyDescent="0.2">
      <c r="A66" t="s">
        <v>243</v>
      </c>
      <c r="B66">
        <v>99</v>
      </c>
      <c r="C66" t="s">
        <v>259</v>
      </c>
      <c r="D66">
        <v>516</v>
      </c>
      <c r="E66">
        <v>411</v>
      </c>
      <c r="F66">
        <v>77</v>
      </c>
      <c r="G66">
        <v>118</v>
      </c>
      <c r="H66">
        <v>118</v>
      </c>
      <c r="I66">
        <v>118</v>
      </c>
      <c r="J66">
        <v>0</v>
      </c>
      <c r="K66" s="1">
        <v>0</v>
      </c>
      <c r="L66" s="1">
        <v>0.14000000000000001</v>
      </c>
      <c r="M66" s="1">
        <v>0</v>
      </c>
    </row>
    <row r="67" spans="1:13" x14ac:dyDescent="0.2">
      <c r="A67" t="s">
        <v>96</v>
      </c>
      <c r="B67">
        <v>101</v>
      </c>
      <c r="C67" t="s">
        <v>259</v>
      </c>
      <c r="D67">
        <v>560</v>
      </c>
      <c r="E67">
        <v>430</v>
      </c>
      <c r="F67">
        <v>100</v>
      </c>
      <c r="G67">
        <v>110</v>
      </c>
      <c r="H67">
        <v>110</v>
      </c>
      <c r="I67">
        <v>110</v>
      </c>
      <c r="J67">
        <v>0</v>
      </c>
      <c r="K67" s="1">
        <v>0</v>
      </c>
      <c r="L67" s="1">
        <v>0</v>
      </c>
      <c r="M67" s="1">
        <v>0</v>
      </c>
    </row>
    <row r="68" spans="1:13" x14ac:dyDescent="0.2">
      <c r="A68" t="s">
        <v>262</v>
      </c>
      <c r="B68">
        <v>100</v>
      </c>
      <c r="C68" t="s">
        <v>261</v>
      </c>
      <c r="D68">
        <v>498</v>
      </c>
      <c r="E68">
        <v>468</v>
      </c>
      <c r="F68">
        <v>106</v>
      </c>
      <c r="G68">
        <v>110</v>
      </c>
      <c r="H68">
        <v>96</v>
      </c>
      <c r="I68">
        <v>110</v>
      </c>
      <c r="J68">
        <v>0</v>
      </c>
      <c r="K68" s="1">
        <v>0</v>
      </c>
      <c r="L68" s="1">
        <v>0</v>
      </c>
      <c r="M68" s="1">
        <v>0</v>
      </c>
    </row>
    <row r="69" spans="1:13" x14ac:dyDescent="0.2">
      <c r="A69" t="s">
        <v>260</v>
      </c>
      <c r="B69">
        <v>102</v>
      </c>
      <c r="C69" t="s">
        <v>261</v>
      </c>
      <c r="D69">
        <v>534</v>
      </c>
      <c r="E69">
        <v>505</v>
      </c>
      <c r="F69">
        <v>108</v>
      </c>
      <c r="G69">
        <v>112</v>
      </c>
      <c r="H69">
        <v>102</v>
      </c>
      <c r="I69">
        <v>102</v>
      </c>
      <c r="J69">
        <v>0</v>
      </c>
      <c r="K69" s="1">
        <v>0</v>
      </c>
      <c r="L69" s="1">
        <v>0</v>
      </c>
      <c r="M69" s="1">
        <v>0</v>
      </c>
    </row>
    <row r="70" spans="1:13" x14ac:dyDescent="0.2">
      <c r="A70" t="s">
        <v>267</v>
      </c>
      <c r="B70">
        <v>107</v>
      </c>
      <c r="C70" t="s">
        <v>261</v>
      </c>
      <c r="D70">
        <v>610</v>
      </c>
      <c r="E70">
        <v>590</v>
      </c>
      <c r="F70">
        <v>136</v>
      </c>
      <c r="G70">
        <v>136</v>
      </c>
      <c r="H70">
        <v>136</v>
      </c>
      <c r="I70">
        <v>136</v>
      </c>
      <c r="J70">
        <v>0</v>
      </c>
      <c r="K70" s="1">
        <v>0</v>
      </c>
      <c r="L70" s="1">
        <v>0</v>
      </c>
      <c r="M70" s="1">
        <v>0</v>
      </c>
    </row>
    <row r="71" spans="1:13" x14ac:dyDescent="0.2">
      <c r="A71" s="19" t="s">
        <v>610</v>
      </c>
      <c r="B71">
        <v>130</v>
      </c>
      <c r="C71" s="19" t="s">
        <v>261</v>
      </c>
      <c r="D71">
        <v>1900</v>
      </c>
      <c r="E71">
        <v>870</v>
      </c>
      <c r="F71">
        <v>200</v>
      </c>
      <c r="G71">
        <v>200</v>
      </c>
      <c r="H71">
        <v>200</v>
      </c>
      <c r="I71">
        <v>200</v>
      </c>
      <c r="J71">
        <v>0</v>
      </c>
      <c r="K71" s="1">
        <v>0</v>
      </c>
      <c r="L71" s="1">
        <v>0</v>
      </c>
      <c r="M71" s="1">
        <v>0</v>
      </c>
    </row>
    <row r="72" spans="1:13" x14ac:dyDescent="0.2">
      <c r="A72" t="s">
        <v>182</v>
      </c>
      <c r="B72">
        <v>110</v>
      </c>
      <c r="C72" t="s">
        <v>259</v>
      </c>
      <c r="D72">
        <v>560</v>
      </c>
      <c r="E72">
        <v>470</v>
      </c>
      <c r="F72">
        <v>110</v>
      </c>
      <c r="G72">
        <v>115</v>
      </c>
      <c r="H72">
        <v>115</v>
      </c>
      <c r="I72">
        <v>115</v>
      </c>
      <c r="J72">
        <v>0</v>
      </c>
      <c r="K72" s="1">
        <v>0</v>
      </c>
      <c r="L72" s="1">
        <v>0</v>
      </c>
      <c r="M72" s="1">
        <v>0</v>
      </c>
    </row>
    <row r="73" spans="1:13" x14ac:dyDescent="0.2">
      <c r="A73" t="s">
        <v>184</v>
      </c>
      <c r="B73">
        <v>110</v>
      </c>
      <c r="C73" t="s">
        <v>259</v>
      </c>
      <c r="D73">
        <v>560</v>
      </c>
      <c r="E73">
        <v>485</v>
      </c>
      <c r="F73">
        <v>120</v>
      </c>
      <c r="G73">
        <v>120</v>
      </c>
      <c r="H73">
        <v>120</v>
      </c>
      <c r="I73">
        <v>120</v>
      </c>
      <c r="J73">
        <v>0</v>
      </c>
      <c r="K73" s="1">
        <v>0</v>
      </c>
      <c r="L73" s="1">
        <v>0</v>
      </c>
      <c r="M73" s="1">
        <v>0</v>
      </c>
    </row>
    <row r="74" spans="1:13" x14ac:dyDescent="0.2">
      <c r="A74" t="s">
        <v>249</v>
      </c>
      <c r="B74">
        <v>120</v>
      </c>
      <c r="C74" t="s">
        <v>259</v>
      </c>
      <c r="D74">
        <v>750</v>
      </c>
      <c r="E74">
        <v>540</v>
      </c>
      <c r="F74">
        <v>110</v>
      </c>
      <c r="G74">
        <v>123</v>
      </c>
      <c r="H74">
        <v>123</v>
      </c>
      <c r="I74">
        <v>123</v>
      </c>
      <c r="J74">
        <v>0</v>
      </c>
      <c r="K74" s="1">
        <v>0</v>
      </c>
      <c r="L74" s="1">
        <v>0</v>
      </c>
      <c r="M74" s="1">
        <v>0</v>
      </c>
    </row>
    <row r="77" spans="1:13" x14ac:dyDescent="0.2">
      <c r="A77" s="8" t="s">
        <v>268</v>
      </c>
    </row>
    <row r="78" spans="1:13" x14ac:dyDescent="0.2">
      <c r="A78" s="13" t="s">
        <v>269</v>
      </c>
    </row>
    <row r="79" spans="1:13" x14ac:dyDescent="0.2">
      <c r="A79" s="13" t="s">
        <v>270</v>
      </c>
    </row>
    <row r="80" spans="1:13" x14ac:dyDescent="0.2">
      <c r="A80" s="13" t="s">
        <v>271</v>
      </c>
    </row>
    <row r="81" spans="1:1" x14ac:dyDescent="0.2">
      <c r="A81" s="13" t="s">
        <v>219</v>
      </c>
    </row>
    <row r="82" spans="1:1" x14ac:dyDescent="0.2">
      <c r="A82" s="70" t="s">
        <v>203</v>
      </c>
    </row>
    <row r="85" spans="1:1" x14ac:dyDescent="0.2">
      <c r="A85" s="8" t="s">
        <v>111</v>
      </c>
    </row>
    <row r="86" spans="1:1" x14ac:dyDescent="0.2">
      <c r="A86" t="s">
        <v>271</v>
      </c>
    </row>
    <row r="87" spans="1:1" x14ac:dyDescent="0.2">
      <c r="A87" t="s">
        <v>203</v>
      </c>
    </row>
    <row r="88" spans="1:1" x14ac:dyDescent="0.2">
      <c r="A88" t="s">
        <v>219</v>
      </c>
    </row>
    <row r="89" spans="1:1" x14ac:dyDescent="0.2">
      <c r="A89" t="s">
        <v>113</v>
      </c>
    </row>
    <row r="90" spans="1:1" x14ac:dyDescent="0.2">
      <c r="A90" t="s">
        <v>112</v>
      </c>
    </row>
    <row r="92" spans="1:1" x14ac:dyDescent="0.2">
      <c r="A92" s="8" t="s">
        <v>114</v>
      </c>
    </row>
    <row r="93" spans="1:1" x14ac:dyDescent="0.2">
      <c r="A93" t="s">
        <v>1</v>
      </c>
    </row>
    <row r="94" spans="1:1" x14ac:dyDescent="0.2">
      <c r="A94" t="s">
        <v>115</v>
      </c>
    </row>
    <row r="95" spans="1:1" x14ac:dyDescent="0.2">
      <c r="A95" t="s">
        <v>116</v>
      </c>
    </row>
    <row r="96" spans="1:1" x14ac:dyDescent="0.2">
      <c r="A96" t="s">
        <v>117</v>
      </c>
    </row>
    <row r="97" spans="1:11" x14ac:dyDescent="0.2">
      <c r="A97" t="s">
        <v>118</v>
      </c>
    </row>
    <row r="99" spans="1:11" x14ac:dyDescent="0.2">
      <c r="A99" s="16"/>
      <c r="B99" s="16"/>
      <c r="C99" s="16"/>
      <c r="D99" s="16"/>
      <c r="E99" s="16"/>
      <c r="F99" s="16"/>
      <c r="G99" s="16"/>
      <c r="H99" s="16"/>
      <c r="I99" s="16"/>
      <c r="J99" s="16"/>
    </row>
    <row r="100" spans="1:11" x14ac:dyDescent="0.2">
      <c r="A100" s="14" t="s">
        <v>304</v>
      </c>
      <c r="B100" s="16"/>
      <c r="C100" s="16"/>
      <c r="D100" s="16"/>
      <c r="E100" s="16"/>
      <c r="F100" s="16"/>
      <c r="G100" s="16"/>
      <c r="H100" s="16"/>
      <c r="I100" s="16"/>
      <c r="J100" s="16"/>
    </row>
    <row r="101" spans="1:11" x14ac:dyDescent="0.2">
      <c r="A101" s="13" t="s">
        <v>278</v>
      </c>
      <c r="B101" s="16"/>
      <c r="C101" s="16"/>
      <c r="D101" s="16"/>
      <c r="E101" s="16"/>
      <c r="F101" s="16"/>
      <c r="G101" s="16"/>
      <c r="H101" s="16"/>
      <c r="I101" s="16"/>
      <c r="J101" s="16"/>
    </row>
    <row r="102" spans="1:11" x14ac:dyDescent="0.2">
      <c r="A102" s="13" t="s">
        <v>290</v>
      </c>
      <c r="B102" s="16"/>
      <c r="C102" s="16"/>
      <c r="D102" s="16"/>
      <c r="E102" s="16"/>
      <c r="F102" s="16"/>
      <c r="G102" s="16"/>
      <c r="H102" s="16"/>
      <c r="I102" s="16"/>
      <c r="J102" s="16"/>
    </row>
    <row r="103" spans="1:11" x14ac:dyDescent="0.2">
      <c r="A103" s="13" t="s">
        <v>291</v>
      </c>
      <c r="B103" s="16"/>
      <c r="C103" s="16"/>
      <c r="D103" s="16"/>
      <c r="E103" s="16"/>
      <c r="F103" s="16"/>
      <c r="G103" s="16"/>
      <c r="H103" s="16"/>
      <c r="I103" s="16"/>
      <c r="J103" s="16"/>
    </row>
    <row r="104" spans="1:11" x14ac:dyDescent="0.2">
      <c r="A104" s="13" t="s">
        <v>292</v>
      </c>
      <c r="B104" s="16"/>
      <c r="C104" s="16"/>
      <c r="D104" s="16"/>
      <c r="E104" s="16"/>
      <c r="F104" s="16"/>
      <c r="G104" s="16"/>
      <c r="H104" s="16"/>
      <c r="I104" s="16"/>
      <c r="J104" s="16"/>
    </row>
    <row r="105" spans="1:11" x14ac:dyDescent="0.2">
      <c r="A105" s="13" t="s">
        <v>293</v>
      </c>
      <c r="B105" s="16"/>
      <c r="C105" s="16"/>
      <c r="D105" s="16"/>
      <c r="E105" s="16"/>
      <c r="F105" s="16"/>
      <c r="G105" s="16"/>
      <c r="H105" s="16"/>
      <c r="I105" s="16"/>
      <c r="J105" s="16"/>
    </row>
    <row r="106" spans="1:11" x14ac:dyDescent="0.2">
      <c r="A106" s="13" t="s">
        <v>294</v>
      </c>
      <c r="B106" s="16"/>
      <c r="C106" s="16"/>
      <c r="D106" s="16"/>
      <c r="E106" s="16"/>
      <c r="F106" s="16"/>
      <c r="G106" s="16"/>
      <c r="H106" s="16"/>
      <c r="I106" s="16"/>
      <c r="J106" s="16"/>
    </row>
    <row r="107" spans="1:11" x14ac:dyDescent="0.2">
      <c r="A107" s="16"/>
      <c r="B107" s="16"/>
      <c r="C107" s="16"/>
      <c r="D107" s="16"/>
      <c r="E107" s="16"/>
      <c r="F107" s="16"/>
      <c r="G107" s="16"/>
      <c r="H107" s="16"/>
      <c r="I107" s="16"/>
      <c r="J107" s="16"/>
    </row>
    <row r="108" spans="1:11" x14ac:dyDescent="0.2">
      <c r="A108" s="14" t="s">
        <v>313</v>
      </c>
      <c r="B108" s="8" t="s">
        <v>593</v>
      </c>
      <c r="C108" s="8" t="s">
        <v>594</v>
      </c>
      <c r="D108" s="16"/>
      <c r="E108" s="16"/>
      <c r="F108" s="16"/>
      <c r="G108" s="16"/>
      <c r="H108" s="16"/>
      <c r="I108" s="16"/>
      <c r="J108" s="16"/>
    </row>
    <row r="109" spans="1:11" x14ac:dyDescent="0.2">
      <c r="A109" s="13" t="s">
        <v>306</v>
      </c>
      <c r="B109" s="13" t="s">
        <v>306</v>
      </c>
      <c r="C109" s="16" t="s">
        <v>569</v>
      </c>
      <c r="D109" s="16"/>
      <c r="E109" s="16"/>
      <c r="F109" s="16"/>
      <c r="G109" s="16"/>
      <c r="H109" s="16"/>
      <c r="I109" s="16"/>
      <c r="J109" s="16"/>
      <c r="K109" s="16"/>
    </row>
    <row r="110" spans="1:11" x14ac:dyDescent="0.2">
      <c r="A110" s="13" t="s">
        <v>587</v>
      </c>
      <c r="B110" s="13" t="s">
        <v>589</v>
      </c>
      <c r="C110" s="16" t="s">
        <v>588</v>
      </c>
      <c r="D110" s="16"/>
      <c r="E110" s="16"/>
      <c r="F110" s="16"/>
      <c r="G110" s="16"/>
      <c r="H110" s="16"/>
      <c r="I110" s="16"/>
      <c r="J110" s="16"/>
      <c r="K110" s="16"/>
    </row>
    <row r="111" spans="1:11" x14ac:dyDescent="0.2">
      <c r="A111" s="13" t="s">
        <v>343</v>
      </c>
      <c r="B111" s="13" t="s">
        <v>590</v>
      </c>
      <c r="C111" s="16" t="s">
        <v>568</v>
      </c>
      <c r="D111" s="16"/>
      <c r="E111" s="16"/>
      <c r="F111" s="16"/>
      <c r="G111" s="16"/>
      <c r="H111" s="16"/>
      <c r="I111" s="16"/>
      <c r="J111" s="16"/>
      <c r="K111" s="16"/>
    </row>
    <row r="112" spans="1:11" x14ac:dyDescent="0.2">
      <c r="A112" s="13" t="s">
        <v>543</v>
      </c>
      <c r="B112" s="13" t="s">
        <v>591</v>
      </c>
      <c r="C112" s="16" t="s">
        <v>570</v>
      </c>
      <c r="D112" s="16"/>
      <c r="E112" s="16"/>
      <c r="F112" s="16"/>
      <c r="G112" s="16"/>
      <c r="H112" s="16"/>
      <c r="I112" s="16"/>
      <c r="J112" s="16"/>
      <c r="K112" s="16"/>
    </row>
    <row r="113" spans="1:12" x14ac:dyDescent="0.2">
      <c r="A113" s="13" t="s">
        <v>573</v>
      </c>
      <c r="B113" s="13" t="s">
        <v>592</v>
      </c>
      <c r="C113" s="16" t="s">
        <v>567</v>
      </c>
      <c r="D113" s="16"/>
      <c r="E113" s="16"/>
      <c r="F113" s="16"/>
      <c r="G113" s="16"/>
      <c r="H113" s="16"/>
      <c r="I113" s="16"/>
      <c r="J113" s="16"/>
      <c r="K113" s="16"/>
    </row>
    <row r="114" spans="1:12" x14ac:dyDescent="0.2">
      <c r="A114" s="16"/>
      <c r="B114" s="16"/>
      <c r="C114" s="16"/>
      <c r="D114" s="16"/>
      <c r="E114" s="16"/>
      <c r="F114" s="16"/>
      <c r="G114" s="16"/>
      <c r="H114" s="16"/>
      <c r="I114" s="16"/>
      <c r="J114" s="16"/>
    </row>
    <row r="116" spans="1:12" x14ac:dyDescent="0.2">
      <c r="A116" s="43"/>
      <c r="B116" s="43"/>
      <c r="C116" s="43"/>
      <c r="D116" s="43" t="s">
        <v>254</v>
      </c>
      <c r="E116" s="43"/>
      <c r="F116" s="43"/>
      <c r="G116" s="43"/>
      <c r="H116" s="43"/>
      <c r="I116" s="43" t="s">
        <v>255</v>
      </c>
      <c r="J116" s="43"/>
      <c r="K116" s="11"/>
      <c r="L116" s="11"/>
    </row>
    <row r="117" spans="1:12" x14ac:dyDescent="0.2">
      <c r="A117" s="44" t="s">
        <v>14</v>
      </c>
      <c r="B117" s="44" t="s">
        <v>264</v>
      </c>
      <c r="C117" s="44" t="s">
        <v>256</v>
      </c>
      <c r="D117" s="44">
        <v>0</v>
      </c>
      <c r="E117" s="44">
        <v>1</v>
      </c>
      <c r="F117" s="44">
        <v>2</v>
      </c>
      <c r="G117" s="44">
        <v>3</v>
      </c>
      <c r="H117" s="44">
        <v>4</v>
      </c>
      <c r="I117" s="44">
        <v>5</v>
      </c>
      <c r="J117" s="44" t="s">
        <v>276</v>
      </c>
      <c r="K117" s="44" t="s">
        <v>277</v>
      </c>
    </row>
    <row r="118" spans="1:12" x14ac:dyDescent="0.2">
      <c r="A118" s="11" t="s">
        <v>399</v>
      </c>
      <c r="B118" s="11" t="s">
        <v>401</v>
      </c>
      <c r="C118" s="11" t="s">
        <v>651</v>
      </c>
      <c r="D118" s="11">
        <v>0</v>
      </c>
      <c r="E118" s="11">
        <v>0</v>
      </c>
      <c r="F118" s="46">
        <v>12</v>
      </c>
      <c r="G118" s="11">
        <v>0</v>
      </c>
      <c r="H118" s="11">
        <v>0</v>
      </c>
      <c r="I118" s="11">
        <v>0</v>
      </c>
      <c r="J118" s="11">
        <f t="shared" ref="J118:K129" ca="1" si="0">HLOOKUP((COUNTIF(INDIRECT(J$117), $A118) + IF(ISBLANK($B118)=FALSE, COUNTIF(INDIRECT(J$117), $B118), 0)) * IF(COUNTIF(INDIRECT(J$117), $A118)&gt;0, 1, 0) * IF(ISBLANK($B118)=FALSE, IF(COUNTIF(INDIRECT(J$117), $B118)&gt;0, 1, 0), 1), SetBonusLookup, ROW()-ROW(SetBonusLookup)+1, FALSE)</f>
        <v>0</v>
      </c>
      <c r="K118" s="11">
        <f t="shared" ca="1" si="0"/>
        <v>0</v>
      </c>
    </row>
    <row r="119" spans="1:12" x14ac:dyDescent="0.2">
      <c r="A119" s="11" t="s">
        <v>520</v>
      </c>
      <c r="B119" s="11" t="s">
        <v>521</v>
      </c>
      <c r="C119" s="11" t="s">
        <v>3</v>
      </c>
      <c r="D119" s="11">
        <v>0</v>
      </c>
      <c r="E119" s="11">
        <v>0</v>
      </c>
      <c r="F119" s="11">
        <v>6</v>
      </c>
      <c r="G119" s="11">
        <v>0</v>
      </c>
      <c r="H119" s="11">
        <v>0</v>
      </c>
      <c r="I119" s="11">
        <v>0</v>
      </c>
      <c r="J119" s="11">
        <f t="shared" ca="1" si="0"/>
        <v>0</v>
      </c>
      <c r="K119" s="11">
        <f t="shared" ca="1" si="0"/>
        <v>0</v>
      </c>
    </row>
    <row r="120" spans="1:12" x14ac:dyDescent="0.2">
      <c r="A120" s="11" t="s">
        <v>520</v>
      </c>
      <c r="B120" s="11" t="s">
        <v>521</v>
      </c>
      <c r="C120" s="11" t="s">
        <v>9</v>
      </c>
      <c r="D120" s="11">
        <v>0</v>
      </c>
      <c r="E120" s="11">
        <v>0</v>
      </c>
      <c r="F120" s="11">
        <v>4</v>
      </c>
      <c r="G120" s="11">
        <v>0</v>
      </c>
      <c r="H120" s="11">
        <v>0</v>
      </c>
      <c r="I120" s="11">
        <v>0</v>
      </c>
      <c r="J120" s="11">
        <f t="shared" ca="1" si="0"/>
        <v>0</v>
      </c>
      <c r="K120" s="11">
        <f t="shared" ca="1" si="0"/>
        <v>0</v>
      </c>
    </row>
    <row r="121" spans="1:12" x14ac:dyDescent="0.2">
      <c r="A121" s="11" t="s">
        <v>520</v>
      </c>
      <c r="B121" s="11" t="s">
        <v>521</v>
      </c>
      <c r="C121" s="11" t="s">
        <v>522</v>
      </c>
      <c r="D121" s="11">
        <v>0</v>
      </c>
      <c r="E121" s="11">
        <v>0</v>
      </c>
      <c r="F121" s="11">
        <v>4</v>
      </c>
      <c r="G121" s="11">
        <v>0</v>
      </c>
      <c r="H121" s="11">
        <v>0</v>
      </c>
      <c r="I121" s="11">
        <v>0</v>
      </c>
      <c r="J121" s="11">
        <f t="shared" ca="1" si="0"/>
        <v>0</v>
      </c>
      <c r="K121" s="11">
        <f t="shared" ca="1" si="0"/>
        <v>0</v>
      </c>
    </row>
    <row r="122" spans="1:12" x14ac:dyDescent="0.2">
      <c r="A122" s="11" t="s">
        <v>520</v>
      </c>
      <c r="B122" s="11" t="s">
        <v>521</v>
      </c>
      <c r="C122" s="11" t="s">
        <v>272</v>
      </c>
      <c r="D122" s="11">
        <v>0</v>
      </c>
      <c r="E122" s="11">
        <v>0</v>
      </c>
      <c r="F122" s="11">
        <v>2</v>
      </c>
      <c r="G122" s="11">
        <v>0</v>
      </c>
      <c r="H122" s="11">
        <v>0</v>
      </c>
      <c r="I122" s="11">
        <v>0</v>
      </c>
      <c r="J122" s="11">
        <f t="shared" ca="1" si="0"/>
        <v>0</v>
      </c>
      <c r="K122" s="11">
        <f t="shared" ca="1" si="0"/>
        <v>0</v>
      </c>
    </row>
    <row r="123" spans="1:12" x14ac:dyDescent="0.2">
      <c r="A123" s="11" t="s">
        <v>398</v>
      </c>
      <c r="B123" s="11"/>
      <c r="C123" s="11" t="s">
        <v>312</v>
      </c>
      <c r="D123" s="11">
        <v>0</v>
      </c>
      <c r="E123" s="11">
        <v>0</v>
      </c>
      <c r="F123" s="11">
        <v>0</v>
      </c>
      <c r="G123" s="11">
        <v>0</v>
      </c>
      <c r="H123" s="11">
        <v>0</v>
      </c>
      <c r="I123" s="11">
        <v>50</v>
      </c>
      <c r="J123" s="11">
        <f t="shared" ca="1" si="0"/>
        <v>0</v>
      </c>
      <c r="K123" s="11">
        <f t="shared" ca="1" si="0"/>
        <v>0</v>
      </c>
    </row>
    <row r="124" spans="1:12" x14ac:dyDescent="0.2">
      <c r="A124" s="11" t="s">
        <v>394</v>
      </c>
      <c r="B124" s="11"/>
      <c r="C124" s="11" t="s">
        <v>3</v>
      </c>
      <c r="D124" s="11">
        <v>0</v>
      </c>
      <c r="E124" s="11">
        <v>0</v>
      </c>
      <c r="F124" s="11">
        <v>2</v>
      </c>
      <c r="G124" s="11">
        <v>5</v>
      </c>
      <c r="H124" s="11">
        <v>10</v>
      </c>
      <c r="I124" s="11">
        <v>15</v>
      </c>
      <c r="J124" s="11">
        <f t="shared" ca="1" si="0"/>
        <v>0</v>
      </c>
      <c r="K124" s="11">
        <f t="shared" ca="1" si="0"/>
        <v>0</v>
      </c>
    </row>
    <row r="125" spans="1:12" x14ac:dyDescent="0.2">
      <c r="A125" s="11" t="s">
        <v>394</v>
      </c>
      <c r="B125" s="11"/>
      <c r="C125" s="11" t="s">
        <v>120</v>
      </c>
      <c r="D125" s="11">
        <v>0</v>
      </c>
      <c r="E125" s="11">
        <v>0</v>
      </c>
      <c r="F125" s="11">
        <v>2</v>
      </c>
      <c r="G125" s="11">
        <v>5</v>
      </c>
      <c r="H125" s="11">
        <v>10</v>
      </c>
      <c r="I125" s="11">
        <v>15</v>
      </c>
      <c r="J125" s="11">
        <f t="shared" ca="1" si="0"/>
        <v>0</v>
      </c>
      <c r="K125" s="11">
        <f t="shared" ca="1" si="0"/>
        <v>0</v>
      </c>
    </row>
    <row r="126" spans="1:12" x14ac:dyDescent="0.2">
      <c r="A126" s="11" t="s">
        <v>394</v>
      </c>
      <c r="B126" s="11"/>
      <c r="C126" s="11" t="s">
        <v>121</v>
      </c>
      <c r="D126" s="11">
        <v>0</v>
      </c>
      <c r="E126" s="11">
        <v>0</v>
      </c>
      <c r="F126" s="11">
        <v>2</v>
      </c>
      <c r="G126" s="11">
        <v>5</v>
      </c>
      <c r="H126" s="11">
        <v>10</v>
      </c>
      <c r="I126" s="11">
        <v>15</v>
      </c>
      <c r="J126" s="11">
        <f t="shared" ca="1" si="0"/>
        <v>0</v>
      </c>
      <c r="K126" s="11">
        <f t="shared" ca="1" si="0"/>
        <v>0</v>
      </c>
    </row>
    <row r="127" spans="1:12" x14ac:dyDescent="0.2">
      <c r="A127" s="11" t="s">
        <v>394</v>
      </c>
      <c r="B127" s="11"/>
      <c r="C127" s="11" t="s">
        <v>122</v>
      </c>
      <c r="D127" s="11">
        <v>0</v>
      </c>
      <c r="E127" s="11">
        <v>0</v>
      </c>
      <c r="F127" s="11">
        <v>2</v>
      </c>
      <c r="G127" s="11">
        <v>5</v>
      </c>
      <c r="H127" s="11">
        <v>10</v>
      </c>
      <c r="I127" s="11">
        <v>15</v>
      </c>
      <c r="J127" s="11">
        <f t="shared" ca="1" si="0"/>
        <v>0</v>
      </c>
      <c r="K127" s="11">
        <f t="shared" ca="1" si="0"/>
        <v>0</v>
      </c>
    </row>
    <row r="128" spans="1:12" x14ac:dyDescent="0.2">
      <c r="A128" s="11" t="s">
        <v>396</v>
      </c>
      <c r="B128" s="11"/>
      <c r="C128" s="11" t="s">
        <v>272</v>
      </c>
      <c r="D128" s="46">
        <v>0</v>
      </c>
      <c r="E128" s="46">
        <v>0</v>
      </c>
      <c r="F128" s="11">
        <v>0</v>
      </c>
      <c r="G128" s="11">
        <v>0</v>
      </c>
      <c r="H128" s="11">
        <v>0</v>
      </c>
      <c r="I128" s="11">
        <v>5</v>
      </c>
      <c r="J128" s="11">
        <f t="shared" ca="1" si="0"/>
        <v>0</v>
      </c>
      <c r="K128" s="11">
        <f t="shared" ca="1" si="0"/>
        <v>0</v>
      </c>
    </row>
    <row r="129" spans="1:11" x14ac:dyDescent="0.2">
      <c r="A129" s="11" t="s">
        <v>397</v>
      </c>
      <c r="B129" s="11"/>
      <c r="C129" s="11" t="s">
        <v>272</v>
      </c>
      <c r="D129" s="11">
        <v>0</v>
      </c>
      <c r="E129" s="11">
        <v>0</v>
      </c>
      <c r="F129" s="46">
        <v>3</v>
      </c>
      <c r="G129" s="11">
        <v>5</v>
      </c>
      <c r="H129" s="11">
        <v>7</v>
      </c>
      <c r="I129" s="11">
        <v>9</v>
      </c>
      <c r="J129" s="11">
        <f t="shared" ca="1" si="0"/>
        <v>0</v>
      </c>
      <c r="K129" s="11">
        <f t="shared" ca="1" si="0"/>
        <v>0</v>
      </c>
    </row>
    <row r="130" spans="1:11" x14ac:dyDescent="0.2">
      <c r="A130" s="16"/>
      <c r="B130" s="16"/>
      <c r="C130" s="16"/>
      <c r="D130" s="16"/>
      <c r="E130" s="16"/>
      <c r="F130" s="16"/>
      <c r="G130" s="16"/>
      <c r="H130" s="16"/>
      <c r="I130" s="16"/>
      <c r="J130" s="16"/>
    </row>
    <row r="131" spans="1:11" x14ac:dyDescent="0.2">
      <c r="A131" s="16"/>
      <c r="B131" s="16"/>
      <c r="C131" s="16"/>
      <c r="D131" s="16"/>
      <c r="E131" s="16"/>
      <c r="F131" s="16"/>
      <c r="G131" s="16"/>
      <c r="H131" s="16"/>
      <c r="I131" s="16"/>
      <c r="J131" s="16"/>
    </row>
    <row r="132" spans="1:11" x14ac:dyDescent="0.2">
      <c r="A132" s="13" t="s">
        <v>677</v>
      </c>
      <c r="B132" s="16" t="s">
        <v>675</v>
      </c>
      <c r="C132" s="13" t="s">
        <v>680</v>
      </c>
      <c r="D132" s="13" t="s">
        <v>645</v>
      </c>
      <c r="E132" s="13" t="s">
        <v>681</v>
      </c>
      <c r="F132" s="13" t="s">
        <v>676</v>
      </c>
      <c r="G132" s="13" t="s">
        <v>682</v>
      </c>
      <c r="H132" s="16"/>
      <c r="I132" s="16"/>
      <c r="J132" s="16"/>
    </row>
    <row r="133" spans="1:11" x14ac:dyDescent="0.2">
      <c r="A133" s="13" t="s">
        <v>269</v>
      </c>
      <c r="B133" s="16" t="s">
        <v>683</v>
      </c>
      <c r="C133" s="13" t="s">
        <v>683</v>
      </c>
      <c r="D133" s="16" t="s">
        <v>142</v>
      </c>
      <c r="E133" s="13" t="s">
        <v>142</v>
      </c>
      <c r="F133" s="13" t="s">
        <v>679</v>
      </c>
      <c r="G133" s="13" t="s">
        <v>684</v>
      </c>
      <c r="H133" s="16"/>
      <c r="I133" s="16"/>
      <c r="J133" s="16"/>
    </row>
    <row r="134" spans="1:11" x14ac:dyDescent="0.2">
      <c r="A134" s="13" t="s">
        <v>270</v>
      </c>
      <c r="B134" s="16" t="s">
        <v>684</v>
      </c>
      <c r="C134" s="13" t="s">
        <v>684</v>
      </c>
      <c r="D134" s="13" t="s">
        <v>137</v>
      </c>
      <c r="E134" s="13" t="s">
        <v>684</v>
      </c>
      <c r="F134" s="13" t="s">
        <v>679</v>
      </c>
      <c r="G134" s="13" t="s">
        <v>684</v>
      </c>
      <c r="H134" s="16"/>
      <c r="I134" s="16"/>
      <c r="J134" s="16"/>
    </row>
    <row r="135" spans="1:11" x14ac:dyDescent="0.2">
      <c r="A135" s="13" t="s">
        <v>271</v>
      </c>
      <c r="B135" s="13" t="s">
        <v>685</v>
      </c>
      <c r="C135" s="13" t="s">
        <v>684</v>
      </c>
      <c r="D135" s="13" t="s">
        <v>139</v>
      </c>
      <c r="E135" s="13" t="s">
        <v>684</v>
      </c>
      <c r="F135" s="13" t="s">
        <v>139</v>
      </c>
      <c r="G135" s="13" t="s">
        <v>684</v>
      </c>
      <c r="H135" s="16"/>
      <c r="I135" s="16"/>
      <c r="J135" s="16"/>
    </row>
    <row r="136" spans="1:11" x14ac:dyDescent="0.2">
      <c r="A136" s="13" t="s">
        <v>219</v>
      </c>
      <c r="B136" s="16" t="s">
        <v>136</v>
      </c>
      <c r="C136" s="16" t="s">
        <v>684</v>
      </c>
      <c r="D136" s="16" t="s">
        <v>136</v>
      </c>
      <c r="E136" s="13" t="s">
        <v>684</v>
      </c>
      <c r="F136" s="13" t="s">
        <v>136</v>
      </c>
      <c r="G136" s="13" t="s">
        <v>684</v>
      </c>
      <c r="H136" s="16"/>
      <c r="I136" s="16"/>
      <c r="J136" s="16"/>
    </row>
    <row r="137" spans="1:11" x14ac:dyDescent="0.2">
      <c r="A137" s="70" t="s">
        <v>203</v>
      </c>
      <c r="B137" s="13" t="s">
        <v>679</v>
      </c>
      <c r="C137" s="13" t="s">
        <v>684</v>
      </c>
      <c r="D137" s="13" t="s">
        <v>679</v>
      </c>
      <c r="E137" s="13" t="s">
        <v>684</v>
      </c>
      <c r="F137" s="13" t="s">
        <v>142</v>
      </c>
      <c r="G137" s="13" t="s">
        <v>142</v>
      </c>
      <c r="H137" s="16"/>
      <c r="I137" s="16"/>
      <c r="J137" s="16"/>
    </row>
    <row r="138" spans="1:11" x14ac:dyDescent="0.2">
      <c r="A138" s="16"/>
      <c r="B138" s="16"/>
      <c r="C138" s="16"/>
      <c r="D138" s="16"/>
      <c r="E138" s="16"/>
      <c r="F138" s="16"/>
      <c r="G138" s="16"/>
      <c r="H138" s="16"/>
      <c r="I138" s="16"/>
      <c r="J138" s="16"/>
    </row>
    <row r="139" spans="1:11" x14ac:dyDescent="0.2">
      <c r="A139" s="13" t="s">
        <v>678</v>
      </c>
      <c r="B139" s="16"/>
      <c r="C139" s="16"/>
      <c r="D139" s="16"/>
      <c r="E139" s="16"/>
      <c r="F139" s="16"/>
      <c r="G139" s="16"/>
      <c r="H139" s="16"/>
      <c r="I139" s="16"/>
      <c r="J139" s="16"/>
    </row>
    <row r="140" spans="1:11" x14ac:dyDescent="0.2">
      <c r="A140" s="13" t="s">
        <v>679</v>
      </c>
      <c r="B140" s="16">
        <v>0</v>
      </c>
      <c r="C140" s="16"/>
      <c r="D140" s="16"/>
      <c r="E140" s="16"/>
      <c r="F140" s="16"/>
      <c r="G140" s="16"/>
      <c r="H140" s="16"/>
      <c r="I140" s="16"/>
      <c r="J140" s="16"/>
    </row>
    <row r="141" spans="1:11" x14ac:dyDescent="0.2">
      <c r="A141" s="70" t="s">
        <v>140</v>
      </c>
      <c r="B141" s="16">
        <v>189</v>
      </c>
      <c r="C141" s="16"/>
      <c r="D141" s="16"/>
      <c r="E141" s="16"/>
      <c r="F141" s="16"/>
      <c r="G141" s="16"/>
      <c r="H141" s="16"/>
      <c r="I141" s="16"/>
      <c r="J141" s="16"/>
    </row>
    <row r="142" spans="1:11" x14ac:dyDescent="0.2">
      <c r="A142" s="13" t="s">
        <v>139</v>
      </c>
      <c r="B142" s="16">
        <v>200</v>
      </c>
      <c r="C142" s="16"/>
      <c r="D142" s="16"/>
      <c r="E142" s="16"/>
      <c r="F142" s="16"/>
      <c r="G142" s="16"/>
      <c r="H142" s="16"/>
      <c r="I142" s="16"/>
      <c r="J142" s="16"/>
    </row>
    <row r="143" spans="1:11" x14ac:dyDescent="0.2">
      <c r="A143" s="13" t="s">
        <v>136</v>
      </c>
      <c r="B143" s="16">
        <v>210</v>
      </c>
      <c r="C143" s="16"/>
      <c r="D143" s="16"/>
      <c r="E143" s="16"/>
      <c r="F143" s="16"/>
      <c r="G143" s="16"/>
      <c r="H143" s="16"/>
      <c r="I143" s="16"/>
      <c r="J143" s="16"/>
    </row>
    <row r="144" spans="1:11" x14ac:dyDescent="0.2">
      <c r="A144" s="13" t="s">
        <v>686</v>
      </c>
      <c r="B144" s="16">
        <v>220</v>
      </c>
      <c r="C144" s="16"/>
      <c r="D144" s="16"/>
      <c r="E144" s="16"/>
      <c r="F144" s="16"/>
      <c r="G144" s="16"/>
      <c r="H144" s="16"/>
      <c r="I144" s="16"/>
      <c r="J144" s="16"/>
    </row>
    <row r="145" spans="1:2" x14ac:dyDescent="0.2">
      <c r="A145" s="13" t="s">
        <v>137</v>
      </c>
      <c r="B145">
        <v>225</v>
      </c>
    </row>
    <row r="146" spans="1:2" x14ac:dyDescent="0.2">
      <c r="A146" s="13" t="s">
        <v>685</v>
      </c>
      <c r="B146">
        <v>230</v>
      </c>
    </row>
    <row r="147" spans="1:2" x14ac:dyDescent="0.2">
      <c r="A147" s="13" t="s">
        <v>687</v>
      </c>
      <c r="B147">
        <v>240</v>
      </c>
    </row>
    <row r="148" spans="1:2" x14ac:dyDescent="0.2">
      <c r="A148" s="13" t="s">
        <v>138</v>
      </c>
      <c r="B148">
        <v>250</v>
      </c>
    </row>
    <row r="149" spans="1:2" x14ac:dyDescent="0.2">
      <c r="A149" s="13" t="s">
        <v>684</v>
      </c>
      <c r="B149">
        <v>256</v>
      </c>
    </row>
    <row r="150" spans="1:2" x14ac:dyDescent="0.2">
      <c r="A150" s="13" t="s">
        <v>142</v>
      </c>
      <c r="B150">
        <v>269</v>
      </c>
    </row>
    <row r="151" spans="1:2" x14ac:dyDescent="0.2">
      <c r="A151" s="13" t="s">
        <v>683</v>
      </c>
      <c r="B151">
        <v>276</v>
      </c>
    </row>
    <row r="155" spans="1:2" x14ac:dyDescent="0.2">
      <c r="A155" s="76" t="s">
        <v>713</v>
      </c>
    </row>
    <row r="156" spans="1:2" x14ac:dyDescent="0.2">
      <c r="A156" s="19" t="s">
        <v>11</v>
      </c>
      <c r="B156">
        <v>12</v>
      </c>
    </row>
    <row r="157" spans="1:2" x14ac:dyDescent="0.2">
      <c r="A157" s="19" t="s">
        <v>312</v>
      </c>
      <c r="B157" s="1">
        <v>0.03</v>
      </c>
    </row>
    <row r="158" spans="1:2" x14ac:dyDescent="0.2">
      <c r="A158" s="19" t="s">
        <v>272</v>
      </c>
      <c r="B158">
        <v>5</v>
      </c>
    </row>
    <row r="159" spans="1:2" x14ac:dyDescent="0.2">
      <c r="A159" s="19" t="s">
        <v>651</v>
      </c>
      <c r="B159">
        <v>5</v>
      </c>
    </row>
  </sheetData>
  <sortState ref="A78:A82">
    <sortCondition ref="A78"/>
  </sortState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4">
    <tabColor indexed="46"/>
  </sheetPr>
  <dimension ref="A1:J77"/>
  <sheetViews>
    <sheetView workbookViewId="0">
      <selection activeCell="J22" sqref="J22"/>
    </sheetView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28</v>
      </c>
      <c r="B1">
        <f>Data!B1</f>
        <v>99</v>
      </c>
      <c r="C1">
        <f>FLOOR(B1/2,1)</f>
        <v>49</v>
      </c>
    </row>
    <row r="2" spans="1:9" x14ac:dyDescent="0.2">
      <c r="B2" s="8" t="s">
        <v>119</v>
      </c>
      <c r="C2" s="8" t="s">
        <v>3</v>
      </c>
      <c r="D2" s="8" t="s">
        <v>4</v>
      </c>
      <c r="E2" s="8" t="s">
        <v>5</v>
      </c>
      <c r="F2" s="8" t="s">
        <v>33</v>
      </c>
      <c r="G2" s="8" t="s">
        <v>120</v>
      </c>
      <c r="H2" s="8" t="s">
        <v>121</v>
      </c>
      <c r="I2" s="8" t="s">
        <v>122</v>
      </c>
    </row>
    <row r="3" spans="1:9" x14ac:dyDescent="0.2">
      <c r="A3" t="s">
        <v>133</v>
      </c>
      <c r="B3">
        <f>B54+B64+B74+B77</f>
        <v>1134</v>
      </c>
      <c r="C3">
        <f t="shared" ref="C3:I3" si="0">FLOOR(C54+C64+C74+C77, 1)</f>
        <v>75</v>
      </c>
      <c r="D3">
        <f t="shared" si="0"/>
        <v>87</v>
      </c>
      <c r="E3">
        <f t="shared" si="0"/>
        <v>77</v>
      </c>
      <c r="F3">
        <f t="shared" si="0"/>
        <v>87</v>
      </c>
      <c r="G3">
        <f t="shared" si="0"/>
        <v>95</v>
      </c>
      <c r="H3">
        <f t="shared" si="0"/>
        <v>81</v>
      </c>
      <c r="I3">
        <f t="shared" si="0"/>
        <v>86</v>
      </c>
    </row>
    <row r="6" spans="1:9" x14ac:dyDescent="0.2">
      <c r="A6" s="4" t="s">
        <v>134</v>
      </c>
    </row>
    <row r="8" spans="1:9" x14ac:dyDescent="0.2">
      <c r="A8" s="4" t="s">
        <v>135</v>
      </c>
      <c r="B8" s="8" t="s">
        <v>119</v>
      </c>
      <c r="C8" s="8" t="s">
        <v>3</v>
      </c>
      <c r="D8" s="8" t="s">
        <v>4</v>
      </c>
      <c r="E8" s="8" t="s">
        <v>5</v>
      </c>
      <c r="F8" s="8" t="s">
        <v>33</v>
      </c>
      <c r="G8" s="8" t="s">
        <v>120</v>
      </c>
      <c r="H8" s="8" t="s">
        <v>121</v>
      </c>
      <c r="I8" s="8" t="s">
        <v>122</v>
      </c>
    </row>
    <row r="9" spans="1:9" x14ac:dyDescent="0.2">
      <c r="A9" t="s">
        <v>1</v>
      </c>
      <c r="B9" t="s">
        <v>136</v>
      </c>
      <c r="C9" t="s">
        <v>136</v>
      </c>
      <c r="D9" t="s">
        <v>136</v>
      </c>
      <c r="E9" t="s">
        <v>136</v>
      </c>
      <c r="F9" t="s">
        <v>136</v>
      </c>
      <c r="G9" t="s">
        <v>136</v>
      </c>
      <c r="H9" t="s">
        <v>136</v>
      </c>
      <c r="I9" t="s">
        <v>136</v>
      </c>
    </row>
    <row r="10" spans="1:9" x14ac:dyDescent="0.2">
      <c r="A10" t="s">
        <v>117</v>
      </c>
      <c r="B10" t="s">
        <v>137</v>
      </c>
      <c r="C10" t="s">
        <v>138</v>
      </c>
      <c r="D10" t="s">
        <v>139</v>
      </c>
      <c r="E10" t="s">
        <v>137</v>
      </c>
      <c r="F10" t="s">
        <v>140</v>
      </c>
      <c r="G10" t="s">
        <v>140</v>
      </c>
      <c r="H10" t="s">
        <v>138</v>
      </c>
      <c r="I10" t="s">
        <v>136</v>
      </c>
    </row>
    <row r="11" spans="1:9" x14ac:dyDescent="0.2">
      <c r="A11" t="s">
        <v>118</v>
      </c>
      <c r="B11" t="s">
        <v>141</v>
      </c>
      <c r="C11" t="s">
        <v>140</v>
      </c>
      <c r="D11" t="s">
        <v>136</v>
      </c>
      <c r="E11" t="s">
        <v>139</v>
      </c>
      <c r="F11" t="s">
        <v>137</v>
      </c>
      <c r="G11" t="s">
        <v>142</v>
      </c>
      <c r="H11" t="s">
        <v>139</v>
      </c>
      <c r="I11" t="s">
        <v>136</v>
      </c>
    </row>
    <row r="12" spans="1:9" x14ac:dyDescent="0.2">
      <c r="A12" t="s">
        <v>115</v>
      </c>
      <c r="B12" t="s">
        <v>136</v>
      </c>
      <c r="C12" t="s">
        <v>139</v>
      </c>
      <c r="D12" t="s">
        <v>142</v>
      </c>
      <c r="E12" t="s">
        <v>139</v>
      </c>
      <c r="F12" t="s">
        <v>138</v>
      </c>
      <c r="G12" t="s">
        <v>136</v>
      </c>
      <c r="H12" t="s">
        <v>139</v>
      </c>
      <c r="I12" t="s">
        <v>140</v>
      </c>
    </row>
    <row r="13" spans="1:9" x14ac:dyDescent="0.2">
      <c r="A13" t="s">
        <v>116</v>
      </c>
      <c r="B13" t="s">
        <v>142</v>
      </c>
      <c r="C13" t="s">
        <v>137</v>
      </c>
      <c r="D13" t="s">
        <v>136</v>
      </c>
      <c r="E13" t="s">
        <v>142</v>
      </c>
      <c r="F13" t="s">
        <v>139</v>
      </c>
      <c r="G13" t="s">
        <v>139</v>
      </c>
      <c r="H13" t="s">
        <v>136</v>
      </c>
      <c r="I13" t="s">
        <v>140</v>
      </c>
    </row>
    <row r="14" spans="1:9" x14ac:dyDescent="0.2">
      <c r="A14" t="s">
        <v>143</v>
      </c>
      <c r="B14" t="s">
        <v>136</v>
      </c>
      <c r="C14" t="s">
        <v>136</v>
      </c>
      <c r="D14" t="s">
        <v>136</v>
      </c>
      <c r="E14" t="s">
        <v>136</v>
      </c>
      <c r="F14" t="s">
        <v>140</v>
      </c>
      <c r="G14" t="s">
        <v>136</v>
      </c>
      <c r="H14" t="s">
        <v>136</v>
      </c>
      <c r="I14" t="s">
        <v>138</v>
      </c>
    </row>
    <row r="15" spans="1:9" x14ac:dyDescent="0.2">
      <c r="A15" t="s">
        <v>144</v>
      </c>
      <c r="B15" t="s">
        <v>137</v>
      </c>
      <c r="C15" t="s">
        <v>136</v>
      </c>
      <c r="D15" t="s">
        <v>137</v>
      </c>
      <c r="E15" t="s">
        <v>136</v>
      </c>
      <c r="F15" t="s">
        <v>140</v>
      </c>
      <c r="G15" t="s">
        <v>139</v>
      </c>
      <c r="H15" t="s">
        <v>139</v>
      </c>
      <c r="I15" t="s">
        <v>142</v>
      </c>
    </row>
    <row r="16" spans="1:9" x14ac:dyDescent="0.2">
      <c r="A16" t="s">
        <v>145</v>
      </c>
      <c r="B16" t="s">
        <v>140</v>
      </c>
      <c r="C16" t="s">
        <v>140</v>
      </c>
      <c r="D16" t="s">
        <v>137</v>
      </c>
      <c r="E16" t="s">
        <v>140</v>
      </c>
      <c r="F16" t="s">
        <v>137</v>
      </c>
      <c r="G16" t="s">
        <v>142</v>
      </c>
      <c r="H16" t="s">
        <v>139</v>
      </c>
      <c r="I16" t="s">
        <v>136</v>
      </c>
    </row>
    <row r="17" spans="1:9" x14ac:dyDescent="0.2">
      <c r="A17" t="s">
        <v>146</v>
      </c>
      <c r="B17" t="s">
        <v>136</v>
      </c>
      <c r="C17" t="s">
        <v>139</v>
      </c>
      <c r="D17" t="s">
        <v>139</v>
      </c>
      <c r="E17" t="s">
        <v>139</v>
      </c>
      <c r="F17" t="s">
        <v>139</v>
      </c>
      <c r="G17" t="s">
        <v>139</v>
      </c>
      <c r="H17" t="s">
        <v>139</v>
      </c>
      <c r="I17" t="s">
        <v>139</v>
      </c>
    </row>
    <row r="18" spans="1:9" x14ac:dyDescent="0.2">
      <c r="A18" t="s">
        <v>147</v>
      </c>
      <c r="B18" t="s">
        <v>136</v>
      </c>
      <c r="C18" t="s">
        <v>139</v>
      </c>
      <c r="D18" t="s">
        <v>137</v>
      </c>
      <c r="E18" t="s">
        <v>139</v>
      </c>
      <c r="F18" t="s">
        <v>138</v>
      </c>
      <c r="G18" t="s">
        <v>137</v>
      </c>
      <c r="H18" t="s">
        <v>139</v>
      </c>
      <c r="I18" t="s">
        <v>139</v>
      </c>
    </row>
    <row r="19" spans="1:9" x14ac:dyDescent="0.2">
      <c r="A19" t="s">
        <v>148</v>
      </c>
      <c r="B19" t="s">
        <v>136</v>
      </c>
      <c r="C19" t="s">
        <v>136</v>
      </c>
      <c r="D19" t="s">
        <v>137</v>
      </c>
      <c r="E19" t="s">
        <v>139</v>
      </c>
      <c r="F19" t="s">
        <v>138</v>
      </c>
      <c r="G19" t="s">
        <v>140</v>
      </c>
      <c r="H19" t="s">
        <v>140</v>
      </c>
      <c r="I19" t="s">
        <v>138</v>
      </c>
    </row>
    <row r="20" spans="1:9" x14ac:dyDescent="0.2">
      <c r="A20" t="s">
        <v>149</v>
      </c>
      <c r="B20" t="s">
        <v>137</v>
      </c>
      <c r="C20" t="s">
        <v>142</v>
      </c>
      <c r="D20" t="s">
        <v>137</v>
      </c>
      <c r="E20" t="s">
        <v>137</v>
      </c>
      <c r="F20" t="s">
        <v>136</v>
      </c>
      <c r="G20" t="s">
        <v>137</v>
      </c>
      <c r="H20" t="s">
        <v>141</v>
      </c>
      <c r="I20" t="s">
        <v>141</v>
      </c>
    </row>
    <row r="21" spans="1:9" x14ac:dyDescent="0.2">
      <c r="A21" t="s">
        <v>150</v>
      </c>
      <c r="B21" t="s">
        <v>137</v>
      </c>
      <c r="C21" t="s">
        <v>138</v>
      </c>
      <c r="D21" t="s">
        <v>136</v>
      </c>
      <c r="E21" t="s">
        <v>137</v>
      </c>
      <c r="F21" t="s">
        <v>136</v>
      </c>
      <c r="G21" t="s">
        <v>140</v>
      </c>
      <c r="H21" t="s">
        <v>139</v>
      </c>
      <c r="I21" t="s">
        <v>137</v>
      </c>
    </row>
    <row r="22" spans="1:9" x14ac:dyDescent="0.2">
      <c r="A22" t="s">
        <v>542</v>
      </c>
      <c r="B22" t="s">
        <v>140</v>
      </c>
      <c r="C22" t="s">
        <v>140</v>
      </c>
      <c r="D22" t="s">
        <v>136</v>
      </c>
      <c r="E22" t="s">
        <v>136</v>
      </c>
      <c r="F22" t="s">
        <v>139</v>
      </c>
      <c r="G22" t="s">
        <v>138</v>
      </c>
      <c r="H22" t="s">
        <v>138</v>
      </c>
      <c r="I22" t="s">
        <v>139</v>
      </c>
    </row>
    <row r="23" spans="1:9" x14ac:dyDescent="0.2">
      <c r="A23" t="s">
        <v>151</v>
      </c>
      <c r="B23" t="s">
        <v>142</v>
      </c>
      <c r="C23" t="s">
        <v>137</v>
      </c>
      <c r="D23" t="s">
        <v>138</v>
      </c>
      <c r="E23" t="s">
        <v>142</v>
      </c>
      <c r="F23" t="s">
        <v>140</v>
      </c>
      <c r="G23" t="s">
        <v>141</v>
      </c>
      <c r="H23" t="s">
        <v>136</v>
      </c>
      <c r="I23" t="s">
        <v>139</v>
      </c>
    </row>
    <row r="24" spans="1:9" x14ac:dyDescent="0.2">
      <c r="A24" t="s">
        <v>152</v>
      </c>
      <c r="B24" t="s">
        <v>136</v>
      </c>
      <c r="C24" t="s">
        <v>137</v>
      </c>
      <c r="D24" t="s">
        <v>138</v>
      </c>
      <c r="E24" t="s">
        <v>137</v>
      </c>
      <c r="F24" t="s">
        <v>138</v>
      </c>
      <c r="G24" t="s">
        <v>136</v>
      </c>
      <c r="H24" t="s">
        <v>141</v>
      </c>
      <c r="I24" t="s">
        <v>140</v>
      </c>
    </row>
    <row r="25" spans="1:9" x14ac:dyDescent="0.2">
      <c r="A25" t="s">
        <v>153</v>
      </c>
      <c r="B25" t="s">
        <v>137</v>
      </c>
      <c r="C25" t="s">
        <v>138</v>
      </c>
      <c r="D25" t="s">
        <v>139</v>
      </c>
      <c r="E25" t="s">
        <v>142</v>
      </c>
      <c r="F25" t="s">
        <v>141</v>
      </c>
      <c r="G25" t="s">
        <v>141</v>
      </c>
      <c r="H25" t="s">
        <v>137</v>
      </c>
      <c r="I25" t="s">
        <v>137</v>
      </c>
    </row>
    <row r="26" spans="1:9" x14ac:dyDescent="0.2">
      <c r="A26" t="s">
        <v>154</v>
      </c>
      <c r="B26" t="s">
        <v>136</v>
      </c>
      <c r="C26" t="s">
        <v>139</v>
      </c>
      <c r="D26" t="s">
        <v>138</v>
      </c>
      <c r="E26" t="s">
        <v>136</v>
      </c>
      <c r="F26" t="s">
        <v>137</v>
      </c>
      <c r="G26" t="s">
        <v>139</v>
      </c>
      <c r="H26" t="s">
        <v>140</v>
      </c>
      <c r="I26" t="s">
        <v>137</v>
      </c>
    </row>
    <row r="27" spans="1:9" x14ac:dyDescent="0.2">
      <c r="A27" t="s">
        <v>155</v>
      </c>
      <c r="B27" t="s">
        <v>139</v>
      </c>
      <c r="C27" t="s">
        <v>139</v>
      </c>
      <c r="D27" t="s">
        <v>136</v>
      </c>
      <c r="E27" t="s">
        <v>136</v>
      </c>
      <c r="F27" t="s">
        <v>142</v>
      </c>
      <c r="G27" t="s">
        <v>139</v>
      </c>
      <c r="H27" t="s">
        <v>136</v>
      </c>
      <c r="I27" t="s">
        <v>139</v>
      </c>
    </row>
    <row r="28" spans="1:9" x14ac:dyDescent="0.2">
      <c r="A28" t="s">
        <v>156</v>
      </c>
      <c r="B28" t="s">
        <v>136</v>
      </c>
      <c r="C28" t="s">
        <v>136</v>
      </c>
      <c r="D28" t="s">
        <v>136</v>
      </c>
      <c r="E28" t="s">
        <v>139</v>
      </c>
      <c r="F28" t="s">
        <v>139</v>
      </c>
      <c r="G28" t="s">
        <v>137</v>
      </c>
      <c r="H28" t="s">
        <v>137</v>
      </c>
      <c r="I28" t="s">
        <v>136</v>
      </c>
    </row>
    <row r="29" spans="1:9" x14ac:dyDescent="0.2">
      <c r="A29" t="s">
        <v>157</v>
      </c>
      <c r="B29" t="s">
        <v>138</v>
      </c>
      <c r="C29" t="s">
        <v>137</v>
      </c>
      <c r="D29" t="s">
        <v>137</v>
      </c>
      <c r="E29" t="s">
        <v>137</v>
      </c>
      <c r="F29" t="s">
        <v>136</v>
      </c>
      <c r="G29" t="s">
        <v>139</v>
      </c>
      <c r="H29" t="s">
        <v>139</v>
      </c>
      <c r="I29" t="s">
        <v>136</v>
      </c>
    </row>
    <row r="30" spans="1:9" x14ac:dyDescent="0.2">
      <c r="A30" t="s">
        <v>158</v>
      </c>
      <c r="B30" t="s">
        <v>139</v>
      </c>
      <c r="C30" t="s">
        <v>140</v>
      </c>
      <c r="D30" t="s">
        <v>136</v>
      </c>
      <c r="E30" t="s">
        <v>139</v>
      </c>
      <c r="F30" t="s">
        <v>136</v>
      </c>
      <c r="G30" t="s">
        <v>138</v>
      </c>
      <c r="H30" t="s">
        <v>136</v>
      </c>
      <c r="I30" t="s">
        <v>137</v>
      </c>
    </row>
    <row r="31" spans="1:9" x14ac:dyDescent="0.2">
      <c r="A31" t="s">
        <v>159</v>
      </c>
      <c r="B31" t="s">
        <v>141</v>
      </c>
      <c r="C31" t="s">
        <v>140</v>
      </c>
      <c r="D31" t="s">
        <v>139</v>
      </c>
      <c r="E31" t="s">
        <v>140</v>
      </c>
      <c r="F31" t="s">
        <v>136</v>
      </c>
      <c r="G31" t="s">
        <v>138</v>
      </c>
      <c r="H31" t="s">
        <v>138</v>
      </c>
      <c r="I31" t="s">
        <v>138</v>
      </c>
    </row>
    <row r="32" spans="1:9" x14ac:dyDescent="0.2">
      <c r="A32" t="s">
        <v>160</v>
      </c>
      <c r="B32" t="s">
        <v>136</v>
      </c>
      <c r="C32" t="s">
        <v>136</v>
      </c>
      <c r="D32" t="s">
        <v>142</v>
      </c>
      <c r="E32" t="s">
        <v>136</v>
      </c>
      <c r="F32" t="s">
        <v>138</v>
      </c>
      <c r="G32" t="s">
        <v>137</v>
      </c>
      <c r="H32" t="s">
        <v>141</v>
      </c>
      <c r="I32" t="s">
        <v>141</v>
      </c>
    </row>
    <row r="33" spans="1:10" x14ac:dyDescent="0.2">
      <c r="A33" t="s">
        <v>161</v>
      </c>
      <c r="B33" t="s">
        <v>138</v>
      </c>
      <c r="C33" t="s">
        <v>142</v>
      </c>
      <c r="D33" t="s">
        <v>137</v>
      </c>
      <c r="E33" t="s">
        <v>136</v>
      </c>
      <c r="F33" t="s">
        <v>137</v>
      </c>
      <c r="G33" t="s">
        <v>140</v>
      </c>
      <c r="H33" t="s">
        <v>140</v>
      </c>
      <c r="I33" t="s">
        <v>139</v>
      </c>
    </row>
    <row r="34" spans="1:10" x14ac:dyDescent="0.2">
      <c r="A34" t="s">
        <v>162</v>
      </c>
      <c r="B34" t="s">
        <v>139</v>
      </c>
      <c r="C34" t="s">
        <v>136</v>
      </c>
      <c r="D34" t="s">
        <v>140</v>
      </c>
      <c r="E34" t="s">
        <v>136</v>
      </c>
      <c r="F34" t="s">
        <v>139</v>
      </c>
      <c r="G34" t="s">
        <v>139</v>
      </c>
      <c r="H34" t="s">
        <v>142</v>
      </c>
      <c r="I34" t="s">
        <v>137</v>
      </c>
    </row>
    <row r="37" spans="1:10" x14ac:dyDescent="0.2">
      <c r="A37" s="4" t="s">
        <v>163</v>
      </c>
      <c r="B37" t="s">
        <v>164</v>
      </c>
      <c r="C37" t="s">
        <v>165</v>
      </c>
      <c r="D37" t="s">
        <v>166</v>
      </c>
      <c r="E37" t="s">
        <v>167</v>
      </c>
      <c r="F37" t="s">
        <v>168</v>
      </c>
      <c r="G37" t="s">
        <v>169</v>
      </c>
      <c r="H37" t="s">
        <v>170</v>
      </c>
      <c r="I37" t="s">
        <v>171</v>
      </c>
      <c r="J37" t="s">
        <v>172</v>
      </c>
    </row>
    <row r="38" spans="1:10" x14ac:dyDescent="0.2">
      <c r="A38" t="s">
        <v>142</v>
      </c>
      <c r="B38">
        <v>19</v>
      </c>
      <c r="C38">
        <v>9</v>
      </c>
      <c r="D38">
        <v>1</v>
      </c>
      <c r="E38">
        <v>3</v>
      </c>
      <c r="F38">
        <v>3</v>
      </c>
      <c r="G38">
        <v>5</v>
      </c>
      <c r="H38" s="2">
        <v>0.5</v>
      </c>
      <c r="I38" s="2">
        <f>110/1024</f>
        <v>0.107421875</v>
      </c>
      <c r="J38" s="2">
        <f t="shared" ref="J38:J44" si="1">400/1024</f>
        <v>0.390625</v>
      </c>
    </row>
    <row r="39" spans="1:10" x14ac:dyDescent="0.2">
      <c r="A39" t="s">
        <v>138</v>
      </c>
      <c r="B39">
        <v>17</v>
      </c>
      <c r="C39">
        <v>8</v>
      </c>
      <c r="D39">
        <v>1</v>
      </c>
      <c r="E39">
        <v>3</v>
      </c>
      <c r="F39">
        <v>3</v>
      </c>
      <c r="G39">
        <v>4</v>
      </c>
      <c r="H39" s="2">
        <v>0.45</v>
      </c>
      <c r="I39" s="2">
        <f>210/1024</f>
        <v>0.205078125</v>
      </c>
      <c r="J39" s="2">
        <f t="shared" si="1"/>
        <v>0.390625</v>
      </c>
    </row>
    <row r="40" spans="1:10" x14ac:dyDescent="0.2">
      <c r="A40" t="s">
        <v>137</v>
      </c>
      <c r="B40">
        <v>16</v>
      </c>
      <c r="C40">
        <v>7</v>
      </c>
      <c r="D40">
        <v>1</v>
      </c>
      <c r="E40">
        <v>3</v>
      </c>
      <c r="F40">
        <v>3</v>
      </c>
      <c r="G40">
        <v>4</v>
      </c>
      <c r="H40" s="2">
        <v>0.4</v>
      </c>
      <c r="I40" s="2">
        <f>300/1024</f>
        <v>0.29296875</v>
      </c>
      <c r="J40" s="2">
        <f t="shared" si="1"/>
        <v>0.390625</v>
      </c>
    </row>
    <row r="41" spans="1:10" x14ac:dyDescent="0.2">
      <c r="A41" t="s">
        <v>136</v>
      </c>
      <c r="B41">
        <v>14</v>
      </c>
      <c r="C41">
        <v>6</v>
      </c>
      <c r="D41">
        <v>0</v>
      </c>
      <c r="E41">
        <v>3</v>
      </c>
      <c r="F41">
        <v>3</v>
      </c>
      <c r="G41">
        <v>3</v>
      </c>
      <c r="H41" s="2">
        <v>0.35</v>
      </c>
      <c r="I41" s="2">
        <f>350/1024</f>
        <v>0.341796875</v>
      </c>
      <c r="J41" s="2">
        <f t="shared" si="1"/>
        <v>0.390625</v>
      </c>
    </row>
    <row r="42" spans="1:10" x14ac:dyDescent="0.2">
      <c r="A42" t="s">
        <v>139</v>
      </c>
      <c r="B42">
        <v>13</v>
      </c>
      <c r="C42">
        <v>5</v>
      </c>
      <c r="D42">
        <v>0</v>
      </c>
      <c r="E42">
        <v>2</v>
      </c>
      <c r="F42">
        <v>2</v>
      </c>
      <c r="G42">
        <v>3</v>
      </c>
      <c r="H42" s="2">
        <v>0.3</v>
      </c>
      <c r="I42" s="2">
        <f>350/1024</f>
        <v>0.341796875</v>
      </c>
      <c r="J42" s="2">
        <f t="shared" si="1"/>
        <v>0.390625</v>
      </c>
    </row>
    <row r="43" spans="1:10" x14ac:dyDescent="0.2">
      <c r="A43" t="s">
        <v>140</v>
      </c>
      <c r="B43">
        <v>11</v>
      </c>
      <c r="C43">
        <v>4</v>
      </c>
      <c r="D43">
        <v>0</v>
      </c>
      <c r="E43">
        <v>2</v>
      </c>
      <c r="F43">
        <v>2</v>
      </c>
      <c r="G43">
        <v>2</v>
      </c>
      <c r="H43" s="2">
        <v>0.25</v>
      </c>
      <c r="I43" s="2">
        <f>400/1024</f>
        <v>0.390625</v>
      </c>
      <c r="J43" s="2">
        <f t="shared" si="1"/>
        <v>0.390625</v>
      </c>
    </row>
    <row r="44" spans="1:10" x14ac:dyDescent="0.2">
      <c r="A44" t="s">
        <v>141</v>
      </c>
      <c r="B44">
        <v>10</v>
      </c>
      <c r="C44">
        <v>3</v>
      </c>
      <c r="D44">
        <v>0</v>
      </c>
      <c r="E44">
        <v>2</v>
      </c>
      <c r="F44">
        <v>2</v>
      </c>
      <c r="G44">
        <v>2</v>
      </c>
      <c r="H44" s="2">
        <v>0.2</v>
      </c>
      <c r="I44" s="2">
        <f>430/1024</f>
        <v>0.419921875</v>
      </c>
      <c r="J44" s="2">
        <f t="shared" si="1"/>
        <v>0.390625</v>
      </c>
    </row>
    <row r="47" spans="1:10" x14ac:dyDescent="0.2">
      <c r="A47" s="4" t="s">
        <v>2</v>
      </c>
      <c r="B47" s="8" t="s">
        <v>119</v>
      </c>
      <c r="C47" s="8" t="s">
        <v>3</v>
      </c>
      <c r="D47" s="8" t="s">
        <v>4</v>
      </c>
      <c r="E47" s="8" t="s">
        <v>5</v>
      </c>
      <c r="F47" s="8" t="s">
        <v>33</v>
      </c>
      <c r="G47" s="8" t="s">
        <v>120</v>
      </c>
      <c r="H47" s="8" t="s">
        <v>121</v>
      </c>
      <c r="I47" s="8" t="s">
        <v>122</v>
      </c>
    </row>
    <row r="48" spans="1:10" x14ac:dyDescent="0.2">
      <c r="A48" t="str">
        <f>Data!C1</f>
        <v>Blm</v>
      </c>
      <c r="B48" t="str">
        <f t="shared" ref="B48:I48" si="2">VLOOKUP($A48, Grades, MATCH(B$47, Stats, 0), 0)</f>
        <v>F</v>
      </c>
      <c r="C48" t="str">
        <f t="shared" si="2"/>
        <v>F</v>
      </c>
      <c r="D48" t="str">
        <f t="shared" si="2"/>
        <v>C</v>
      </c>
      <c r="E48" t="str">
        <f t="shared" si="2"/>
        <v>F</v>
      </c>
      <c r="F48" t="str">
        <f t="shared" si="2"/>
        <v>C</v>
      </c>
      <c r="G48" t="str">
        <f t="shared" si="2"/>
        <v>A</v>
      </c>
      <c r="H48" t="str">
        <f t="shared" si="2"/>
        <v>E</v>
      </c>
      <c r="I48" t="str">
        <f t="shared" si="2"/>
        <v>D</v>
      </c>
    </row>
    <row r="49" spans="1:10" x14ac:dyDescent="0.2">
      <c r="A49" t="s">
        <v>164</v>
      </c>
      <c r="B49">
        <f>VLOOKUP(B$48, GradeRates, MATCH($A49, RateTiers, 0), 0)</f>
        <v>11</v>
      </c>
      <c r="C49" s="2">
        <f t="shared" ref="C49:I52" si="3">VLOOKUP(C$48, GradeRates, MATCH($J49, RateTiers, 0), 0)</f>
        <v>2</v>
      </c>
      <c r="D49" s="2">
        <f t="shared" si="3"/>
        <v>4</v>
      </c>
      <c r="E49" s="2">
        <f t="shared" si="3"/>
        <v>2</v>
      </c>
      <c r="F49" s="2">
        <f t="shared" si="3"/>
        <v>4</v>
      </c>
      <c r="G49" s="2">
        <f t="shared" si="3"/>
        <v>5</v>
      </c>
      <c r="H49" s="2">
        <f t="shared" si="3"/>
        <v>3</v>
      </c>
      <c r="I49" s="2">
        <f t="shared" si="3"/>
        <v>3</v>
      </c>
      <c r="J49" t="s">
        <v>169</v>
      </c>
    </row>
    <row r="50" spans="1:10" x14ac:dyDescent="0.2">
      <c r="A50" t="s">
        <v>165</v>
      </c>
      <c r="B50">
        <f>VLOOKUP(B$48, GradeRates, MATCH($A50, RateTiers, 0), 0)</f>
        <v>4</v>
      </c>
      <c r="C50" s="2">
        <f t="shared" si="3"/>
        <v>0.25</v>
      </c>
      <c r="D50" s="2">
        <f t="shared" si="3"/>
        <v>0.4</v>
      </c>
      <c r="E50" s="2">
        <f t="shared" si="3"/>
        <v>0.25</v>
      </c>
      <c r="F50" s="2">
        <f t="shared" si="3"/>
        <v>0.4</v>
      </c>
      <c r="G50" s="2">
        <f t="shared" si="3"/>
        <v>0.5</v>
      </c>
      <c r="H50" s="2">
        <f t="shared" si="3"/>
        <v>0.3</v>
      </c>
      <c r="I50" s="2">
        <f t="shared" si="3"/>
        <v>0.35</v>
      </c>
      <c r="J50" t="s">
        <v>170</v>
      </c>
    </row>
    <row r="51" spans="1:10" x14ac:dyDescent="0.2">
      <c r="A51" t="s">
        <v>166</v>
      </c>
      <c r="B51">
        <f>VLOOKUP(B$48, GradeRates, MATCH($A51, RateTiers, 0), 0)</f>
        <v>0</v>
      </c>
      <c r="C51" s="2">
        <f t="shared" si="3"/>
        <v>0.390625</v>
      </c>
      <c r="D51" s="2">
        <f t="shared" si="3"/>
        <v>0.29296875</v>
      </c>
      <c r="E51" s="2">
        <f t="shared" si="3"/>
        <v>0.390625</v>
      </c>
      <c r="F51" s="2">
        <f t="shared" si="3"/>
        <v>0.29296875</v>
      </c>
      <c r="G51" s="2">
        <f t="shared" si="3"/>
        <v>0.107421875</v>
      </c>
      <c r="H51" s="2">
        <f t="shared" si="3"/>
        <v>0.341796875</v>
      </c>
      <c r="I51" s="2">
        <f t="shared" si="3"/>
        <v>0.341796875</v>
      </c>
      <c r="J51" t="s">
        <v>171</v>
      </c>
    </row>
    <row r="52" spans="1:10" x14ac:dyDescent="0.2">
      <c r="A52" t="s">
        <v>167</v>
      </c>
      <c r="B52">
        <f>VLOOKUP(B$48, GradeRates, MATCH($A52, RateTiers, 0), 0)</f>
        <v>2</v>
      </c>
      <c r="C52" s="2">
        <f t="shared" si="3"/>
        <v>0.390625</v>
      </c>
      <c r="D52" s="2">
        <f t="shared" si="3"/>
        <v>0.390625</v>
      </c>
      <c r="E52" s="2">
        <f t="shared" si="3"/>
        <v>0.390625</v>
      </c>
      <c r="F52" s="2">
        <f t="shared" si="3"/>
        <v>0.390625</v>
      </c>
      <c r="G52" s="2">
        <f t="shared" si="3"/>
        <v>0.390625</v>
      </c>
      <c r="H52" s="2">
        <f t="shared" si="3"/>
        <v>0.390625</v>
      </c>
      <c r="I52" s="2">
        <f t="shared" si="3"/>
        <v>0.390625</v>
      </c>
      <c r="J52" t="s">
        <v>172</v>
      </c>
    </row>
    <row r="53" spans="1:10" x14ac:dyDescent="0.2">
      <c r="A53" t="s">
        <v>168</v>
      </c>
      <c r="B53">
        <f>VLOOKUP(B$48, GradeRates, MATCH($A53, RateTiers, 0), 0)</f>
        <v>2</v>
      </c>
    </row>
    <row r="54" spans="1:10" x14ac:dyDescent="0.2">
      <c r="A54" t="s">
        <v>7</v>
      </c>
      <c r="B54">
        <f>B49+MIN(59,$B$1-1)*B50+MAX(0,$B$1-30)*B51+MIN(15,MAX(0,$B$1-60))*B52+MAX(0,$B$1-75)*B53</f>
        <v>325</v>
      </c>
      <c r="C54">
        <f t="shared" ref="C54:I54" si="4">C49+FLOOR(MIN(59,$B$1-1)*C50,0.5)+FLOOR(MIN(15,MAX(0,$B$1-60))*C51,0.5)+FLOOR(MAX(0,$B$1-75)*C52,0.5)</f>
        <v>31</v>
      </c>
      <c r="D54">
        <f t="shared" si="4"/>
        <v>40.5</v>
      </c>
      <c r="E54">
        <f t="shared" si="4"/>
        <v>31</v>
      </c>
      <c r="F54">
        <f t="shared" si="4"/>
        <v>40.5</v>
      </c>
      <c r="G54">
        <f t="shared" si="4"/>
        <v>45</v>
      </c>
      <c r="H54">
        <f t="shared" si="4"/>
        <v>34.5</v>
      </c>
      <c r="I54">
        <f t="shared" si="4"/>
        <v>37.5</v>
      </c>
    </row>
    <row r="57" spans="1:10" x14ac:dyDescent="0.2">
      <c r="A57" s="4" t="s">
        <v>101</v>
      </c>
      <c r="B57" s="8" t="s">
        <v>119</v>
      </c>
      <c r="C57" s="8" t="s">
        <v>3</v>
      </c>
      <c r="D57" s="8" t="s">
        <v>4</v>
      </c>
      <c r="E57" s="8" t="s">
        <v>5</v>
      </c>
      <c r="F57" s="8" t="s">
        <v>33</v>
      </c>
      <c r="G57" s="8" t="s">
        <v>120</v>
      </c>
      <c r="H57" s="8" t="s">
        <v>121</v>
      </c>
      <c r="I57" s="8" t="s">
        <v>122</v>
      </c>
    </row>
    <row r="58" spans="1:10" x14ac:dyDescent="0.2">
      <c r="A58" t="str">
        <f>Data!D1</f>
        <v>Sch</v>
      </c>
      <c r="B58" t="str">
        <f t="shared" ref="B58:I58" si="5">VLOOKUP($A58, Grades, MATCH(B$57, Stats, 0), 0)</f>
        <v>E</v>
      </c>
      <c r="C58" t="str">
        <f t="shared" si="5"/>
        <v>F</v>
      </c>
      <c r="D58" t="str">
        <f t="shared" si="5"/>
        <v>D</v>
      </c>
      <c r="E58" t="str">
        <f t="shared" si="5"/>
        <v>E</v>
      </c>
      <c r="F58" t="str">
        <f t="shared" si="5"/>
        <v>D</v>
      </c>
      <c r="G58" t="str">
        <f t="shared" si="5"/>
        <v>B</v>
      </c>
      <c r="H58" t="str">
        <f t="shared" si="5"/>
        <v>D</v>
      </c>
      <c r="I58" t="str">
        <f t="shared" si="5"/>
        <v>C</v>
      </c>
    </row>
    <row r="59" spans="1:10" x14ac:dyDescent="0.2">
      <c r="A59" t="s">
        <v>164</v>
      </c>
      <c r="B59">
        <f>VLOOKUP(B$58, GradeRates, MATCH($A59, RateTiers, 0), 0)</f>
        <v>13</v>
      </c>
      <c r="C59" s="2">
        <f t="shared" ref="C59:I62" si="6">VLOOKUP(C$58, GradeRates, MATCH($J59, RateTiers, 0), 0)</f>
        <v>2</v>
      </c>
      <c r="D59" s="2">
        <f t="shared" si="6"/>
        <v>3</v>
      </c>
      <c r="E59" s="2">
        <f t="shared" si="6"/>
        <v>3</v>
      </c>
      <c r="F59" s="2">
        <f t="shared" si="6"/>
        <v>3</v>
      </c>
      <c r="G59" s="2">
        <f t="shared" si="6"/>
        <v>4</v>
      </c>
      <c r="H59" s="2">
        <f t="shared" si="6"/>
        <v>3</v>
      </c>
      <c r="I59" s="2">
        <f t="shared" si="6"/>
        <v>4</v>
      </c>
      <c r="J59" t="s">
        <v>169</v>
      </c>
    </row>
    <row r="60" spans="1:10" x14ac:dyDescent="0.2">
      <c r="A60" t="s">
        <v>165</v>
      </c>
      <c r="B60">
        <f>VLOOKUP(B$58, GradeRates, MATCH($A60, RateTiers, 0), 0)</f>
        <v>5</v>
      </c>
      <c r="C60" s="2">
        <f t="shared" si="6"/>
        <v>0.25</v>
      </c>
      <c r="D60" s="2">
        <f t="shared" si="6"/>
        <v>0.35</v>
      </c>
      <c r="E60" s="2">
        <f t="shared" si="6"/>
        <v>0.3</v>
      </c>
      <c r="F60" s="2">
        <f t="shared" si="6"/>
        <v>0.35</v>
      </c>
      <c r="G60" s="2">
        <f t="shared" si="6"/>
        <v>0.45</v>
      </c>
      <c r="H60" s="2">
        <f t="shared" si="6"/>
        <v>0.35</v>
      </c>
      <c r="I60" s="2">
        <f t="shared" si="6"/>
        <v>0.4</v>
      </c>
      <c r="J60" t="s">
        <v>170</v>
      </c>
    </row>
    <row r="61" spans="1:10" x14ac:dyDescent="0.2">
      <c r="A61" t="s">
        <v>166</v>
      </c>
      <c r="B61">
        <f>VLOOKUP(B$58, GradeRates, MATCH($A61, RateTiers, 0), 0)</f>
        <v>0</v>
      </c>
      <c r="C61" s="2">
        <f t="shared" si="6"/>
        <v>0.390625</v>
      </c>
      <c r="D61" s="2">
        <f t="shared" si="6"/>
        <v>0.341796875</v>
      </c>
      <c r="E61" s="2">
        <f t="shared" si="6"/>
        <v>0.341796875</v>
      </c>
      <c r="F61" s="2">
        <f t="shared" si="6"/>
        <v>0.341796875</v>
      </c>
      <c r="G61" s="2">
        <f t="shared" si="6"/>
        <v>0.205078125</v>
      </c>
      <c r="H61" s="2">
        <f t="shared" si="6"/>
        <v>0.341796875</v>
      </c>
      <c r="I61" s="2">
        <f t="shared" si="6"/>
        <v>0.29296875</v>
      </c>
      <c r="J61" t="s">
        <v>171</v>
      </c>
    </row>
    <row r="62" spans="1:10" x14ac:dyDescent="0.2">
      <c r="A62" t="s">
        <v>167</v>
      </c>
      <c r="B62">
        <f>VLOOKUP(B$58, GradeRates, MATCH($A62, RateTiers, 0), 0)</f>
        <v>2</v>
      </c>
      <c r="C62" s="2">
        <f t="shared" si="6"/>
        <v>0.390625</v>
      </c>
      <c r="D62" s="2">
        <f t="shared" si="6"/>
        <v>0.390625</v>
      </c>
      <c r="E62" s="2">
        <f t="shared" si="6"/>
        <v>0.390625</v>
      </c>
      <c r="F62" s="2">
        <f t="shared" si="6"/>
        <v>0.390625</v>
      </c>
      <c r="G62" s="2">
        <f t="shared" si="6"/>
        <v>0.390625</v>
      </c>
      <c r="H62" s="2">
        <f t="shared" si="6"/>
        <v>0.390625</v>
      </c>
      <c r="I62" s="2">
        <f t="shared" si="6"/>
        <v>0.390625</v>
      </c>
      <c r="J62" t="s">
        <v>172</v>
      </c>
    </row>
    <row r="63" spans="1:10" x14ac:dyDescent="0.2">
      <c r="A63" t="s">
        <v>168</v>
      </c>
      <c r="B63">
        <f>VLOOKUP(B$58, GradeRates, MATCH($A63, RateTiers, 0), 0)</f>
        <v>2</v>
      </c>
    </row>
    <row r="64" spans="1:10" x14ac:dyDescent="0.2">
      <c r="A64" t="s">
        <v>7</v>
      </c>
      <c r="B64">
        <f>FLOOR((B59+MIN(59,$C$1-1)*B60+MAX(0,$C$1-30)*B61+MIN(15,MAX(0,$C$1-60))*B62+MAX(0,$C$1-75)*B63)/2,1)</f>
        <v>126</v>
      </c>
      <c r="C64">
        <f t="shared" ref="C64:I64" si="7">FLOOR((C59+FLOOR(MIN(59,$C$1-1)*C60,0.5)+FLOOR(MIN(15,MAX(0,$C$1-60))*C61,0.5)+FLOOR(MAX(0,$C$1-75)*C62,0.5))/2,0.5)</f>
        <v>7</v>
      </c>
      <c r="D64">
        <f t="shared" si="7"/>
        <v>9.5</v>
      </c>
      <c r="E64">
        <f t="shared" si="7"/>
        <v>8.5</v>
      </c>
      <c r="F64">
        <f t="shared" si="7"/>
        <v>9.5</v>
      </c>
      <c r="G64">
        <f t="shared" si="7"/>
        <v>12.5</v>
      </c>
      <c r="H64">
        <f t="shared" si="7"/>
        <v>9.5</v>
      </c>
      <c r="I64">
        <f t="shared" si="7"/>
        <v>11.5</v>
      </c>
    </row>
    <row r="67" spans="1:10" x14ac:dyDescent="0.2">
      <c r="A67" s="4" t="s">
        <v>0</v>
      </c>
      <c r="B67" s="8" t="s">
        <v>119</v>
      </c>
      <c r="C67" s="8" t="s">
        <v>3</v>
      </c>
      <c r="D67" s="8" t="s">
        <v>4</v>
      </c>
      <c r="E67" s="8" t="s">
        <v>5</v>
      </c>
      <c r="F67" s="8" t="s">
        <v>33</v>
      </c>
      <c r="G67" s="8" t="s">
        <v>120</v>
      </c>
      <c r="H67" s="8" t="s">
        <v>121</v>
      </c>
      <c r="I67" s="8" t="s">
        <v>122</v>
      </c>
    </row>
    <row r="68" spans="1:10" x14ac:dyDescent="0.2">
      <c r="A68" t="str">
        <f>Data!A1</f>
        <v>Hume</v>
      </c>
      <c r="B68" t="str">
        <f t="shared" ref="B68:I68" si="8">VLOOKUP($A68, Grades, MATCH(B$67, Stats, 0), 0)</f>
        <v>D</v>
      </c>
      <c r="C68" t="str">
        <f t="shared" si="8"/>
        <v>D</v>
      </c>
      <c r="D68" t="str">
        <f t="shared" si="8"/>
        <v>D</v>
      </c>
      <c r="E68" t="str">
        <f t="shared" si="8"/>
        <v>D</v>
      </c>
      <c r="F68" t="str">
        <f t="shared" si="8"/>
        <v>D</v>
      </c>
      <c r="G68" t="str">
        <f t="shared" si="8"/>
        <v>D</v>
      </c>
      <c r="H68" t="str">
        <f t="shared" si="8"/>
        <v>D</v>
      </c>
      <c r="I68" t="str">
        <f t="shared" si="8"/>
        <v>D</v>
      </c>
    </row>
    <row r="69" spans="1:10" x14ac:dyDescent="0.2">
      <c r="A69" t="s">
        <v>164</v>
      </c>
      <c r="B69">
        <f>VLOOKUP(B$68, GradeRates, MATCH($A69, RateTiers, 0), 0)</f>
        <v>14</v>
      </c>
      <c r="C69" s="2">
        <f t="shared" ref="C69:I72" si="9">VLOOKUP(C$68, GradeRates, MATCH($J69, RateTiers, 0), 0)</f>
        <v>3</v>
      </c>
      <c r="D69" s="2">
        <f t="shared" si="9"/>
        <v>3</v>
      </c>
      <c r="E69" s="2">
        <f t="shared" si="9"/>
        <v>3</v>
      </c>
      <c r="F69" s="2">
        <f t="shared" si="9"/>
        <v>3</v>
      </c>
      <c r="G69" s="2">
        <f t="shared" si="9"/>
        <v>3</v>
      </c>
      <c r="H69" s="2">
        <f t="shared" si="9"/>
        <v>3</v>
      </c>
      <c r="I69" s="2">
        <f t="shared" si="9"/>
        <v>3</v>
      </c>
      <c r="J69" t="s">
        <v>169</v>
      </c>
    </row>
    <row r="70" spans="1:10" x14ac:dyDescent="0.2">
      <c r="A70" t="s">
        <v>165</v>
      </c>
      <c r="B70">
        <f>VLOOKUP(B$68, GradeRates, MATCH($A70, RateTiers, 0), 0)</f>
        <v>6</v>
      </c>
      <c r="C70" s="2">
        <f t="shared" si="9"/>
        <v>0.35</v>
      </c>
      <c r="D70" s="2">
        <f t="shared" si="9"/>
        <v>0.35</v>
      </c>
      <c r="E70" s="2">
        <f t="shared" si="9"/>
        <v>0.35</v>
      </c>
      <c r="F70" s="2">
        <f t="shared" si="9"/>
        <v>0.35</v>
      </c>
      <c r="G70" s="2">
        <f t="shared" si="9"/>
        <v>0.35</v>
      </c>
      <c r="H70" s="2">
        <f t="shared" si="9"/>
        <v>0.35</v>
      </c>
      <c r="I70" s="2">
        <f t="shared" si="9"/>
        <v>0.35</v>
      </c>
      <c r="J70" t="s">
        <v>170</v>
      </c>
    </row>
    <row r="71" spans="1:10" x14ac:dyDescent="0.2">
      <c r="A71" t="s">
        <v>166</v>
      </c>
      <c r="B71">
        <f>VLOOKUP(B$68, GradeRates, MATCH($A71, RateTiers, 0), 0)</f>
        <v>0</v>
      </c>
      <c r="C71" s="2">
        <f t="shared" si="9"/>
        <v>0.341796875</v>
      </c>
      <c r="D71" s="2">
        <f t="shared" si="9"/>
        <v>0.341796875</v>
      </c>
      <c r="E71" s="2">
        <f t="shared" si="9"/>
        <v>0.341796875</v>
      </c>
      <c r="F71" s="2">
        <f t="shared" si="9"/>
        <v>0.341796875</v>
      </c>
      <c r="G71" s="2">
        <f t="shared" si="9"/>
        <v>0.341796875</v>
      </c>
      <c r="H71" s="2">
        <f t="shared" si="9"/>
        <v>0.341796875</v>
      </c>
      <c r="I71" s="2">
        <f t="shared" si="9"/>
        <v>0.341796875</v>
      </c>
      <c r="J71" t="s">
        <v>171</v>
      </c>
    </row>
    <row r="72" spans="1:10" x14ac:dyDescent="0.2">
      <c r="A72" t="s">
        <v>167</v>
      </c>
      <c r="B72">
        <f>VLOOKUP(B$68, GradeRates, MATCH($A72, RateTiers, 0), 0)</f>
        <v>3</v>
      </c>
      <c r="C72" s="2">
        <f t="shared" si="9"/>
        <v>0.390625</v>
      </c>
      <c r="D72" s="2">
        <f t="shared" si="9"/>
        <v>0.390625</v>
      </c>
      <c r="E72" s="2">
        <f t="shared" si="9"/>
        <v>0.390625</v>
      </c>
      <c r="F72" s="2">
        <f t="shared" si="9"/>
        <v>0.390625</v>
      </c>
      <c r="G72" s="2">
        <f t="shared" si="9"/>
        <v>0.390625</v>
      </c>
      <c r="H72" s="2">
        <f t="shared" si="9"/>
        <v>0.390625</v>
      </c>
      <c r="I72" s="2">
        <f t="shared" si="9"/>
        <v>0.390625</v>
      </c>
      <c r="J72" t="s">
        <v>172</v>
      </c>
    </row>
    <row r="73" spans="1:10" x14ac:dyDescent="0.2">
      <c r="A73" t="s">
        <v>168</v>
      </c>
      <c r="B73">
        <f>VLOOKUP(B$68, GradeRates, MATCH($A73, RateTiers, 0), 0)</f>
        <v>3</v>
      </c>
    </row>
    <row r="74" spans="1:10" x14ac:dyDescent="0.2">
      <c r="A74" t="s">
        <v>7</v>
      </c>
      <c r="B74">
        <f>B69+MIN(59,$B$1-1)*B70+MAX(0,$B$1-30)*B71+MIN(15,MAX(0,$B$1-60))*B72+MAX(0,$B$1-75)*B73</f>
        <v>485</v>
      </c>
      <c r="C74">
        <f t="shared" ref="C74:I74" si="10">C69+FLOOR(MIN(59,$B$1-1)*C70,0.5)+FLOOR(MIN(15,MAX(0,$B$1-60))*C71,0.5)+FLOOR(MAX(0,$B$1-75)*C72,0.5)</f>
        <v>37.5</v>
      </c>
      <c r="D74">
        <f t="shared" si="10"/>
        <v>37.5</v>
      </c>
      <c r="E74">
        <f t="shared" si="10"/>
        <v>37.5</v>
      </c>
      <c r="F74">
        <f t="shared" si="10"/>
        <v>37.5</v>
      </c>
      <c r="G74">
        <f t="shared" si="10"/>
        <v>37.5</v>
      </c>
      <c r="H74">
        <f t="shared" si="10"/>
        <v>37.5</v>
      </c>
      <c r="I74">
        <f t="shared" si="10"/>
        <v>37.5</v>
      </c>
    </row>
    <row r="76" spans="1:10" x14ac:dyDescent="0.2">
      <c r="B76" s="8" t="s">
        <v>119</v>
      </c>
      <c r="C76" s="8" t="s">
        <v>3</v>
      </c>
      <c r="D76" s="8" t="s">
        <v>4</v>
      </c>
      <c r="E76" s="8" t="s">
        <v>5</v>
      </c>
      <c r="F76" s="8" t="s">
        <v>33</v>
      </c>
      <c r="G76" s="8" t="s">
        <v>120</v>
      </c>
      <c r="H76" s="8" t="s">
        <v>121</v>
      </c>
      <c r="I76" s="8" t="s">
        <v>122</v>
      </c>
    </row>
    <row r="77" spans="1:10" x14ac:dyDescent="0.2">
      <c r="A77" t="s">
        <v>173</v>
      </c>
      <c r="B77">
        <f>MAX(0,$B$1-10)*2+MIN(10,MAX(0,$B$1-50))*2+IF(A48="Mnk",IF($B$1&gt;=15,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99</vt:i4>
      </vt:variant>
    </vt:vector>
  </HeadingPairs>
  <TitlesOfParts>
    <vt:vector size="106" baseType="lpstr">
      <vt:lpstr>Setup</vt:lpstr>
      <vt:lpstr>Gear</vt:lpstr>
      <vt:lpstr>Data</vt:lpstr>
      <vt:lpstr>Gear Lists</vt:lpstr>
      <vt:lpstr>Spells</vt:lpstr>
      <vt:lpstr>Other Lists</vt:lpstr>
      <vt:lpstr>Stats</vt:lpstr>
      <vt:lpstr>AM2Dmg</vt:lpstr>
      <vt:lpstr>AM2MBDmg</vt:lpstr>
      <vt:lpstr>Ammo</vt:lpstr>
      <vt:lpstr>AmmoList</vt:lpstr>
      <vt:lpstr>AtmaHeader</vt:lpstr>
      <vt:lpstr>AtmaList</vt:lpstr>
      <vt:lpstr>Atmas</vt:lpstr>
      <vt:lpstr>AvgMP1</vt:lpstr>
      <vt:lpstr>AvgMP2</vt:lpstr>
      <vt:lpstr>Back</vt:lpstr>
      <vt:lpstr>BackList</vt:lpstr>
      <vt:lpstr>Body</vt:lpstr>
      <vt:lpstr>BodyList</vt:lpstr>
      <vt:lpstr>Damage1</vt:lpstr>
      <vt:lpstr>Damage2</vt:lpstr>
      <vt:lpstr>DetailTypes</vt:lpstr>
      <vt:lpstr>DmgPerMP1</vt:lpstr>
      <vt:lpstr>DmgPerMP2</vt:lpstr>
      <vt:lpstr>DPSSolo1</vt:lpstr>
      <vt:lpstr>DPSSolo2</vt:lpstr>
      <vt:lpstr>DPSTier1</vt:lpstr>
      <vt:lpstr>DPSTier2</vt:lpstr>
      <vt:lpstr>Earring</vt:lpstr>
      <vt:lpstr>EarringList</vt:lpstr>
      <vt:lpstr>ElementHeader</vt:lpstr>
      <vt:lpstr>ElementList</vt:lpstr>
      <vt:lpstr>ElementMAB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Head</vt:lpstr>
      <vt:lpstr>HeadList</vt:lpstr>
      <vt:lpstr>HelixDamageType</vt:lpstr>
      <vt:lpstr>Ionis</vt:lpstr>
      <vt:lpstr>Jobs</vt:lpstr>
      <vt:lpstr>Legs</vt:lpstr>
      <vt:lpstr>LegsList</vt:lpstr>
      <vt:lpstr>MobHeader</vt:lpstr>
      <vt:lpstr>MobNames</vt:lpstr>
      <vt:lpstr>Mobs</vt:lpstr>
      <vt:lpstr>Neck</vt:lpstr>
      <vt:lpstr>NeckList</vt:lpstr>
      <vt:lpstr>NewAir</vt:lpstr>
      <vt:lpstr>NewDark</vt:lpstr>
      <vt:lpstr>NewFire</vt:lpstr>
      <vt:lpstr>NewIce</vt:lpstr>
      <vt:lpstr>NewLight</vt:lpstr>
      <vt:lpstr>NewStone</vt:lpstr>
      <vt:lpstr>NewThunder</vt:lpstr>
      <vt:lpstr>NewWater</vt:lpstr>
      <vt:lpstr>OldAir</vt:lpstr>
      <vt:lpstr>OldDark</vt:lpstr>
      <vt:lpstr>OldFire</vt:lpstr>
      <vt:lpstr>OldIce</vt:lpstr>
      <vt:lpstr>OldLight</vt:lpstr>
      <vt:lpstr>OldStone</vt:lpstr>
      <vt:lpstr>OldThunder</vt:lpstr>
      <vt:lpstr>OldWater</vt:lpstr>
      <vt:lpstr>PlayerStats</vt:lpstr>
      <vt:lpstr>PoleWeaponskills</vt:lpstr>
      <vt:lpstr>PrecastSet1</vt:lpstr>
      <vt:lpstr>PrecastSet2</vt:lpstr>
      <vt:lpstr>Races</vt:lpstr>
      <vt:lpstr>RateTiers</vt:lpstr>
      <vt:lpstr>Ring</vt:lpstr>
      <vt:lpstr>RingList</vt:lpstr>
      <vt:lpstr>Set1WSChr</vt:lpstr>
      <vt:lpstr>Set2WSChr</vt:lpstr>
      <vt:lpstr>SetBonusLookup</vt:lpstr>
      <vt:lpstr>SkillRank</vt:lpstr>
      <vt:lpstr>Skills</vt:lpstr>
      <vt:lpstr>SkillsHeader</vt:lpstr>
      <vt:lpstr>Slots</vt:lpstr>
      <vt:lpstr>SpellClass</vt:lpstr>
      <vt:lpstr>SpellHeader</vt:lpstr>
      <vt:lpstr>SpellSet1</vt:lpstr>
      <vt:lpstr>SpellSet1Gear</vt:lpstr>
      <vt:lpstr>SpellSet2</vt:lpstr>
      <vt:lpstr>SpellSet2Gear</vt:lpstr>
      <vt:lpstr>StatHeader</vt:lpstr>
      <vt:lpstr>Stats</vt:lpstr>
      <vt:lpstr>Sub</vt:lpstr>
      <vt:lpstr>Subjobs</vt:lpstr>
      <vt:lpstr>SubList</vt:lpstr>
      <vt:lpstr>Toggle</vt:lpstr>
      <vt:lpstr>TypeDescription</vt:lpstr>
      <vt:lpstr>Waist</vt:lpstr>
      <vt:lpstr>WaistList</vt:lpstr>
      <vt:lpstr>Weapon</vt:lpstr>
      <vt:lpstr>WeaponList</vt:lpstr>
      <vt:lpstr>WeaponskillData</vt:lpstr>
      <vt:lpstr>WeaponskillDataCols</vt:lpstr>
      <vt:lpstr>Weaponskills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Smith</dc:creator>
  <cp:lastModifiedBy>Erik</cp:lastModifiedBy>
  <dcterms:created xsi:type="dcterms:W3CDTF">2010-08-09T19:31:43Z</dcterms:created>
  <dcterms:modified xsi:type="dcterms:W3CDTF">2020-01-17T23:13:50Z</dcterms:modified>
</cp:coreProperties>
</file>